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Rafael\Documents\2.FORMATOS ENGATIVÁ 2026\6.PROCESOS  2026\2.CULTURA\1.PAQUETES CONTRATACION Y COMITE\8.01-10-26\4.ESTUDIO DE MERCADO\"/>
    </mc:Choice>
  </mc:AlternateContent>
  <xr:revisionPtr revIDLastSave="0" documentId="13_ncr:1_{B9B816BE-A7AC-4220-B8AC-A4857C3840E7}" xr6:coauthVersionLast="47" xr6:coauthVersionMax="47" xr10:uidLastSave="{00000000-0000-0000-0000-000000000000}"/>
  <bookViews>
    <workbookView xWindow="-120" yWindow="-120" windowWidth="20730" windowHeight="11040" xr2:uid="{92821328-4E05-420D-B6BD-33CCED3FD1E1}"/>
  </bookViews>
  <sheets>
    <sheet name="CULTURA UNIFICADO" sheetId="1" r:id="rId1"/>
    <sheet name="Hoja1" sheetId="2" r:id="rId2"/>
  </sheets>
  <definedNames>
    <definedName name="_xlnm._FilterDatabase" localSheetId="0" hidden="1">'CULTURA UNIFICADO'!$B$3:$AK$4</definedName>
    <definedName name="_xlnm.Print_Area" localSheetId="0">'CULTURA UNIFICADO'!$A$1:$Y$721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A75" i="1" l="1"/>
  <c r="A76" i="1"/>
  <c r="A77" i="1"/>
  <c r="A78" i="1"/>
  <c r="A79" i="1"/>
  <c r="A80" i="1"/>
  <c r="A81" i="1"/>
  <c r="A82" i="1"/>
  <c r="A83" i="1"/>
  <c r="A84" i="1"/>
  <c r="A85" i="1"/>
  <c r="L293" i="1"/>
  <c r="L248" i="1"/>
  <c r="J293" i="1"/>
  <c r="J248" i="1"/>
  <c r="L142" i="1"/>
  <c r="J142" i="1"/>
  <c r="L254" i="1"/>
  <c r="J254" i="1"/>
  <c r="L332" i="1"/>
  <c r="J332" i="1"/>
  <c r="J49" i="1"/>
  <c r="J48" i="1"/>
  <c r="J47" i="1"/>
  <c r="J38" i="1"/>
  <c r="J36" i="1"/>
  <c r="J18" i="1"/>
  <c r="J9" i="1"/>
  <c r="J52" i="1"/>
  <c r="O11" i="1"/>
  <c r="M11" i="1"/>
  <c r="K11" i="1"/>
  <c r="T424" i="1" l="1"/>
  <c r="U424" i="1" s="1"/>
  <c r="R424" i="1"/>
  <c r="P424" i="1"/>
  <c r="Q424" i="1" s="1"/>
  <c r="K424" i="1"/>
  <c r="T423" i="1"/>
  <c r="U423" i="1" s="1"/>
  <c r="R423" i="1"/>
  <c r="P423" i="1"/>
  <c r="Q423" i="1" s="1"/>
  <c r="K423" i="1"/>
  <c r="A423" i="1"/>
  <c r="A391" i="1"/>
  <c r="K391" i="1"/>
  <c r="M391" i="1"/>
  <c r="O391" i="1"/>
  <c r="P391" i="1"/>
  <c r="Q391" i="1" s="1"/>
  <c r="R391" i="1"/>
  <c r="T391" i="1"/>
  <c r="U391" i="1" s="1"/>
  <c r="M422" i="1"/>
  <c r="K422" i="1"/>
  <c r="O428" i="1"/>
  <c r="O427" i="1"/>
  <c r="O426" i="1"/>
  <c r="O425" i="1"/>
  <c r="O412" i="1"/>
  <c r="O411" i="1"/>
  <c r="O410" i="1"/>
  <c r="O409" i="1"/>
  <c r="O408" i="1"/>
  <c r="O407" i="1"/>
  <c r="O383" i="1"/>
  <c r="O379" i="1"/>
  <c r="O378" i="1"/>
  <c r="O377" i="1"/>
  <c r="O351" i="1"/>
  <c r="O350" i="1"/>
  <c r="O349" i="1"/>
  <c r="O348" i="1"/>
  <c r="O347" i="1"/>
  <c r="O346" i="1"/>
  <c r="O345" i="1"/>
  <c r="O344" i="1"/>
  <c r="O343" i="1"/>
  <c r="O309" i="1"/>
  <c r="O291" i="1"/>
  <c r="O290" i="1"/>
  <c r="O289" i="1"/>
  <c r="O288" i="1"/>
  <c r="O287" i="1"/>
  <c r="O263" i="1"/>
  <c r="O262" i="1"/>
  <c r="O261" i="1"/>
  <c r="O260" i="1"/>
  <c r="O259" i="1"/>
  <c r="O258" i="1"/>
  <c r="O245" i="1"/>
  <c r="O244" i="1"/>
  <c r="O243" i="1"/>
  <c r="O242" i="1"/>
  <c r="O228" i="1"/>
  <c r="O226" i="1"/>
  <c r="O225" i="1"/>
  <c r="O224" i="1"/>
  <c r="O223" i="1"/>
  <c r="O222" i="1"/>
  <c r="O221" i="1"/>
  <c r="O220" i="1"/>
  <c r="O219" i="1"/>
  <c r="O218" i="1"/>
  <c r="O217" i="1"/>
  <c r="O216" i="1"/>
  <c r="O215" i="1"/>
  <c r="O214" i="1"/>
  <c r="O180" i="1"/>
  <c r="O177" i="1"/>
  <c r="O176" i="1"/>
  <c r="O175" i="1"/>
  <c r="O160" i="1"/>
  <c r="O159" i="1"/>
  <c r="O158" i="1"/>
  <c r="O157" i="1"/>
  <c r="O156" i="1"/>
  <c r="O155" i="1"/>
  <c r="O154" i="1"/>
  <c r="O153" i="1"/>
  <c r="O152" i="1"/>
  <c r="O151" i="1"/>
  <c r="O150" i="1"/>
  <c r="M428" i="1"/>
  <c r="M427" i="1"/>
  <c r="M426" i="1"/>
  <c r="M425" i="1"/>
  <c r="M412" i="1"/>
  <c r="M411" i="1"/>
  <c r="M410" i="1"/>
  <c r="M409" i="1"/>
  <c r="M408" i="1"/>
  <c r="M407" i="1"/>
  <c r="M383" i="1"/>
  <c r="M379" i="1"/>
  <c r="M378" i="1"/>
  <c r="M377" i="1"/>
  <c r="M351" i="1"/>
  <c r="M350" i="1"/>
  <c r="M349" i="1"/>
  <c r="M348" i="1"/>
  <c r="M347" i="1"/>
  <c r="M346" i="1"/>
  <c r="M345" i="1"/>
  <c r="M344" i="1"/>
  <c r="M343" i="1"/>
  <c r="M309" i="1"/>
  <c r="M291" i="1"/>
  <c r="M290" i="1"/>
  <c r="M289" i="1"/>
  <c r="M288" i="1"/>
  <c r="M287" i="1"/>
  <c r="M263" i="1"/>
  <c r="M262" i="1"/>
  <c r="M261" i="1"/>
  <c r="M260" i="1"/>
  <c r="M259" i="1"/>
  <c r="M258" i="1"/>
  <c r="M245" i="1"/>
  <c r="M244" i="1"/>
  <c r="M243" i="1"/>
  <c r="M242" i="1"/>
  <c r="M228" i="1"/>
  <c r="M226" i="1"/>
  <c r="M225" i="1"/>
  <c r="M224" i="1"/>
  <c r="M223" i="1"/>
  <c r="M222" i="1"/>
  <c r="M221" i="1"/>
  <c r="M220" i="1"/>
  <c r="M219" i="1"/>
  <c r="M218" i="1"/>
  <c r="M217" i="1"/>
  <c r="M216" i="1"/>
  <c r="M215" i="1"/>
  <c r="M214" i="1"/>
  <c r="M180" i="1"/>
  <c r="M177" i="1"/>
  <c r="M176" i="1"/>
  <c r="M175" i="1"/>
  <c r="M160" i="1"/>
  <c r="M159" i="1"/>
  <c r="M158" i="1"/>
  <c r="M157" i="1"/>
  <c r="M156" i="1"/>
  <c r="M155" i="1"/>
  <c r="M154" i="1"/>
  <c r="M153" i="1"/>
  <c r="M152" i="1"/>
  <c r="M151" i="1"/>
  <c r="M150" i="1"/>
  <c r="K428" i="1"/>
  <c r="K427" i="1"/>
  <c r="K426" i="1"/>
  <c r="K425" i="1"/>
  <c r="K412" i="1"/>
  <c r="K411" i="1"/>
  <c r="K410" i="1"/>
  <c r="K409" i="1"/>
  <c r="K408" i="1"/>
  <c r="K407" i="1"/>
  <c r="K383" i="1"/>
  <c r="K379" i="1"/>
  <c r="K378" i="1"/>
  <c r="K377" i="1"/>
  <c r="K351" i="1"/>
  <c r="K350" i="1"/>
  <c r="K349" i="1"/>
  <c r="K348" i="1"/>
  <c r="K347" i="1"/>
  <c r="K346" i="1"/>
  <c r="K345" i="1"/>
  <c r="K344" i="1"/>
  <c r="K343" i="1"/>
  <c r="K309" i="1"/>
  <c r="K291" i="1"/>
  <c r="K290" i="1"/>
  <c r="K289" i="1"/>
  <c r="K288" i="1"/>
  <c r="K287" i="1"/>
  <c r="K263" i="1"/>
  <c r="K262" i="1"/>
  <c r="K261" i="1"/>
  <c r="K260" i="1"/>
  <c r="K259" i="1"/>
  <c r="K258" i="1"/>
  <c r="K245" i="1"/>
  <c r="K244" i="1"/>
  <c r="K243" i="1"/>
  <c r="K242" i="1"/>
  <c r="K228" i="1"/>
  <c r="K226" i="1"/>
  <c r="K225" i="1"/>
  <c r="K224" i="1"/>
  <c r="K223" i="1"/>
  <c r="K222" i="1"/>
  <c r="K221" i="1"/>
  <c r="K220" i="1"/>
  <c r="K219" i="1"/>
  <c r="K218" i="1"/>
  <c r="K217" i="1"/>
  <c r="K216" i="1"/>
  <c r="K215" i="1"/>
  <c r="K214" i="1"/>
  <c r="K180" i="1"/>
  <c r="K177" i="1"/>
  <c r="K176" i="1"/>
  <c r="K175" i="1"/>
  <c r="K160" i="1"/>
  <c r="K159" i="1"/>
  <c r="K158" i="1"/>
  <c r="K157" i="1"/>
  <c r="K156" i="1"/>
  <c r="K155" i="1"/>
  <c r="K154" i="1"/>
  <c r="K153" i="1"/>
  <c r="K152" i="1"/>
  <c r="K151" i="1"/>
  <c r="K150" i="1"/>
  <c r="O134" i="1"/>
  <c r="O133" i="1"/>
  <c r="O132" i="1"/>
  <c r="O131" i="1"/>
  <c r="M134" i="1"/>
  <c r="M133" i="1"/>
  <c r="M132" i="1"/>
  <c r="M131" i="1"/>
  <c r="K134" i="1"/>
  <c r="K133" i="1"/>
  <c r="K132" i="1"/>
  <c r="K131" i="1"/>
  <c r="O114" i="1"/>
  <c r="O113" i="1"/>
  <c r="O112" i="1"/>
  <c r="O111" i="1"/>
  <c r="M114" i="1"/>
  <c r="M113" i="1"/>
  <c r="M112" i="1"/>
  <c r="M111" i="1"/>
  <c r="K114" i="1"/>
  <c r="K113" i="1"/>
  <c r="K112" i="1"/>
  <c r="K111" i="1"/>
  <c r="O95" i="1"/>
  <c r="O94" i="1"/>
  <c r="M95" i="1"/>
  <c r="M94" i="1"/>
  <c r="K95" i="1"/>
  <c r="K94" i="1"/>
  <c r="O92" i="1"/>
  <c r="O91" i="1"/>
  <c r="M92" i="1"/>
  <c r="M91" i="1"/>
  <c r="K92" i="1"/>
  <c r="K91" i="1"/>
  <c r="O90" i="1"/>
  <c r="O82" i="1"/>
  <c r="M90" i="1"/>
  <c r="M82" i="1"/>
  <c r="K90" i="1"/>
  <c r="K82" i="1"/>
  <c r="O81" i="1"/>
  <c r="O80" i="1"/>
  <c r="M81" i="1"/>
  <c r="M80" i="1"/>
  <c r="K81" i="1"/>
  <c r="K80" i="1"/>
  <c r="O79" i="1"/>
  <c r="M79" i="1"/>
  <c r="K79" i="1"/>
  <c r="O78" i="1"/>
  <c r="M78" i="1"/>
  <c r="K78" i="1"/>
  <c r="O77" i="1"/>
  <c r="M77" i="1"/>
  <c r="K77" i="1"/>
  <c r="K50" i="1"/>
  <c r="T69" i="1"/>
  <c r="U69" i="1" s="1"/>
  <c r="R69" i="1"/>
  <c r="P69" i="1"/>
  <c r="Q69" i="1" s="1"/>
  <c r="K69" i="1"/>
  <c r="H11" i="2"/>
  <c r="T509" i="1"/>
  <c r="U509" i="1" s="1"/>
  <c r="Z509" i="1" s="1"/>
  <c r="R509" i="1"/>
  <c r="P509" i="1"/>
  <c r="Q509" i="1" s="1"/>
  <c r="A509" i="1"/>
  <c r="T507" i="1"/>
  <c r="U507" i="1" s="1"/>
  <c r="R507" i="1"/>
  <c r="P507" i="1"/>
  <c r="Q507" i="1" s="1"/>
  <c r="M507" i="1"/>
  <c r="K507" i="1"/>
  <c r="A507" i="1"/>
  <c r="T506" i="1"/>
  <c r="U506" i="1" s="1"/>
  <c r="R506" i="1"/>
  <c r="P506" i="1"/>
  <c r="Q506" i="1" s="1"/>
  <c r="O506" i="1"/>
  <c r="M506" i="1"/>
  <c r="K506" i="1"/>
  <c r="A506" i="1"/>
  <c r="O505" i="1"/>
  <c r="L505" i="1"/>
  <c r="M505" i="1" s="1"/>
  <c r="J505" i="1"/>
  <c r="O504" i="1"/>
  <c r="M504" i="1"/>
  <c r="J504" i="1"/>
  <c r="A504" i="1" s="1"/>
  <c r="O503" i="1"/>
  <c r="L503" i="1"/>
  <c r="M503" i="1" s="1"/>
  <c r="J503" i="1"/>
  <c r="O502" i="1"/>
  <c r="L502" i="1"/>
  <c r="M502" i="1" s="1"/>
  <c r="J502" i="1"/>
  <c r="O501" i="1"/>
  <c r="M501" i="1"/>
  <c r="J501" i="1"/>
  <c r="A501" i="1" s="1"/>
  <c r="O500" i="1"/>
  <c r="L500" i="1"/>
  <c r="M500" i="1" s="1"/>
  <c r="J500" i="1"/>
  <c r="T499" i="1"/>
  <c r="U499" i="1" s="1"/>
  <c r="R499" i="1"/>
  <c r="P499" i="1"/>
  <c r="Q499" i="1" s="1"/>
  <c r="K499" i="1"/>
  <c r="A499" i="1"/>
  <c r="T497" i="1"/>
  <c r="U497" i="1" s="1"/>
  <c r="R497" i="1"/>
  <c r="P497" i="1"/>
  <c r="Q497" i="1" s="1"/>
  <c r="K497" i="1"/>
  <c r="A497" i="1"/>
  <c r="J496" i="1"/>
  <c r="A496" i="1" s="1"/>
  <c r="T493" i="1"/>
  <c r="U493" i="1" s="1"/>
  <c r="R493" i="1"/>
  <c r="P493" i="1"/>
  <c r="Q493" i="1" s="1"/>
  <c r="O493" i="1"/>
  <c r="M493" i="1"/>
  <c r="K493" i="1"/>
  <c r="A493" i="1"/>
  <c r="T492" i="1"/>
  <c r="U492" i="1" s="1"/>
  <c r="R492" i="1"/>
  <c r="P492" i="1"/>
  <c r="Q492" i="1" s="1"/>
  <c r="O492" i="1"/>
  <c r="M492" i="1"/>
  <c r="K492" i="1"/>
  <c r="A492" i="1"/>
  <c r="T491" i="1"/>
  <c r="U491" i="1" s="1"/>
  <c r="R491" i="1"/>
  <c r="P491" i="1"/>
  <c r="Q491" i="1" s="1"/>
  <c r="O491" i="1"/>
  <c r="M491" i="1"/>
  <c r="K491" i="1"/>
  <c r="A491" i="1"/>
  <c r="T490" i="1"/>
  <c r="U490" i="1" s="1"/>
  <c r="R490" i="1"/>
  <c r="P490" i="1"/>
  <c r="Q490" i="1" s="1"/>
  <c r="O490" i="1"/>
  <c r="M490" i="1"/>
  <c r="K490" i="1"/>
  <c r="A490" i="1"/>
  <c r="T489" i="1"/>
  <c r="U489" i="1" s="1"/>
  <c r="R489" i="1"/>
  <c r="P489" i="1"/>
  <c r="Q489" i="1" s="1"/>
  <c r="O489" i="1"/>
  <c r="M489" i="1"/>
  <c r="K489" i="1"/>
  <c r="A489" i="1"/>
  <c r="T488" i="1"/>
  <c r="U488" i="1" s="1"/>
  <c r="R488" i="1"/>
  <c r="P488" i="1"/>
  <c r="Q488" i="1" s="1"/>
  <c r="O488" i="1"/>
  <c r="M488" i="1"/>
  <c r="K488" i="1"/>
  <c r="A488" i="1"/>
  <c r="T487" i="1"/>
  <c r="U487" i="1" s="1"/>
  <c r="R487" i="1"/>
  <c r="P487" i="1"/>
  <c r="Q487" i="1" s="1"/>
  <c r="O487" i="1"/>
  <c r="M487" i="1"/>
  <c r="K487" i="1"/>
  <c r="A487" i="1"/>
  <c r="N486" i="1"/>
  <c r="O486" i="1" s="1"/>
  <c r="L486" i="1"/>
  <c r="M486" i="1" s="1"/>
  <c r="J486" i="1"/>
  <c r="T485" i="1"/>
  <c r="U485" i="1" s="1"/>
  <c r="R485" i="1"/>
  <c r="P485" i="1"/>
  <c r="Q485" i="1" s="1"/>
  <c r="O485" i="1"/>
  <c r="M485" i="1"/>
  <c r="K485" i="1"/>
  <c r="A485" i="1"/>
  <c r="T484" i="1"/>
  <c r="U484" i="1" s="1"/>
  <c r="R484" i="1"/>
  <c r="P484" i="1"/>
  <c r="Q484" i="1" s="1"/>
  <c r="O484" i="1"/>
  <c r="M484" i="1"/>
  <c r="K484" i="1"/>
  <c r="A484" i="1"/>
  <c r="T483" i="1"/>
  <c r="U483" i="1" s="1"/>
  <c r="R483" i="1"/>
  <c r="P483" i="1"/>
  <c r="Q483" i="1" s="1"/>
  <c r="O483" i="1"/>
  <c r="M483" i="1"/>
  <c r="K483" i="1"/>
  <c r="A483" i="1"/>
  <c r="T482" i="1"/>
  <c r="U482" i="1" s="1"/>
  <c r="R482" i="1"/>
  <c r="P482" i="1"/>
  <c r="Q482" i="1" s="1"/>
  <c r="O482" i="1"/>
  <c r="M482" i="1"/>
  <c r="K482" i="1"/>
  <c r="A482" i="1"/>
  <c r="T481" i="1"/>
  <c r="U481" i="1" s="1"/>
  <c r="R481" i="1"/>
  <c r="P481" i="1"/>
  <c r="Q481" i="1" s="1"/>
  <c r="O481" i="1"/>
  <c r="M481" i="1"/>
  <c r="K481" i="1"/>
  <c r="A481" i="1"/>
  <c r="T480" i="1"/>
  <c r="U480" i="1" s="1"/>
  <c r="R480" i="1"/>
  <c r="P480" i="1"/>
  <c r="Q480" i="1" s="1"/>
  <c r="O480" i="1"/>
  <c r="M480" i="1"/>
  <c r="K480" i="1"/>
  <c r="A480" i="1"/>
  <c r="T479" i="1"/>
  <c r="U479" i="1" s="1"/>
  <c r="R479" i="1"/>
  <c r="P479" i="1"/>
  <c r="Q479" i="1" s="1"/>
  <c r="O479" i="1"/>
  <c r="M479" i="1"/>
  <c r="K479" i="1"/>
  <c r="A479" i="1"/>
  <c r="T478" i="1"/>
  <c r="U478" i="1" s="1"/>
  <c r="R478" i="1"/>
  <c r="P478" i="1"/>
  <c r="Q478" i="1" s="1"/>
  <c r="O478" i="1"/>
  <c r="M478" i="1"/>
  <c r="K478" i="1"/>
  <c r="A478" i="1"/>
  <c r="N477" i="1"/>
  <c r="O477" i="1" s="1"/>
  <c r="L477" i="1"/>
  <c r="M477" i="1" s="1"/>
  <c r="J477" i="1"/>
  <c r="N476" i="1"/>
  <c r="L476" i="1"/>
  <c r="M476" i="1" s="1"/>
  <c r="J476" i="1"/>
  <c r="T475" i="1"/>
  <c r="U475" i="1" s="1"/>
  <c r="R475" i="1"/>
  <c r="P475" i="1"/>
  <c r="Q475" i="1" s="1"/>
  <c r="O475" i="1"/>
  <c r="M475" i="1"/>
  <c r="K475" i="1"/>
  <c r="A475" i="1"/>
  <c r="N474" i="1"/>
  <c r="O474" i="1" s="1"/>
  <c r="L474" i="1"/>
  <c r="M474" i="1" s="1"/>
  <c r="J474" i="1"/>
  <c r="N473" i="1"/>
  <c r="O473" i="1" s="1"/>
  <c r="L473" i="1"/>
  <c r="M473" i="1" s="1"/>
  <c r="J473" i="1"/>
  <c r="T472" i="1"/>
  <c r="U472" i="1" s="1"/>
  <c r="R472" i="1"/>
  <c r="P472" i="1"/>
  <c r="Q472" i="1" s="1"/>
  <c r="O472" i="1"/>
  <c r="M472" i="1"/>
  <c r="K472" i="1"/>
  <c r="A472" i="1"/>
  <c r="T471" i="1"/>
  <c r="U471" i="1" s="1"/>
  <c r="R471" i="1"/>
  <c r="P471" i="1"/>
  <c r="Q471" i="1" s="1"/>
  <c r="O471" i="1"/>
  <c r="M471" i="1"/>
  <c r="K471" i="1"/>
  <c r="A471" i="1"/>
  <c r="N470" i="1"/>
  <c r="O470" i="1" s="1"/>
  <c r="L470" i="1"/>
  <c r="M470" i="1" s="1"/>
  <c r="J470" i="1"/>
  <c r="T469" i="1"/>
  <c r="U469" i="1" s="1"/>
  <c r="R469" i="1"/>
  <c r="P469" i="1"/>
  <c r="Q469" i="1" s="1"/>
  <c r="O469" i="1"/>
  <c r="M469" i="1"/>
  <c r="K469" i="1"/>
  <c r="A469" i="1"/>
  <c r="N468" i="1"/>
  <c r="O468" i="1" s="1"/>
  <c r="L468" i="1"/>
  <c r="M468" i="1" s="1"/>
  <c r="J468" i="1"/>
  <c r="T467" i="1"/>
  <c r="U467" i="1" s="1"/>
  <c r="R467" i="1"/>
  <c r="P467" i="1"/>
  <c r="Q467" i="1" s="1"/>
  <c r="O467" i="1"/>
  <c r="M467" i="1"/>
  <c r="K467" i="1"/>
  <c r="A467" i="1"/>
  <c r="T466" i="1"/>
  <c r="U466" i="1" s="1"/>
  <c r="R466" i="1"/>
  <c r="P466" i="1"/>
  <c r="Q466" i="1" s="1"/>
  <c r="O466" i="1"/>
  <c r="M466" i="1"/>
  <c r="K466" i="1"/>
  <c r="A466" i="1"/>
  <c r="N465" i="1"/>
  <c r="O465" i="1" s="1"/>
  <c r="L465" i="1"/>
  <c r="M465" i="1" s="1"/>
  <c r="J465" i="1"/>
  <c r="N464" i="1"/>
  <c r="O464" i="1" s="1"/>
  <c r="L464" i="1"/>
  <c r="M464" i="1" s="1"/>
  <c r="J464" i="1"/>
  <c r="T463" i="1"/>
  <c r="U463" i="1" s="1"/>
  <c r="R463" i="1"/>
  <c r="P463" i="1"/>
  <c r="Q463" i="1" s="1"/>
  <c r="O463" i="1"/>
  <c r="M463" i="1"/>
  <c r="K463" i="1"/>
  <c r="A463" i="1"/>
  <c r="T462" i="1"/>
  <c r="U462" i="1" s="1"/>
  <c r="R462" i="1"/>
  <c r="P462" i="1"/>
  <c r="Q462" i="1" s="1"/>
  <c r="O462" i="1"/>
  <c r="M462" i="1"/>
  <c r="K462" i="1"/>
  <c r="A462" i="1"/>
  <c r="O461" i="1"/>
  <c r="M461" i="1"/>
  <c r="J461" i="1"/>
  <c r="A461" i="1" s="1"/>
  <c r="O460" i="1"/>
  <c r="M460" i="1"/>
  <c r="J460" i="1"/>
  <c r="A460" i="1" s="1"/>
  <c r="O459" i="1"/>
  <c r="M459" i="1"/>
  <c r="J459" i="1"/>
  <c r="A459" i="1" s="1"/>
  <c r="T458" i="1"/>
  <c r="U458" i="1" s="1"/>
  <c r="R458" i="1"/>
  <c r="P458" i="1"/>
  <c r="Q458" i="1" s="1"/>
  <c r="O458" i="1"/>
  <c r="M458" i="1"/>
  <c r="K458" i="1"/>
  <c r="A458" i="1"/>
  <c r="T457" i="1"/>
  <c r="U457" i="1" s="1"/>
  <c r="R457" i="1"/>
  <c r="P457" i="1"/>
  <c r="Q457" i="1" s="1"/>
  <c r="O457" i="1"/>
  <c r="M457" i="1"/>
  <c r="K457" i="1"/>
  <c r="A457" i="1"/>
  <c r="T456" i="1"/>
  <c r="U456" i="1" s="1"/>
  <c r="R456" i="1"/>
  <c r="P456" i="1"/>
  <c r="Q456" i="1" s="1"/>
  <c r="O456" i="1"/>
  <c r="M456" i="1"/>
  <c r="K456" i="1"/>
  <c r="A456" i="1"/>
  <c r="T455" i="1"/>
  <c r="U455" i="1" s="1"/>
  <c r="R455" i="1"/>
  <c r="P455" i="1"/>
  <c r="Q455" i="1" s="1"/>
  <c r="O455" i="1"/>
  <c r="M455" i="1"/>
  <c r="K455" i="1"/>
  <c r="A455" i="1"/>
  <c r="T454" i="1"/>
  <c r="U454" i="1" s="1"/>
  <c r="R454" i="1"/>
  <c r="P454" i="1"/>
  <c r="Q454" i="1" s="1"/>
  <c r="O454" i="1"/>
  <c r="M454" i="1"/>
  <c r="K454" i="1"/>
  <c r="A454" i="1"/>
  <c r="N453" i="1"/>
  <c r="O453" i="1" s="1"/>
  <c r="L453" i="1"/>
  <c r="M453" i="1" s="1"/>
  <c r="J453" i="1"/>
  <c r="N452" i="1"/>
  <c r="O452" i="1" s="1"/>
  <c r="L452" i="1"/>
  <c r="M452" i="1" s="1"/>
  <c r="J452" i="1"/>
  <c r="T451" i="1"/>
  <c r="U451" i="1" s="1"/>
  <c r="R451" i="1"/>
  <c r="P451" i="1"/>
  <c r="Q451" i="1" s="1"/>
  <c r="O451" i="1"/>
  <c r="M451" i="1"/>
  <c r="K451" i="1"/>
  <c r="A451" i="1"/>
  <c r="N450" i="1"/>
  <c r="O450" i="1" s="1"/>
  <c r="L450" i="1"/>
  <c r="M450" i="1" s="1"/>
  <c r="J450" i="1"/>
  <c r="N449" i="1"/>
  <c r="O449" i="1" s="1"/>
  <c r="L449" i="1"/>
  <c r="M449" i="1" s="1"/>
  <c r="J449" i="1"/>
  <c r="N448" i="1"/>
  <c r="O448" i="1" s="1"/>
  <c r="L448" i="1"/>
  <c r="M448" i="1" s="1"/>
  <c r="J448" i="1"/>
  <c r="T447" i="1"/>
  <c r="U447" i="1" s="1"/>
  <c r="R447" i="1"/>
  <c r="P447" i="1"/>
  <c r="Q447" i="1" s="1"/>
  <c r="O447" i="1"/>
  <c r="M447" i="1"/>
  <c r="K447" i="1"/>
  <c r="A447" i="1"/>
  <c r="N446" i="1"/>
  <c r="O446" i="1" s="1"/>
  <c r="L446" i="1"/>
  <c r="M446" i="1" s="1"/>
  <c r="J446" i="1"/>
  <c r="N445" i="1"/>
  <c r="O445" i="1" s="1"/>
  <c r="L445" i="1"/>
  <c r="M445" i="1" s="1"/>
  <c r="J445" i="1"/>
  <c r="T444" i="1"/>
  <c r="U444" i="1" s="1"/>
  <c r="R444" i="1"/>
  <c r="P444" i="1"/>
  <c r="Q444" i="1" s="1"/>
  <c r="O444" i="1"/>
  <c r="M444" i="1"/>
  <c r="K444" i="1"/>
  <c r="A444" i="1"/>
  <c r="N443" i="1"/>
  <c r="O443" i="1" s="1"/>
  <c r="L443" i="1"/>
  <c r="M443" i="1" s="1"/>
  <c r="J443" i="1"/>
  <c r="T442" i="1"/>
  <c r="R442" i="1"/>
  <c r="P442" i="1"/>
  <c r="Q442" i="1" s="1"/>
  <c r="O442" i="1"/>
  <c r="M442" i="1"/>
  <c r="K442" i="1"/>
  <c r="A442" i="1"/>
  <c r="N441" i="1"/>
  <c r="O441" i="1" s="1"/>
  <c r="L441" i="1"/>
  <c r="M441" i="1" s="1"/>
  <c r="J441" i="1"/>
  <c r="N440" i="1"/>
  <c r="O440" i="1" s="1"/>
  <c r="L440" i="1"/>
  <c r="M440" i="1" s="1"/>
  <c r="J440" i="1"/>
  <c r="N439" i="1"/>
  <c r="O439" i="1" s="1"/>
  <c r="L439" i="1"/>
  <c r="M439" i="1" s="1"/>
  <c r="J439" i="1"/>
  <c r="N437" i="1"/>
  <c r="O437" i="1" s="1"/>
  <c r="L437" i="1"/>
  <c r="M437" i="1" s="1"/>
  <c r="J437" i="1"/>
  <c r="N436" i="1"/>
  <c r="O436" i="1" s="1"/>
  <c r="L436" i="1"/>
  <c r="M436" i="1" s="1"/>
  <c r="J436" i="1"/>
  <c r="N435" i="1"/>
  <c r="O435" i="1" s="1"/>
  <c r="L435" i="1"/>
  <c r="M435" i="1" s="1"/>
  <c r="J435" i="1"/>
  <c r="T434" i="1"/>
  <c r="U434" i="1" s="1"/>
  <c r="R434" i="1"/>
  <c r="P434" i="1"/>
  <c r="Q434" i="1" s="1"/>
  <c r="O434" i="1"/>
  <c r="K434" i="1"/>
  <c r="A434" i="1"/>
  <c r="N433" i="1"/>
  <c r="O433" i="1" s="1"/>
  <c r="L433" i="1"/>
  <c r="M433" i="1" s="1"/>
  <c r="J433" i="1"/>
  <c r="N432" i="1"/>
  <c r="O432" i="1" s="1"/>
  <c r="L432" i="1"/>
  <c r="M432" i="1" s="1"/>
  <c r="J432" i="1"/>
  <c r="N431" i="1"/>
  <c r="O431" i="1" s="1"/>
  <c r="L431" i="1"/>
  <c r="M431" i="1" s="1"/>
  <c r="J431" i="1"/>
  <c r="T430" i="1"/>
  <c r="U430" i="1" s="1"/>
  <c r="R430" i="1"/>
  <c r="P430" i="1"/>
  <c r="Q430" i="1" s="1"/>
  <c r="O430" i="1"/>
  <c r="M430" i="1"/>
  <c r="K430" i="1"/>
  <c r="A430" i="1"/>
  <c r="O429" i="1"/>
  <c r="L429" i="1"/>
  <c r="J429" i="1"/>
  <c r="T428" i="1"/>
  <c r="U428" i="1" s="1"/>
  <c r="R428" i="1"/>
  <c r="P428" i="1"/>
  <c r="Q428" i="1" s="1"/>
  <c r="A428" i="1"/>
  <c r="T427" i="1"/>
  <c r="U427" i="1" s="1"/>
  <c r="R427" i="1"/>
  <c r="P427" i="1"/>
  <c r="Q427" i="1" s="1"/>
  <c r="A427" i="1"/>
  <c r="T426" i="1"/>
  <c r="U426" i="1" s="1"/>
  <c r="R426" i="1"/>
  <c r="P426" i="1"/>
  <c r="Q426" i="1" s="1"/>
  <c r="A426" i="1"/>
  <c r="T425" i="1"/>
  <c r="U425" i="1" s="1"/>
  <c r="R425" i="1"/>
  <c r="P425" i="1"/>
  <c r="Q425" i="1" s="1"/>
  <c r="A425" i="1"/>
  <c r="T422" i="1"/>
  <c r="U422" i="1" s="1"/>
  <c r="R422" i="1"/>
  <c r="P422" i="1"/>
  <c r="Q422" i="1" s="1"/>
  <c r="O422" i="1"/>
  <c r="A422" i="1"/>
  <c r="T421" i="1"/>
  <c r="U421" i="1" s="1"/>
  <c r="R421" i="1"/>
  <c r="P421" i="1"/>
  <c r="Q421" i="1" s="1"/>
  <c r="O421" i="1"/>
  <c r="M421" i="1"/>
  <c r="K421" i="1"/>
  <c r="A421" i="1"/>
  <c r="N420" i="1"/>
  <c r="O420" i="1" s="1"/>
  <c r="L420" i="1"/>
  <c r="M420" i="1" s="1"/>
  <c r="J420" i="1"/>
  <c r="O419" i="1"/>
  <c r="L419" i="1"/>
  <c r="M419" i="1" s="1"/>
  <c r="J419" i="1"/>
  <c r="N417" i="1"/>
  <c r="O417" i="1" s="1"/>
  <c r="L417" i="1"/>
  <c r="M417" i="1" s="1"/>
  <c r="J417" i="1"/>
  <c r="N416" i="1"/>
  <c r="O416" i="1" s="1"/>
  <c r="L416" i="1"/>
  <c r="M416" i="1" s="1"/>
  <c r="J416" i="1"/>
  <c r="N415" i="1"/>
  <c r="O415" i="1" s="1"/>
  <c r="L415" i="1"/>
  <c r="M415" i="1" s="1"/>
  <c r="J415" i="1"/>
  <c r="N414" i="1"/>
  <c r="O414" i="1" s="1"/>
  <c r="L414" i="1"/>
  <c r="M414" i="1" s="1"/>
  <c r="J414" i="1"/>
  <c r="N413" i="1"/>
  <c r="O413" i="1" s="1"/>
  <c r="L413" i="1"/>
  <c r="J413" i="1"/>
  <c r="T412" i="1"/>
  <c r="U412" i="1" s="1"/>
  <c r="R412" i="1"/>
  <c r="P412" i="1"/>
  <c r="Q412" i="1" s="1"/>
  <c r="A412" i="1"/>
  <c r="T411" i="1"/>
  <c r="U411" i="1" s="1"/>
  <c r="R411" i="1"/>
  <c r="P411" i="1"/>
  <c r="Q411" i="1" s="1"/>
  <c r="A411" i="1"/>
  <c r="T410" i="1"/>
  <c r="U410" i="1" s="1"/>
  <c r="R410" i="1"/>
  <c r="P410" i="1"/>
  <c r="Q410" i="1" s="1"/>
  <c r="A410" i="1"/>
  <c r="T409" i="1"/>
  <c r="U409" i="1" s="1"/>
  <c r="R409" i="1"/>
  <c r="P409" i="1"/>
  <c r="Q409" i="1" s="1"/>
  <c r="A409" i="1"/>
  <c r="T408" i="1"/>
  <c r="U408" i="1" s="1"/>
  <c r="R408" i="1"/>
  <c r="P408" i="1"/>
  <c r="Q408" i="1" s="1"/>
  <c r="A408" i="1"/>
  <c r="T407" i="1"/>
  <c r="U407" i="1" s="1"/>
  <c r="R407" i="1"/>
  <c r="P407" i="1"/>
  <c r="Q407" i="1" s="1"/>
  <c r="A407" i="1"/>
  <c r="T406" i="1"/>
  <c r="U406" i="1" s="1"/>
  <c r="R406" i="1"/>
  <c r="P406" i="1"/>
  <c r="Q406" i="1" s="1"/>
  <c r="K406" i="1"/>
  <c r="A406" i="1"/>
  <c r="N405" i="1"/>
  <c r="O405" i="1" s="1"/>
  <c r="L405" i="1"/>
  <c r="M405" i="1" s="1"/>
  <c r="J405" i="1"/>
  <c r="T404" i="1"/>
  <c r="U404" i="1" s="1"/>
  <c r="R404" i="1"/>
  <c r="P404" i="1"/>
  <c r="Q404" i="1" s="1"/>
  <c r="O404" i="1"/>
  <c r="M404" i="1"/>
  <c r="K404" i="1"/>
  <c r="A404" i="1"/>
  <c r="T403" i="1"/>
  <c r="U403" i="1" s="1"/>
  <c r="R403" i="1"/>
  <c r="P403" i="1"/>
  <c r="Q403" i="1" s="1"/>
  <c r="O403" i="1"/>
  <c r="M403" i="1"/>
  <c r="K403" i="1"/>
  <c r="A403" i="1"/>
  <c r="T402" i="1"/>
  <c r="U402" i="1" s="1"/>
  <c r="R402" i="1"/>
  <c r="P402" i="1"/>
  <c r="Q402" i="1" s="1"/>
  <c r="O402" i="1"/>
  <c r="M402" i="1"/>
  <c r="K402" i="1"/>
  <c r="A402" i="1"/>
  <c r="T401" i="1"/>
  <c r="U401" i="1" s="1"/>
  <c r="R401" i="1"/>
  <c r="P401" i="1"/>
  <c r="Q401" i="1" s="1"/>
  <c r="O401" i="1"/>
  <c r="M401" i="1"/>
  <c r="K401" i="1"/>
  <c r="A401" i="1"/>
  <c r="O400" i="1"/>
  <c r="M400" i="1"/>
  <c r="J400" i="1"/>
  <c r="A400" i="1" s="1"/>
  <c r="N399" i="1"/>
  <c r="O399" i="1" s="1"/>
  <c r="L399" i="1"/>
  <c r="M399" i="1" s="1"/>
  <c r="J399" i="1"/>
  <c r="K399" i="1" s="1"/>
  <c r="O398" i="1"/>
  <c r="L398" i="1"/>
  <c r="M398" i="1" s="1"/>
  <c r="J398" i="1"/>
  <c r="N397" i="1"/>
  <c r="O397" i="1" s="1"/>
  <c r="L397" i="1"/>
  <c r="J397" i="1"/>
  <c r="O396" i="1"/>
  <c r="L396" i="1"/>
  <c r="M396" i="1" s="1"/>
  <c r="J396" i="1"/>
  <c r="N395" i="1"/>
  <c r="L395" i="1"/>
  <c r="M395" i="1" s="1"/>
  <c r="J395" i="1"/>
  <c r="N394" i="1"/>
  <c r="O394" i="1" s="1"/>
  <c r="L394" i="1"/>
  <c r="M394" i="1" s="1"/>
  <c r="J394" i="1"/>
  <c r="J393" i="1"/>
  <c r="A393" i="1" s="1"/>
  <c r="J392" i="1"/>
  <c r="A392" i="1" s="1"/>
  <c r="J390" i="1"/>
  <c r="A390" i="1" s="1"/>
  <c r="J389" i="1"/>
  <c r="A389" i="1" s="1"/>
  <c r="J388" i="1"/>
  <c r="A388" i="1" s="1"/>
  <c r="N386" i="1"/>
  <c r="O386" i="1" s="1"/>
  <c r="L386" i="1"/>
  <c r="M386" i="1" s="1"/>
  <c r="J386" i="1"/>
  <c r="N385" i="1"/>
  <c r="O385" i="1" s="1"/>
  <c r="L385" i="1"/>
  <c r="M385" i="1" s="1"/>
  <c r="J385" i="1"/>
  <c r="T384" i="1"/>
  <c r="U384" i="1" s="1"/>
  <c r="R384" i="1"/>
  <c r="P384" i="1"/>
  <c r="Q384" i="1" s="1"/>
  <c r="O384" i="1"/>
  <c r="M384" i="1"/>
  <c r="K384" i="1"/>
  <c r="A384" i="1"/>
  <c r="T383" i="1"/>
  <c r="U383" i="1" s="1"/>
  <c r="R383" i="1"/>
  <c r="P383" i="1"/>
  <c r="Q383" i="1" s="1"/>
  <c r="A383" i="1"/>
  <c r="T382" i="1"/>
  <c r="U382" i="1" s="1"/>
  <c r="R382" i="1"/>
  <c r="P382" i="1"/>
  <c r="Q382" i="1" s="1"/>
  <c r="O382" i="1"/>
  <c r="K382" i="1"/>
  <c r="A382" i="1"/>
  <c r="T381" i="1"/>
  <c r="U381" i="1" s="1"/>
  <c r="R381" i="1"/>
  <c r="P381" i="1"/>
  <c r="Q381" i="1" s="1"/>
  <c r="O381" i="1"/>
  <c r="M381" i="1"/>
  <c r="K381" i="1"/>
  <c r="A381" i="1"/>
  <c r="T380" i="1"/>
  <c r="U380" i="1" s="1"/>
  <c r="R380" i="1"/>
  <c r="P380" i="1"/>
  <c r="Q380" i="1" s="1"/>
  <c r="O380" i="1"/>
  <c r="M380" i="1"/>
  <c r="K380" i="1"/>
  <c r="A380" i="1"/>
  <c r="T379" i="1"/>
  <c r="U379" i="1" s="1"/>
  <c r="R379" i="1"/>
  <c r="P379" i="1"/>
  <c r="Q379" i="1" s="1"/>
  <c r="A379" i="1"/>
  <c r="T378" i="1"/>
  <c r="U378" i="1" s="1"/>
  <c r="R378" i="1"/>
  <c r="P378" i="1"/>
  <c r="Q378" i="1" s="1"/>
  <c r="A378" i="1"/>
  <c r="T377" i="1"/>
  <c r="U377" i="1" s="1"/>
  <c r="R377" i="1"/>
  <c r="P377" i="1"/>
  <c r="Q377" i="1" s="1"/>
  <c r="A377" i="1"/>
  <c r="N376" i="1"/>
  <c r="O376" i="1" s="1"/>
  <c r="L376" i="1"/>
  <c r="M376" i="1" s="1"/>
  <c r="J376" i="1"/>
  <c r="N375" i="1"/>
  <c r="O375" i="1" s="1"/>
  <c r="L375" i="1"/>
  <c r="J375" i="1"/>
  <c r="O374" i="1"/>
  <c r="L374" i="1"/>
  <c r="J374" i="1"/>
  <c r="O373" i="1"/>
  <c r="M373" i="1"/>
  <c r="J373" i="1"/>
  <c r="T373" i="1" s="1"/>
  <c r="U373" i="1" s="1"/>
  <c r="T372" i="1"/>
  <c r="U372" i="1" s="1"/>
  <c r="R372" i="1"/>
  <c r="P372" i="1"/>
  <c r="Q372" i="1" s="1"/>
  <c r="O372" i="1"/>
  <c r="M372" i="1"/>
  <c r="K372" i="1"/>
  <c r="A372" i="1"/>
  <c r="T371" i="1"/>
  <c r="U371" i="1" s="1"/>
  <c r="R371" i="1"/>
  <c r="P371" i="1"/>
  <c r="Q371" i="1" s="1"/>
  <c r="O371" i="1"/>
  <c r="M371" i="1"/>
  <c r="K371" i="1"/>
  <c r="A371" i="1"/>
  <c r="T370" i="1"/>
  <c r="U370" i="1" s="1"/>
  <c r="R370" i="1"/>
  <c r="P370" i="1"/>
  <c r="Q370" i="1" s="1"/>
  <c r="O370" i="1"/>
  <c r="M370" i="1"/>
  <c r="K370" i="1"/>
  <c r="A370" i="1"/>
  <c r="N369" i="1"/>
  <c r="O369" i="1" s="1"/>
  <c r="L369" i="1"/>
  <c r="M369" i="1" s="1"/>
  <c r="J369" i="1"/>
  <c r="T367" i="1"/>
  <c r="U367" i="1" s="1"/>
  <c r="R367" i="1"/>
  <c r="P367" i="1"/>
  <c r="Q367" i="1" s="1"/>
  <c r="O367" i="1"/>
  <c r="M367" i="1"/>
  <c r="K367" i="1"/>
  <c r="A367" i="1"/>
  <c r="T366" i="1"/>
  <c r="U366" i="1" s="1"/>
  <c r="R366" i="1"/>
  <c r="P366" i="1"/>
  <c r="Q366" i="1" s="1"/>
  <c r="O366" i="1"/>
  <c r="M366" i="1"/>
  <c r="K366" i="1"/>
  <c r="A366" i="1"/>
  <c r="N365" i="1"/>
  <c r="O365" i="1" s="1"/>
  <c r="L365" i="1"/>
  <c r="M365" i="1" s="1"/>
  <c r="J365" i="1"/>
  <c r="T364" i="1"/>
  <c r="U364" i="1" s="1"/>
  <c r="R364" i="1"/>
  <c r="P364" i="1"/>
  <c r="Q364" i="1" s="1"/>
  <c r="O364" i="1"/>
  <c r="M364" i="1"/>
  <c r="K364" i="1"/>
  <c r="A364" i="1"/>
  <c r="O363" i="1"/>
  <c r="L363" i="1"/>
  <c r="M363" i="1" s="1"/>
  <c r="J363" i="1"/>
  <c r="N362" i="1"/>
  <c r="O362" i="1" s="1"/>
  <c r="L362" i="1"/>
  <c r="M362" i="1" s="1"/>
  <c r="J362" i="1"/>
  <c r="T361" i="1"/>
  <c r="U361" i="1" s="1"/>
  <c r="R361" i="1"/>
  <c r="P361" i="1"/>
  <c r="Q361" i="1" s="1"/>
  <c r="O361" i="1"/>
  <c r="M361" i="1"/>
  <c r="K361" i="1"/>
  <c r="A361" i="1"/>
  <c r="N360" i="1"/>
  <c r="O360" i="1" s="1"/>
  <c r="L360" i="1"/>
  <c r="M360" i="1" s="1"/>
  <c r="J360" i="1"/>
  <c r="N359" i="1"/>
  <c r="A359" i="1" s="1"/>
  <c r="M359" i="1"/>
  <c r="K359" i="1"/>
  <c r="N358" i="1"/>
  <c r="O358" i="1" s="1"/>
  <c r="L358" i="1"/>
  <c r="M358" i="1" s="1"/>
  <c r="J358" i="1"/>
  <c r="N357" i="1"/>
  <c r="O357" i="1" s="1"/>
  <c r="L357" i="1"/>
  <c r="M357" i="1" s="1"/>
  <c r="J357" i="1"/>
  <c r="N356" i="1"/>
  <c r="O356" i="1" s="1"/>
  <c r="L356" i="1"/>
  <c r="M356" i="1" s="1"/>
  <c r="J356" i="1"/>
  <c r="N355" i="1"/>
  <c r="O355" i="1" s="1"/>
  <c r="L355" i="1"/>
  <c r="M355" i="1" s="1"/>
  <c r="J355" i="1"/>
  <c r="N354" i="1"/>
  <c r="O354" i="1" s="1"/>
  <c r="L354" i="1"/>
  <c r="M354" i="1" s="1"/>
  <c r="J354" i="1"/>
  <c r="J353" i="1"/>
  <c r="A353" i="1" s="1"/>
  <c r="N352" i="1"/>
  <c r="O352" i="1" s="1"/>
  <c r="L352" i="1"/>
  <c r="M352" i="1" s="1"/>
  <c r="J352" i="1"/>
  <c r="T351" i="1"/>
  <c r="U351" i="1" s="1"/>
  <c r="R351" i="1"/>
  <c r="P351" i="1"/>
  <c r="Q351" i="1" s="1"/>
  <c r="A351" i="1"/>
  <c r="T350" i="1"/>
  <c r="U350" i="1" s="1"/>
  <c r="R350" i="1"/>
  <c r="P350" i="1"/>
  <c r="Q350" i="1" s="1"/>
  <c r="A350" i="1"/>
  <c r="T349" i="1"/>
  <c r="U349" i="1" s="1"/>
  <c r="R349" i="1"/>
  <c r="P349" i="1"/>
  <c r="Q349" i="1" s="1"/>
  <c r="A349" i="1"/>
  <c r="T348" i="1"/>
  <c r="U348" i="1" s="1"/>
  <c r="R348" i="1"/>
  <c r="P348" i="1"/>
  <c r="Q348" i="1" s="1"/>
  <c r="A348" i="1"/>
  <c r="T347" i="1"/>
  <c r="U347" i="1" s="1"/>
  <c r="R347" i="1"/>
  <c r="P347" i="1"/>
  <c r="Q347" i="1" s="1"/>
  <c r="A347" i="1"/>
  <c r="T346" i="1"/>
  <c r="U346" i="1" s="1"/>
  <c r="R346" i="1"/>
  <c r="P346" i="1"/>
  <c r="Q346" i="1" s="1"/>
  <c r="A346" i="1"/>
  <c r="T345" i="1"/>
  <c r="U345" i="1" s="1"/>
  <c r="R345" i="1"/>
  <c r="P345" i="1"/>
  <c r="Q345" i="1" s="1"/>
  <c r="A345" i="1"/>
  <c r="T344" i="1"/>
  <c r="U344" i="1" s="1"/>
  <c r="R344" i="1"/>
  <c r="P344" i="1"/>
  <c r="Q344" i="1" s="1"/>
  <c r="A344" i="1"/>
  <c r="T343" i="1"/>
  <c r="U343" i="1" s="1"/>
  <c r="R343" i="1"/>
  <c r="P343" i="1"/>
  <c r="Q343" i="1" s="1"/>
  <c r="A343" i="1"/>
  <c r="N342" i="1"/>
  <c r="L342" i="1"/>
  <c r="M342" i="1" s="1"/>
  <c r="J342" i="1"/>
  <c r="N341" i="1"/>
  <c r="O341" i="1" s="1"/>
  <c r="L341" i="1"/>
  <c r="M341" i="1" s="1"/>
  <c r="J341" i="1"/>
  <c r="T340" i="1"/>
  <c r="U340" i="1" s="1"/>
  <c r="R340" i="1"/>
  <c r="P340" i="1"/>
  <c r="Q340" i="1" s="1"/>
  <c r="O340" i="1"/>
  <c r="M340" i="1"/>
  <c r="K340" i="1"/>
  <c r="A340" i="1"/>
  <c r="O339" i="1"/>
  <c r="M339" i="1"/>
  <c r="J339" i="1"/>
  <c r="A339" i="1" s="1"/>
  <c r="O338" i="1"/>
  <c r="M338" i="1"/>
  <c r="J338" i="1"/>
  <c r="A338" i="1" s="1"/>
  <c r="T336" i="1"/>
  <c r="U336" i="1" s="1"/>
  <c r="R336" i="1"/>
  <c r="P336" i="1"/>
  <c r="Q336" i="1" s="1"/>
  <c r="O336" i="1"/>
  <c r="M336" i="1"/>
  <c r="K336" i="1"/>
  <c r="A336" i="1"/>
  <c r="T335" i="1"/>
  <c r="U335" i="1" s="1"/>
  <c r="R335" i="1"/>
  <c r="P335" i="1"/>
  <c r="Q335" i="1" s="1"/>
  <c r="O335" i="1"/>
  <c r="M335" i="1"/>
  <c r="K335" i="1"/>
  <c r="A335" i="1"/>
  <c r="T334" i="1"/>
  <c r="U334" i="1" s="1"/>
  <c r="R334" i="1"/>
  <c r="P334" i="1"/>
  <c r="Q334" i="1" s="1"/>
  <c r="O334" i="1"/>
  <c r="M334" i="1"/>
  <c r="K334" i="1"/>
  <c r="A334" i="1"/>
  <c r="N333" i="1"/>
  <c r="O333" i="1" s="1"/>
  <c r="L333" i="1"/>
  <c r="M333" i="1" s="1"/>
  <c r="J333" i="1"/>
  <c r="T332" i="1"/>
  <c r="U332" i="1" s="1"/>
  <c r="R332" i="1"/>
  <c r="P332" i="1"/>
  <c r="Q332" i="1" s="1"/>
  <c r="O332" i="1"/>
  <c r="M332" i="1"/>
  <c r="K332" i="1"/>
  <c r="A332" i="1"/>
  <c r="J331" i="1"/>
  <c r="A331" i="1" s="1"/>
  <c r="J330" i="1"/>
  <c r="A330" i="1" s="1"/>
  <c r="T329" i="1"/>
  <c r="U329" i="1" s="1"/>
  <c r="R329" i="1"/>
  <c r="P329" i="1"/>
  <c r="Q329" i="1" s="1"/>
  <c r="O329" i="1"/>
  <c r="A329" i="1"/>
  <c r="J328" i="1"/>
  <c r="A328" i="1" s="1"/>
  <c r="N326" i="1"/>
  <c r="O326" i="1" s="1"/>
  <c r="L326" i="1"/>
  <c r="M326" i="1" s="1"/>
  <c r="J326" i="1"/>
  <c r="N325" i="1"/>
  <c r="O325" i="1" s="1"/>
  <c r="L325" i="1"/>
  <c r="M325" i="1" s="1"/>
  <c r="J325" i="1"/>
  <c r="T324" i="1"/>
  <c r="U324" i="1" s="1"/>
  <c r="R324" i="1"/>
  <c r="P324" i="1"/>
  <c r="Q324" i="1" s="1"/>
  <c r="O324" i="1"/>
  <c r="M324" i="1"/>
  <c r="K324" i="1"/>
  <c r="A324" i="1"/>
  <c r="T323" i="1"/>
  <c r="U323" i="1" s="1"/>
  <c r="R323" i="1"/>
  <c r="P323" i="1"/>
  <c r="Q323" i="1" s="1"/>
  <c r="O323" i="1"/>
  <c r="M323" i="1"/>
  <c r="K323" i="1"/>
  <c r="A323" i="1"/>
  <c r="N322" i="1"/>
  <c r="O322" i="1" s="1"/>
  <c r="L322" i="1"/>
  <c r="M322" i="1" s="1"/>
  <c r="J322" i="1"/>
  <c r="J321" i="1"/>
  <c r="A321" i="1" s="1"/>
  <c r="J320" i="1"/>
  <c r="A320" i="1" s="1"/>
  <c r="O318" i="1"/>
  <c r="M318" i="1"/>
  <c r="K318" i="1"/>
  <c r="N317" i="1"/>
  <c r="O317" i="1" s="1"/>
  <c r="L317" i="1"/>
  <c r="K317" i="1"/>
  <c r="N316" i="1"/>
  <c r="O316" i="1" s="1"/>
  <c r="L316" i="1"/>
  <c r="M316" i="1" s="1"/>
  <c r="J316" i="1"/>
  <c r="N315" i="1"/>
  <c r="O315" i="1" s="1"/>
  <c r="L315" i="1"/>
  <c r="M315" i="1" s="1"/>
  <c r="J315" i="1"/>
  <c r="N314" i="1"/>
  <c r="O314" i="1" s="1"/>
  <c r="L314" i="1"/>
  <c r="M314" i="1" s="1"/>
  <c r="J314" i="1"/>
  <c r="N313" i="1"/>
  <c r="O313" i="1" s="1"/>
  <c r="L313" i="1"/>
  <c r="M313" i="1" s="1"/>
  <c r="J313" i="1"/>
  <c r="O312" i="1"/>
  <c r="M312" i="1"/>
  <c r="J312" i="1"/>
  <c r="A312" i="1" s="1"/>
  <c r="T311" i="1"/>
  <c r="U311" i="1" s="1"/>
  <c r="R311" i="1"/>
  <c r="P311" i="1"/>
  <c r="Q311" i="1" s="1"/>
  <c r="O311" i="1"/>
  <c r="M311" i="1"/>
  <c r="K311" i="1"/>
  <c r="A311" i="1"/>
  <c r="T310" i="1"/>
  <c r="U310" i="1" s="1"/>
  <c r="R310" i="1"/>
  <c r="P310" i="1"/>
  <c r="Q310" i="1" s="1"/>
  <c r="O310" i="1"/>
  <c r="M310" i="1"/>
  <c r="K310" i="1"/>
  <c r="A310" i="1"/>
  <c r="T309" i="1"/>
  <c r="U309" i="1" s="1"/>
  <c r="R309" i="1"/>
  <c r="P309" i="1"/>
  <c r="Q309" i="1" s="1"/>
  <c r="A309" i="1"/>
  <c r="T308" i="1"/>
  <c r="U308" i="1" s="1"/>
  <c r="R308" i="1"/>
  <c r="P308" i="1"/>
  <c r="Q308" i="1" s="1"/>
  <c r="O308" i="1"/>
  <c r="M308" i="1"/>
  <c r="K308" i="1"/>
  <c r="A308" i="1"/>
  <c r="N307" i="1"/>
  <c r="O307" i="1" s="1"/>
  <c r="L307" i="1"/>
  <c r="M307" i="1" s="1"/>
  <c r="J307" i="1"/>
  <c r="O306" i="1"/>
  <c r="L306" i="1"/>
  <c r="M306" i="1" s="1"/>
  <c r="J306" i="1"/>
  <c r="J305" i="1"/>
  <c r="A305" i="1" s="1"/>
  <c r="N304" i="1"/>
  <c r="O304" i="1" s="1"/>
  <c r="L304" i="1"/>
  <c r="M304" i="1" s="1"/>
  <c r="J304" i="1"/>
  <c r="N303" i="1"/>
  <c r="O303" i="1" s="1"/>
  <c r="M303" i="1"/>
  <c r="J303" i="1"/>
  <c r="N302" i="1"/>
  <c r="O302" i="1" s="1"/>
  <c r="L302" i="1"/>
  <c r="M302" i="1" s="1"/>
  <c r="J302" i="1"/>
  <c r="N301" i="1"/>
  <c r="O301" i="1" s="1"/>
  <c r="L301" i="1"/>
  <c r="M301" i="1" s="1"/>
  <c r="J301" i="1"/>
  <c r="N300" i="1"/>
  <c r="O300" i="1" s="1"/>
  <c r="L300" i="1"/>
  <c r="M300" i="1" s="1"/>
  <c r="J300" i="1"/>
  <c r="T299" i="1"/>
  <c r="U299" i="1" s="1"/>
  <c r="R299" i="1"/>
  <c r="P299" i="1"/>
  <c r="Q299" i="1" s="1"/>
  <c r="O299" i="1"/>
  <c r="M299" i="1"/>
  <c r="K299" i="1"/>
  <c r="A299" i="1"/>
  <c r="N298" i="1"/>
  <c r="O298" i="1" s="1"/>
  <c r="L298" i="1"/>
  <c r="M298" i="1" s="1"/>
  <c r="J298" i="1"/>
  <c r="N297" i="1"/>
  <c r="O297" i="1" s="1"/>
  <c r="L297" i="1"/>
  <c r="M297" i="1" s="1"/>
  <c r="J297" i="1"/>
  <c r="O296" i="1"/>
  <c r="L296" i="1"/>
  <c r="M296" i="1" s="1"/>
  <c r="J296" i="1"/>
  <c r="K296" i="1" s="1"/>
  <c r="O295" i="1"/>
  <c r="L295" i="1"/>
  <c r="M295" i="1" s="1"/>
  <c r="J295" i="1"/>
  <c r="O294" i="1"/>
  <c r="M294" i="1"/>
  <c r="J294" i="1"/>
  <c r="A294" i="1" s="1"/>
  <c r="O293" i="1"/>
  <c r="M293" i="1"/>
  <c r="A293" i="1"/>
  <c r="T291" i="1"/>
  <c r="U291" i="1" s="1"/>
  <c r="R291" i="1"/>
  <c r="P291" i="1"/>
  <c r="Q291" i="1" s="1"/>
  <c r="A291" i="1"/>
  <c r="T290" i="1"/>
  <c r="U290" i="1" s="1"/>
  <c r="R290" i="1"/>
  <c r="P290" i="1"/>
  <c r="Q290" i="1" s="1"/>
  <c r="A290" i="1"/>
  <c r="T289" i="1"/>
  <c r="U289" i="1" s="1"/>
  <c r="R289" i="1"/>
  <c r="P289" i="1"/>
  <c r="Q289" i="1" s="1"/>
  <c r="A289" i="1"/>
  <c r="T288" i="1"/>
  <c r="U288" i="1" s="1"/>
  <c r="R288" i="1"/>
  <c r="P288" i="1"/>
  <c r="Q288" i="1" s="1"/>
  <c r="A288" i="1"/>
  <c r="T287" i="1"/>
  <c r="U287" i="1" s="1"/>
  <c r="R287" i="1"/>
  <c r="P287" i="1"/>
  <c r="Q287" i="1" s="1"/>
  <c r="A287" i="1"/>
  <c r="T286" i="1"/>
  <c r="U286" i="1" s="1"/>
  <c r="R286" i="1"/>
  <c r="P286" i="1"/>
  <c r="Q286" i="1" s="1"/>
  <c r="O286" i="1"/>
  <c r="M286" i="1"/>
  <c r="K286" i="1"/>
  <c r="A286" i="1"/>
  <c r="T285" i="1"/>
  <c r="U285" i="1" s="1"/>
  <c r="R285" i="1"/>
  <c r="P285" i="1"/>
  <c r="Q285" i="1" s="1"/>
  <c r="O285" i="1"/>
  <c r="M285" i="1"/>
  <c r="K285" i="1"/>
  <c r="A285" i="1"/>
  <c r="J284" i="1"/>
  <c r="A284" i="1" s="1"/>
  <c r="T283" i="1"/>
  <c r="U283" i="1" s="1"/>
  <c r="R283" i="1"/>
  <c r="P283" i="1"/>
  <c r="Q283" i="1" s="1"/>
  <c r="A283" i="1"/>
  <c r="N282" i="1"/>
  <c r="O282" i="1" s="1"/>
  <c r="L282" i="1"/>
  <c r="M282" i="1" s="1"/>
  <c r="J282" i="1"/>
  <c r="T281" i="1"/>
  <c r="U281" i="1" s="1"/>
  <c r="R281" i="1"/>
  <c r="P281" i="1"/>
  <c r="Q281" i="1" s="1"/>
  <c r="O281" i="1"/>
  <c r="M281" i="1"/>
  <c r="K281" i="1"/>
  <c r="A281" i="1"/>
  <c r="O280" i="1"/>
  <c r="L280" i="1"/>
  <c r="M280" i="1" s="1"/>
  <c r="J280" i="1"/>
  <c r="N279" i="1"/>
  <c r="O279" i="1" s="1"/>
  <c r="L279" i="1"/>
  <c r="M279" i="1" s="1"/>
  <c r="J279" i="1"/>
  <c r="N278" i="1"/>
  <c r="O278" i="1" s="1"/>
  <c r="L278" i="1"/>
  <c r="M278" i="1" s="1"/>
  <c r="J278" i="1"/>
  <c r="N277" i="1"/>
  <c r="O277" i="1" s="1"/>
  <c r="L277" i="1"/>
  <c r="M277" i="1" s="1"/>
  <c r="J277" i="1"/>
  <c r="T276" i="1"/>
  <c r="U276" i="1" s="1"/>
  <c r="R276" i="1"/>
  <c r="P276" i="1"/>
  <c r="Q276" i="1" s="1"/>
  <c r="O276" i="1"/>
  <c r="M276" i="1"/>
  <c r="K276" i="1"/>
  <c r="A276" i="1"/>
  <c r="T275" i="1"/>
  <c r="U275" i="1" s="1"/>
  <c r="R275" i="1"/>
  <c r="P275" i="1"/>
  <c r="Q275" i="1" s="1"/>
  <c r="O275" i="1"/>
  <c r="M275" i="1"/>
  <c r="K275" i="1"/>
  <c r="A275" i="1"/>
  <c r="O274" i="1"/>
  <c r="M274" i="1"/>
  <c r="J274" i="1"/>
  <c r="A274" i="1" s="1"/>
  <c r="O273" i="1"/>
  <c r="L273" i="1"/>
  <c r="M273" i="1" s="1"/>
  <c r="J273" i="1"/>
  <c r="T272" i="1"/>
  <c r="U272" i="1" s="1"/>
  <c r="R272" i="1"/>
  <c r="P272" i="1"/>
  <c r="Q272" i="1" s="1"/>
  <c r="O272" i="1"/>
  <c r="M272" i="1"/>
  <c r="K272" i="1"/>
  <c r="A272" i="1"/>
  <c r="N271" i="1"/>
  <c r="O271" i="1" s="1"/>
  <c r="L271" i="1"/>
  <c r="M271" i="1" s="1"/>
  <c r="J271" i="1"/>
  <c r="N270" i="1"/>
  <c r="O270" i="1" s="1"/>
  <c r="L270" i="1"/>
  <c r="M270" i="1" s="1"/>
  <c r="J270" i="1"/>
  <c r="T269" i="1"/>
  <c r="U269" i="1" s="1"/>
  <c r="R269" i="1"/>
  <c r="P269" i="1"/>
  <c r="Q269" i="1" s="1"/>
  <c r="O269" i="1"/>
  <c r="M269" i="1"/>
  <c r="K269" i="1"/>
  <c r="A269" i="1"/>
  <c r="N267" i="1"/>
  <c r="L267" i="1"/>
  <c r="M267" i="1" s="1"/>
  <c r="J267" i="1"/>
  <c r="N266" i="1"/>
  <c r="O266" i="1" s="1"/>
  <c r="L266" i="1"/>
  <c r="M266" i="1" s="1"/>
  <c r="J266" i="1"/>
  <c r="T265" i="1"/>
  <c r="U265" i="1" s="1"/>
  <c r="R265" i="1"/>
  <c r="P265" i="1"/>
  <c r="Q265" i="1" s="1"/>
  <c r="O265" i="1"/>
  <c r="M265" i="1"/>
  <c r="K265" i="1"/>
  <c r="A265" i="1"/>
  <c r="O264" i="1"/>
  <c r="L264" i="1"/>
  <c r="M264" i="1" s="1"/>
  <c r="J264" i="1"/>
  <c r="T263" i="1"/>
  <c r="U263" i="1" s="1"/>
  <c r="R263" i="1"/>
  <c r="P263" i="1"/>
  <c r="Q263" i="1" s="1"/>
  <c r="A263" i="1"/>
  <c r="T262" i="1"/>
  <c r="U262" i="1" s="1"/>
  <c r="R262" i="1"/>
  <c r="P262" i="1"/>
  <c r="Q262" i="1" s="1"/>
  <c r="A262" i="1"/>
  <c r="T261" i="1"/>
  <c r="U261" i="1" s="1"/>
  <c r="R261" i="1"/>
  <c r="P261" i="1"/>
  <c r="Q261" i="1" s="1"/>
  <c r="A261" i="1"/>
  <c r="T260" i="1"/>
  <c r="U260" i="1" s="1"/>
  <c r="R260" i="1"/>
  <c r="P260" i="1"/>
  <c r="Q260" i="1" s="1"/>
  <c r="A260" i="1"/>
  <c r="T259" i="1"/>
  <c r="U259" i="1" s="1"/>
  <c r="R259" i="1"/>
  <c r="P259" i="1"/>
  <c r="Q259" i="1" s="1"/>
  <c r="A259" i="1"/>
  <c r="T258" i="1"/>
  <c r="U258" i="1" s="1"/>
  <c r="R258" i="1"/>
  <c r="P258" i="1"/>
  <c r="Q258" i="1" s="1"/>
  <c r="A258" i="1"/>
  <c r="O257" i="1"/>
  <c r="L257" i="1"/>
  <c r="M257" i="1" s="1"/>
  <c r="J257" i="1"/>
  <c r="T256" i="1"/>
  <c r="U256" i="1" s="1"/>
  <c r="R256" i="1"/>
  <c r="P256" i="1"/>
  <c r="Q256" i="1" s="1"/>
  <c r="O256" i="1"/>
  <c r="M256" i="1"/>
  <c r="K256" i="1"/>
  <c r="A256" i="1"/>
  <c r="N255" i="1"/>
  <c r="O255" i="1" s="1"/>
  <c r="L255" i="1"/>
  <c r="M255" i="1" s="1"/>
  <c r="J255" i="1"/>
  <c r="T254" i="1"/>
  <c r="U254" i="1" s="1"/>
  <c r="R254" i="1"/>
  <c r="P254" i="1"/>
  <c r="Q254" i="1" s="1"/>
  <c r="O254" i="1"/>
  <c r="M254" i="1"/>
  <c r="K254" i="1"/>
  <c r="A254" i="1"/>
  <c r="T253" i="1"/>
  <c r="U253" i="1" s="1"/>
  <c r="R253" i="1"/>
  <c r="P253" i="1"/>
  <c r="Q253" i="1" s="1"/>
  <c r="O253" i="1"/>
  <c r="M253" i="1"/>
  <c r="K253" i="1"/>
  <c r="A253" i="1"/>
  <c r="N252" i="1"/>
  <c r="O252" i="1" s="1"/>
  <c r="L252" i="1"/>
  <c r="M252" i="1" s="1"/>
  <c r="J252" i="1"/>
  <c r="O251" i="1"/>
  <c r="L251" i="1"/>
  <c r="M251" i="1" s="1"/>
  <c r="J251" i="1"/>
  <c r="N250" i="1"/>
  <c r="O250" i="1" s="1"/>
  <c r="L250" i="1"/>
  <c r="M250" i="1" s="1"/>
  <c r="J250" i="1"/>
  <c r="N249" i="1"/>
  <c r="O249" i="1" s="1"/>
  <c r="L249" i="1"/>
  <c r="M249" i="1" s="1"/>
  <c r="J249" i="1"/>
  <c r="O248" i="1"/>
  <c r="M248" i="1"/>
  <c r="P248" i="1"/>
  <c r="Q248" i="1" s="1"/>
  <c r="T247" i="1"/>
  <c r="U247" i="1" s="1"/>
  <c r="R247" i="1"/>
  <c r="P247" i="1"/>
  <c r="Q247" i="1" s="1"/>
  <c r="O247" i="1"/>
  <c r="M247" i="1"/>
  <c r="K247" i="1"/>
  <c r="A247" i="1"/>
  <c r="T245" i="1"/>
  <c r="U245" i="1" s="1"/>
  <c r="R245" i="1"/>
  <c r="P245" i="1"/>
  <c r="Q245" i="1" s="1"/>
  <c r="A245" i="1"/>
  <c r="T244" i="1"/>
  <c r="U244" i="1" s="1"/>
  <c r="R244" i="1"/>
  <c r="P244" i="1"/>
  <c r="Q244" i="1" s="1"/>
  <c r="A244" i="1"/>
  <c r="T243" i="1"/>
  <c r="U243" i="1" s="1"/>
  <c r="R243" i="1"/>
  <c r="P243" i="1"/>
  <c r="Q243" i="1" s="1"/>
  <c r="A243" i="1"/>
  <c r="T242" i="1"/>
  <c r="U242" i="1" s="1"/>
  <c r="R242" i="1"/>
  <c r="P242" i="1"/>
  <c r="Q242" i="1" s="1"/>
  <c r="A242" i="1"/>
  <c r="T241" i="1"/>
  <c r="U241" i="1" s="1"/>
  <c r="R241" i="1"/>
  <c r="P241" i="1"/>
  <c r="Q241" i="1" s="1"/>
  <c r="O241" i="1"/>
  <c r="M241" i="1"/>
  <c r="K241" i="1"/>
  <c r="A241" i="1"/>
  <c r="N240" i="1"/>
  <c r="O240" i="1" s="1"/>
  <c r="L240" i="1"/>
  <c r="M240" i="1" s="1"/>
  <c r="J240" i="1"/>
  <c r="N239" i="1"/>
  <c r="O239" i="1" s="1"/>
  <c r="L239" i="1"/>
  <c r="M239" i="1" s="1"/>
  <c r="J239" i="1"/>
  <c r="N238" i="1"/>
  <c r="L238" i="1"/>
  <c r="M238" i="1" s="1"/>
  <c r="J238" i="1"/>
  <c r="N237" i="1"/>
  <c r="O237" i="1" s="1"/>
  <c r="L237" i="1"/>
  <c r="M237" i="1" s="1"/>
  <c r="J237" i="1"/>
  <c r="N236" i="1"/>
  <c r="O236" i="1" s="1"/>
  <c r="L236" i="1"/>
  <c r="M236" i="1" s="1"/>
  <c r="J236" i="1"/>
  <c r="T235" i="1"/>
  <c r="U235" i="1" s="1"/>
  <c r="R235" i="1"/>
  <c r="P235" i="1"/>
  <c r="Q235" i="1" s="1"/>
  <c r="O235" i="1"/>
  <c r="M235" i="1"/>
  <c r="K235" i="1"/>
  <c r="A235" i="1"/>
  <c r="J234" i="1"/>
  <c r="A234" i="1" s="1"/>
  <c r="N233" i="1"/>
  <c r="O233" i="1" s="1"/>
  <c r="L233" i="1"/>
  <c r="M233" i="1" s="1"/>
  <c r="J233" i="1"/>
  <c r="N232" i="1"/>
  <c r="O232" i="1" s="1"/>
  <c r="L232" i="1"/>
  <c r="M232" i="1" s="1"/>
  <c r="J232" i="1"/>
  <c r="T231" i="1"/>
  <c r="U231" i="1" s="1"/>
  <c r="R231" i="1"/>
  <c r="P231" i="1"/>
  <c r="Q231" i="1" s="1"/>
  <c r="K231" i="1"/>
  <c r="T230" i="1"/>
  <c r="U230" i="1" s="1"/>
  <c r="R230" i="1"/>
  <c r="P230" i="1"/>
  <c r="Q230" i="1" s="1"/>
  <c r="K230" i="1"/>
  <c r="T228" i="1"/>
  <c r="U228" i="1" s="1"/>
  <c r="R228" i="1"/>
  <c r="P228" i="1"/>
  <c r="Q228" i="1" s="1"/>
  <c r="A228" i="1"/>
  <c r="N227" i="1"/>
  <c r="O227" i="1" s="1"/>
  <c r="M227" i="1"/>
  <c r="J227" i="1"/>
  <c r="T226" i="1"/>
  <c r="U226" i="1" s="1"/>
  <c r="R226" i="1"/>
  <c r="P226" i="1"/>
  <c r="Q226" i="1" s="1"/>
  <c r="A226" i="1"/>
  <c r="T225" i="1"/>
  <c r="U225" i="1" s="1"/>
  <c r="R225" i="1"/>
  <c r="P225" i="1"/>
  <c r="Q225" i="1" s="1"/>
  <c r="A225" i="1"/>
  <c r="T224" i="1"/>
  <c r="U224" i="1" s="1"/>
  <c r="R224" i="1"/>
  <c r="P224" i="1"/>
  <c r="Q224" i="1" s="1"/>
  <c r="A224" i="1"/>
  <c r="T223" i="1"/>
  <c r="U223" i="1" s="1"/>
  <c r="R223" i="1"/>
  <c r="P223" i="1"/>
  <c r="Q223" i="1" s="1"/>
  <c r="A223" i="1"/>
  <c r="T222" i="1"/>
  <c r="U222" i="1" s="1"/>
  <c r="R222" i="1"/>
  <c r="P222" i="1"/>
  <c r="Q222" i="1" s="1"/>
  <c r="A222" i="1"/>
  <c r="T221" i="1"/>
  <c r="U221" i="1" s="1"/>
  <c r="R221" i="1"/>
  <c r="P221" i="1"/>
  <c r="Q221" i="1" s="1"/>
  <c r="A221" i="1"/>
  <c r="T220" i="1"/>
  <c r="U220" i="1" s="1"/>
  <c r="R220" i="1"/>
  <c r="P220" i="1"/>
  <c r="Q220" i="1" s="1"/>
  <c r="A220" i="1"/>
  <c r="T219" i="1"/>
  <c r="U219" i="1" s="1"/>
  <c r="R219" i="1"/>
  <c r="P219" i="1"/>
  <c r="Q219" i="1" s="1"/>
  <c r="A219" i="1"/>
  <c r="T218" i="1"/>
  <c r="U218" i="1" s="1"/>
  <c r="R218" i="1"/>
  <c r="P218" i="1"/>
  <c r="Q218" i="1" s="1"/>
  <c r="A218" i="1"/>
  <c r="T217" i="1"/>
  <c r="U217" i="1" s="1"/>
  <c r="R217" i="1"/>
  <c r="P217" i="1"/>
  <c r="Q217" i="1" s="1"/>
  <c r="A217" i="1"/>
  <c r="T216" i="1"/>
  <c r="U216" i="1" s="1"/>
  <c r="R216" i="1"/>
  <c r="P216" i="1"/>
  <c r="Q216" i="1" s="1"/>
  <c r="A216" i="1"/>
  <c r="T215" i="1"/>
  <c r="U215" i="1" s="1"/>
  <c r="R215" i="1"/>
  <c r="P215" i="1"/>
  <c r="Q215" i="1" s="1"/>
  <c r="A215" i="1"/>
  <c r="T214" i="1"/>
  <c r="U214" i="1" s="1"/>
  <c r="R214" i="1"/>
  <c r="P214" i="1"/>
  <c r="Q214" i="1" s="1"/>
  <c r="A214" i="1"/>
  <c r="T213" i="1"/>
  <c r="U213" i="1" s="1"/>
  <c r="R213" i="1"/>
  <c r="P213" i="1"/>
  <c r="Q213" i="1" s="1"/>
  <c r="O213" i="1"/>
  <c r="M213" i="1"/>
  <c r="K213" i="1"/>
  <c r="A213" i="1"/>
  <c r="T212" i="1"/>
  <c r="U212" i="1" s="1"/>
  <c r="R212" i="1"/>
  <c r="P212" i="1"/>
  <c r="Q212" i="1" s="1"/>
  <c r="O212" i="1"/>
  <c r="M212" i="1"/>
  <c r="K212" i="1"/>
  <c r="A212" i="1"/>
  <c r="T211" i="1"/>
  <c r="U211" i="1" s="1"/>
  <c r="R211" i="1"/>
  <c r="P211" i="1"/>
  <c r="Q211" i="1" s="1"/>
  <c r="K211" i="1"/>
  <c r="A211" i="1"/>
  <c r="T210" i="1"/>
  <c r="U210" i="1" s="1"/>
  <c r="R210" i="1"/>
  <c r="P210" i="1"/>
  <c r="Q210" i="1" s="1"/>
  <c r="O210" i="1"/>
  <c r="M210" i="1"/>
  <c r="K210" i="1"/>
  <c r="A210" i="1"/>
  <c r="T209" i="1"/>
  <c r="U209" i="1" s="1"/>
  <c r="R209" i="1"/>
  <c r="P209" i="1"/>
  <c r="Q209" i="1" s="1"/>
  <c r="O209" i="1"/>
  <c r="M209" i="1"/>
  <c r="K209" i="1"/>
  <c r="A209" i="1"/>
  <c r="O208" i="1"/>
  <c r="L208" i="1"/>
  <c r="M208" i="1" s="1"/>
  <c r="J208" i="1"/>
  <c r="T207" i="1"/>
  <c r="U207" i="1" s="1"/>
  <c r="R207" i="1"/>
  <c r="P207" i="1"/>
  <c r="Q207" i="1" s="1"/>
  <c r="O207" i="1"/>
  <c r="M207" i="1"/>
  <c r="K207" i="1"/>
  <c r="A207" i="1"/>
  <c r="N206" i="1"/>
  <c r="O206" i="1" s="1"/>
  <c r="L206" i="1"/>
  <c r="M206" i="1" s="1"/>
  <c r="J206" i="1"/>
  <c r="N205" i="1"/>
  <c r="O205" i="1" s="1"/>
  <c r="L205" i="1"/>
  <c r="M205" i="1" s="1"/>
  <c r="J205" i="1"/>
  <c r="T204" i="1"/>
  <c r="U204" i="1" s="1"/>
  <c r="R204" i="1"/>
  <c r="P204" i="1"/>
  <c r="Q204" i="1" s="1"/>
  <c r="O204" i="1"/>
  <c r="M204" i="1"/>
  <c r="K204" i="1"/>
  <c r="A204" i="1"/>
  <c r="J203" i="1"/>
  <c r="A203" i="1" s="1"/>
  <c r="N202" i="1"/>
  <c r="O202" i="1" s="1"/>
  <c r="L202" i="1"/>
  <c r="M202" i="1" s="1"/>
  <c r="J202" i="1"/>
  <c r="N201" i="1"/>
  <c r="O201" i="1" s="1"/>
  <c r="L201" i="1"/>
  <c r="M201" i="1" s="1"/>
  <c r="J201" i="1"/>
  <c r="N200" i="1"/>
  <c r="O200" i="1" s="1"/>
  <c r="L200" i="1"/>
  <c r="M200" i="1" s="1"/>
  <c r="J200" i="1"/>
  <c r="N199" i="1"/>
  <c r="O199" i="1" s="1"/>
  <c r="L199" i="1"/>
  <c r="M199" i="1" s="1"/>
  <c r="J199" i="1"/>
  <c r="N198" i="1"/>
  <c r="O198" i="1" s="1"/>
  <c r="L198" i="1"/>
  <c r="M198" i="1" s="1"/>
  <c r="J198" i="1"/>
  <c r="T197" i="1"/>
  <c r="U197" i="1" s="1"/>
  <c r="R197" i="1"/>
  <c r="P197" i="1"/>
  <c r="Q197" i="1" s="1"/>
  <c r="O197" i="1"/>
  <c r="M197" i="1"/>
  <c r="K197" i="1"/>
  <c r="A197" i="1"/>
  <c r="N196" i="1"/>
  <c r="O196" i="1" s="1"/>
  <c r="L196" i="1"/>
  <c r="M196" i="1" s="1"/>
  <c r="J196" i="1"/>
  <c r="N195" i="1"/>
  <c r="O195" i="1" s="1"/>
  <c r="M195" i="1"/>
  <c r="J195" i="1"/>
  <c r="N194" i="1"/>
  <c r="O194" i="1" s="1"/>
  <c r="L194" i="1"/>
  <c r="K194" i="1"/>
  <c r="T193" i="1"/>
  <c r="U193" i="1" s="1"/>
  <c r="R193" i="1"/>
  <c r="P193" i="1"/>
  <c r="Q193" i="1" s="1"/>
  <c r="O193" i="1"/>
  <c r="M193" i="1"/>
  <c r="K193" i="1"/>
  <c r="A193" i="1"/>
  <c r="N192" i="1"/>
  <c r="O192" i="1" s="1"/>
  <c r="L192" i="1"/>
  <c r="M192" i="1" s="1"/>
  <c r="J192" i="1"/>
  <c r="N191" i="1"/>
  <c r="O191" i="1" s="1"/>
  <c r="L191" i="1"/>
  <c r="M191" i="1" s="1"/>
  <c r="J191" i="1"/>
  <c r="N190" i="1"/>
  <c r="O190" i="1" s="1"/>
  <c r="L190" i="1"/>
  <c r="M190" i="1" s="1"/>
  <c r="J190" i="1"/>
  <c r="O189" i="1"/>
  <c r="M189" i="1"/>
  <c r="J189" i="1"/>
  <c r="A189" i="1" s="1"/>
  <c r="J188" i="1"/>
  <c r="A188" i="1" s="1"/>
  <c r="J187" i="1"/>
  <c r="A187" i="1" s="1"/>
  <c r="T185" i="1"/>
  <c r="U185" i="1" s="1"/>
  <c r="R185" i="1"/>
  <c r="P185" i="1"/>
  <c r="Q185" i="1" s="1"/>
  <c r="O185" i="1"/>
  <c r="M185" i="1"/>
  <c r="K185" i="1"/>
  <c r="A185" i="1"/>
  <c r="T184" i="1"/>
  <c r="U184" i="1" s="1"/>
  <c r="R184" i="1"/>
  <c r="P184" i="1"/>
  <c r="Q184" i="1" s="1"/>
  <c r="K184" i="1"/>
  <c r="A184" i="1"/>
  <c r="N183" i="1"/>
  <c r="O183" i="1" s="1"/>
  <c r="L183" i="1"/>
  <c r="M183" i="1" s="1"/>
  <c r="J183" i="1"/>
  <c r="N182" i="1"/>
  <c r="O182" i="1" s="1"/>
  <c r="L182" i="1"/>
  <c r="M182" i="1" s="1"/>
  <c r="J182" i="1"/>
  <c r="N181" i="1"/>
  <c r="O181" i="1" s="1"/>
  <c r="L181" i="1"/>
  <c r="M181" i="1" s="1"/>
  <c r="J181" i="1"/>
  <c r="T180" i="1"/>
  <c r="U180" i="1" s="1"/>
  <c r="R180" i="1"/>
  <c r="P180" i="1"/>
  <c r="Q180" i="1" s="1"/>
  <c r="A180" i="1"/>
  <c r="O179" i="1"/>
  <c r="L179" i="1"/>
  <c r="M179" i="1" s="1"/>
  <c r="J179" i="1"/>
  <c r="T178" i="1"/>
  <c r="U178" i="1" s="1"/>
  <c r="R178" i="1"/>
  <c r="P178" i="1"/>
  <c r="Q178" i="1" s="1"/>
  <c r="K178" i="1"/>
  <c r="A178" i="1"/>
  <c r="T177" i="1"/>
  <c r="U177" i="1" s="1"/>
  <c r="R177" i="1"/>
  <c r="P177" i="1"/>
  <c r="Q177" i="1" s="1"/>
  <c r="A177" i="1"/>
  <c r="T176" i="1"/>
  <c r="U176" i="1" s="1"/>
  <c r="R176" i="1"/>
  <c r="P176" i="1"/>
  <c r="Q176" i="1" s="1"/>
  <c r="A176" i="1"/>
  <c r="T175" i="1"/>
  <c r="U175" i="1" s="1"/>
  <c r="R175" i="1"/>
  <c r="P175" i="1"/>
  <c r="Q175" i="1" s="1"/>
  <c r="A175" i="1"/>
  <c r="T174" i="1"/>
  <c r="U174" i="1" s="1"/>
  <c r="R174" i="1"/>
  <c r="P174" i="1"/>
  <c r="Q174" i="1" s="1"/>
  <c r="O174" i="1"/>
  <c r="M174" i="1"/>
  <c r="K174" i="1"/>
  <c r="A174" i="1"/>
  <c r="N173" i="1"/>
  <c r="O173" i="1" s="1"/>
  <c r="L173" i="1"/>
  <c r="M173" i="1" s="1"/>
  <c r="J173" i="1"/>
  <c r="O172" i="1"/>
  <c r="L172" i="1"/>
  <c r="M172" i="1" s="1"/>
  <c r="J172" i="1"/>
  <c r="T171" i="1"/>
  <c r="U171" i="1" s="1"/>
  <c r="R171" i="1"/>
  <c r="P171" i="1"/>
  <c r="Q171" i="1" s="1"/>
  <c r="O171" i="1"/>
  <c r="M171" i="1"/>
  <c r="K171" i="1"/>
  <c r="A171" i="1"/>
  <c r="J170" i="1"/>
  <c r="A170" i="1" s="1"/>
  <c r="N169" i="1"/>
  <c r="O169" i="1" s="1"/>
  <c r="L169" i="1"/>
  <c r="M169" i="1" s="1"/>
  <c r="J169" i="1"/>
  <c r="N168" i="1"/>
  <c r="O168" i="1" s="1"/>
  <c r="L168" i="1"/>
  <c r="M168" i="1" s="1"/>
  <c r="J168" i="1"/>
  <c r="T167" i="1"/>
  <c r="U167" i="1" s="1"/>
  <c r="R167" i="1"/>
  <c r="P167" i="1"/>
  <c r="Q167" i="1" s="1"/>
  <c r="O167" i="1"/>
  <c r="M167" i="1"/>
  <c r="K167" i="1"/>
  <c r="A167" i="1"/>
  <c r="J166" i="1"/>
  <c r="A166" i="1" s="1"/>
  <c r="T165" i="1"/>
  <c r="U165" i="1" s="1"/>
  <c r="R165" i="1"/>
  <c r="P165" i="1"/>
  <c r="Q165" i="1" s="1"/>
  <c r="O165" i="1"/>
  <c r="M165" i="1"/>
  <c r="K165" i="1"/>
  <c r="A165" i="1"/>
  <c r="N163" i="1"/>
  <c r="O163" i="1" s="1"/>
  <c r="L163" i="1"/>
  <c r="M163" i="1" s="1"/>
  <c r="J163" i="1"/>
  <c r="N162" i="1"/>
  <c r="O162" i="1" s="1"/>
  <c r="L162" i="1"/>
  <c r="M162" i="1" s="1"/>
  <c r="J162" i="1"/>
  <c r="T161" i="1"/>
  <c r="U161" i="1" s="1"/>
  <c r="R161" i="1"/>
  <c r="P161" i="1"/>
  <c r="Q161" i="1" s="1"/>
  <c r="O161" i="1"/>
  <c r="M161" i="1"/>
  <c r="K161" i="1"/>
  <c r="A161" i="1"/>
  <c r="T160" i="1"/>
  <c r="U160" i="1" s="1"/>
  <c r="R160" i="1"/>
  <c r="P160" i="1"/>
  <c r="Q160" i="1" s="1"/>
  <c r="A160" i="1"/>
  <c r="T159" i="1"/>
  <c r="U159" i="1" s="1"/>
  <c r="R159" i="1"/>
  <c r="P159" i="1"/>
  <c r="Q159" i="1" s="1"/>
  <c r="A159" i="1"/>
  <c r="T158" i="1"/>
  <c r="U158" i="1" s="1"/>
  <c r="R158" i="1"/>
  <c r="P158" i="1"/>
  <c r="Q158" i="1" s="1"/>
  <c r="A158" i="1"/>
  <c r="T157" i="1"/>
  <c r="U157" i="1" s="1"/>
  <c r="R157" i="1"/>
  <c r="P157" i="1"/>
  <c r="Q157" i="1" s="1"/>
  <c r="A157" i="1"/>
  <c r="T156" i="1"/>
  <c r="U156" i="1" s="1"/>
  <c r="R156" i="1"/>
  <c r="P156" i="1"/>
  <c r="Q156" i="1" s="1"/>
  <c r="A156" i="1"/>
  <c r="T155" i="1"/>
  <c r="U155" i="1" s="1"/>
  <c r="R155" i="1"/>
  <c r="P155" i="1"/>
  <c r="Q155" i="1" s="1"/>
  <c r="A155" i="1"/>
  <c r="T154" i="1"/>
  <c r="U154" i="1" s="1"/>
  <c r="R154" i="1"/>
  <c r="P154" i="1"/>
  <c r="Q154" i="1" s="1"/>
  <c r="A154" i="1"/>
  <c r="T153" i="1"/>
  <c r="U153" i="1" s="1"/>
  <c r="R153" i="1"/>
  <c r="P153" i="1"/>
  <c r="Q153" i="1" s="1"/>
  <c r="A153" i="1"/>
  <c r="T152" i="1"/>
  <c r="U152" i="1" s="1"/>
  <c r="R152" i="1"/>
  <c r="P152" i="1"/>
  <c r="Q152" i="1" s="1"/>
  <c r="A152" i="1"/>
  <c r="T151" i="1"/>
  <c r="U151" i="1" s="1"/>
  <c r="R151" i="1"/>
  <c r="P151" i="1"/>
  <c r="Q151" i="1" s="1"/>
  <c r="A151" i="1"/>
  <c r="T150" i="1"/>
  <c r="U150" i="1" s="1"/>
  <c r="R150" i="1"/>
  <c r="P150" i="1"/>
  <c r="Q150" i="1" s="1"/>
  <c r="A150" i="1"/>
  <c r="J149" i="1"/>
  <c r="A149" i="1" s="1"/>
  <c r="T148" i="1"/>
  <c r="U148" i="1" s="1"/>
  <c r="R148" i="1"/>
  <c r="P148" i="1"/>
  <c r="Q148" i="1" s="1"/>
  <c r="O148" i="1"/>
  <c r="M148" i="1"/>
  <c r="K148" i="1"/>
  <c r="A148" i="1"/>
  <c r="O147" i="1"/>
  <c r="L147" i="1"/>
  <c r="M147" i="1" s="1"/>
  <c r="J147" i="1"/>
  <c r="N146" i="1"/>
  <c r="O146" i="1" s="1"/>
  <c r="L146" i="1"/>
  <c r="M146" i="1" s="1"/>
  <c r="J146" i="1"/>
  <c r="O145" i="1"/>
  <c r="L145" i="1"/>
  <c r="M145" i="1" s="1"/>
  <c r="J145" i="1"/>
  <c r="T144" i="1"/>
  <c r="U144" i="1" s="1"/>
  <c r="R144" i="1"/>
  <c r="P144" i="1"/>
  <c r="Q144" i="1" s="1"/>
  <c r="O144" i="1"/>
  <c r="M144" i="1"/>
  <c r="K144" i="1"/>
  <c r="A144" i="1"/>
  <c r="N143" i="1"/>
  <c r="O143" i="1" s="1"/>
  <c r="L143" i="1"/>
  <c r="M143" i="1" s="1"/>
  <c r="J143" i="1"/>
  <c r="K143" i="1" s="1"/>
  <c r="T142" i="1"/>
  <c r="U142" i="1" s="1"/>
  <c r="R142" i="1"/>
  <c r="P142" i="1"/>
  <c r="Q142" i="1" s="1"/>
  <c r="O142" i="1"/>
  <c r="M142" i="1"/>
  <c r="K142" i="1"/>
  <c r="A142" i="1"/>
  <c r="N141" i="1"/>
  <c r="O141" i="1" s="1"/>
  <c r="L141" i="1"/>
  <c r="M141" i="1" s="1"/>
  <c r="J141" i="1"/>
  <c r="O140" i="1"/>
  <c r="L140" i="1"/>
  <c r="M140" i="1" s="1"/>
  <c r="J140" i="1"/>
  <c r="N138" i="1"/>
  <c r="O138" i="1" s="1"/>
  <c r="L138" i="1"/>
  <c r="M138" i="1" s="1"/>
  <c r="J138" i="1"/>
  <c r="N137" i="1"/>
  <c r="O137" i="1" s="1"/>
  <c r="L137" i="1"/>
  <c r="M137" i="1" s="1"/>
  <c r="J137" i="1"/>
  <c r="T136" i="1"/>
  <c r="U136" i="1" s="1"/>
  <c r="R136" i="1"/>
  <c r="P136" i="1"/>
  <c r="Q136" i="1" s="1"/>
  <c r="O136" i="1"/>
  <c r="M136" i="1"/>
  <c r="K136" i="1"/>
  <c r="A136" i="1"/>
  <c r="T135" i="1"/>
  <c r="U135" i="1" s="1"/>
  <c r="R135" i="1"/>
  <c r="P135" i="1"/>
  <c r="Q135" i="1" s="1"/>
  <c r="K135" i="1"/>
  <c r="A135" i="1"/>
  <c r="T134" i="1"/>
  <c r="U134" i="1" s="1"/>
  <c r="R134" i="1"/>
  <c r="P134" i="1"/>
  <c r="Q134" i="1" s="1"/>
  <c r="A134" i="1"/>
  <c r="T133" i="1"/>
  <c r="U133" i="1" s="1"/>
  <c r="R133" i="1"/>
  <c r="P133" i="1"/>
  <c r="Q133" i="1" s="1"/>
  <c r="A133" i="1"/>
  <c r="T132" i="1"/>
  <c r="U132" i="1" s="1"/>
  <c r="R132" i="1"/>
  <c r="P132" i="1"/>
  <c r="Q132" i="1" s="1"/>
  <c r="A132" i="1"/>
  <c r="T131" i="1"/>
  <c r="U131" i="1" s="1"/>
  <c r="R131" i="1"/>
  <c r="P131" i="1"/>
  <c r="Q131" i="1" s="1"/>
  <c r="A131" i="1"/>
  <c r="T130" i="1"/>
  <c r="U130" i="1" s="1"/>
  <c r="R130" i="1"/>
  <c r="P130" i="1"/>
  <c r="Q130" i="1" s="1"/>
  <c r="O130" i="1"/>
  <c r="M130" i="1"/>
  <c r="K130" i="1"/>
  <c r="A130" i="1"/>
  <c r="O129" i="1"/>
  <c r="L129" i="1"/>
  <c r="M129" i="1" s="1"/>
  <c r="J129" i="1"/>
  <c r="N128" i="1"/>
  <c r="O128" i="1" s="1"/>
  <c r="L128" i="1"/>
  <c r="M128" i="1" s="1"/>
  <c r="J128" i="1"/>
  <c r="O127" i="1"/>
  <c r="L127" i="1"/>
  <c r="M127" i="1" s="1"/>
  <c r="J127" i="1"/>
  <c r="N126" i="1"/>
  <c r="O126" i="1" s="1"/>
  <c r="L126" i="1"/>
  <c r="M126" i="1" s="1"/>
  <c r="J126" i="1"/>
  <c r="N125" i="1"/>
  <c r="O125" i="1" s="1"/>
  <c r="L125" i="1"/>
  <c r="M125" i="1" s="1"/>
  <c r="J125" i="1"/>
  <c r="T124" i="1"/>
  <c r="U124" i="1" s="1"/>
  <c r="R124" i="1"/>
  <c r="P124" i="1"/>
  <c r="Q124" i="1" s="1"/>
  <c r="O124" i="1"/>
  <c r="M124" i="1"/>
  <c r="K124" i="1"/>
  <c r="A124" i="1"/>
  <c r="O123" i="1"/>
  <c r="M123" i="1"/>
  <c r="J123" i="1"/>
  <c r="A123" i="1" s="1"/>
  <c r="J122" i="1"/>
  <c r="A122" i="1" s="1"/>
  <c r="J121" i="1"/>
  <c r="A121" i="1" s="1"/>
  <c r="N119" i="1"/>
  <c r="O119" i="1" s="1"/>
  <c r="L119" i="1"/>
  <c r="M119" i="1" s="1"/>
  <c r="J119" i="1"/>
  <c r="T118" i="1"/>
  <c r="U118" i="1" s="1"/>
  <c r="R118" i="1"/>
  <c r="P118" i="1"/>
  <c r="Q118" i="1" s="1"/>
  <c r="K118" i="1"/>
  <c r="A118" i="1"/>
  <c r="N117" i="1"/>
  <c r="O117" i="1" s="1"/>
  <c r="L117" i="1"/>
  <c r="M117" i="1" s="1"/>
  <c r="J117" i="1"/>
  <c r="N116" i="1"/>
  <c r="O116" i="1" s="1"/>
  <c r="L116" i="1"/>
  <c r="M116" i="1" s="1"/>
  <c r="J116" i="1"/>
  <c r="T115" i="1"/>
  <c r="U115" i="1" s="1"/>
  <c r="R115" i="1"/>
  <c r="P115" i="1"/>
  <c r="Q115" i="1" s="1"/>
  <c r="O115" i="1"/>
  <c r="M115" i="1"/>
  <c r="K115" i="1"/>
  <c r="A115" i="1"/>
  <c r="T114" i="1"/>
  <c r="U114" i="1" s="1"/>
  <c r="R114" i="1"/>
  <c r="P114" i="1"/>
  <c r="Q114" i="1" s="1"/>
  <c r="A114" i="1"/>
  <c r="T113" i="1"/>
  <c r="U113" i="1" s="1"/>
  <c r="R113" i="1"/>
  <c r="P113" i="1"/>
  <c r="Q113" i="1" s="1"/>
  <c r="A113" i="1"/>
  <c r="T112" i="1"/>
  <c r="U112" i="1" s="1"/>
  <c r="R112" i="1"/>
  <c r="P112" i="1"/>
  <c r="Q112" i="1" s="1"/>
  <c r="A112" i="1"/>
  <c r="T111" i="1"/>
  <c r="U111" i="1" s="1"/>
  <c r="R111" i="1"/>
  <c r="P111" i="1"/>
  <c r="Q111" i="1" s="1"/>
  <c r="A111" i="1"/>
  <c r="O110" i="1"/>
  <c r="L110" i="1"/>
  <c r="M110" i="1" s="1"/>
  <c r="J110" i="1"/>
  <c r="O109" i="1"/>
  <c r="L109" i="1"/>
  <c r="M109" i="1" s="1"/>
  <c r="J109" i="1"/>
  <c r="O108" i="1"/>
  <c r="L108" i="1"/>
  <c r="M108" i="1" s="1"/>
  <c r="J108" i="1"/>
  <c r="J107" i="1"/>
  <c r="A107" i="1" s="1"/>
  <c r="O106" i="1"/>
  <c r="L106" i="1"/>
  <c r="M106" i="1" s="1"/>
  <c r="J106" i="1"/>
  <c r="O105" i="1"/>
  <c r="L105" i="1"/>
  <c r="M105" i="1" s="1"/>
  <c r="J105" i="1"/>
  <c r="A104" i="1"/>
  <c r="N103" i="1"/>
  <c r="O103" i="1" s="1"/>
  <c r="L103" i="1"/>
  <c r="M103" i="1" s="1"/>
  <c r="J103" i="1"/>
  <c r="N102" i="1"/>
  <c r="O102" i="1" s="1"/>
  <c r="L102" i="1"/>
  <c r="M102" i="1" s="1"/>
  <c r="J102" i="1"/>
  <c r="N101" i="1"/>
  <c r="A101" i="1" s="1"/>
  <c r="M101" i="1"/>
  <c r="K101" i="1"/>
  <c r="N99" i="1"/>
  <c r="O99" i="1" s="1"/>
  <c r="L99" i="1"/>
  <c r="M99" i="1" s="1"/>
  <c r="J99" i="1"/>
  <c r="N98" i="1"/>
  <c r="O98" i="1" s="1"/>
  <c r="L98" i="1"/>
  <c r="M98" i="1" s="1"/>
  <c r="J98" i="1"/>
  <c r="T97" i="1"/>
  <c r="U97" i="1" s="1"/>
  <c r="R97" i="1"/>
  <c r="P97" i="1"/>
  <c r="Q97" i="1" s="1"/>
  <c r="O97" i="1"/>
  <c r="M97" i="1"/>
  <c r="K97" i="1"/>
  <c r="A97" i="1"/>
  <c r="N96" i="1"/>
  <c r="A96" i="1" s="1"/>
  <c r="M96" i="1"/>
  <c r="K96" i="1"/>
  <c r="T95" i="1"/>
  <c r="U95" i="1" s="1"/>
  <c r="R95" i="1"/>
  <c r="P95" i="1"/>
  <c r="Q95" i="1" s="1"/>
  <c r="A95" i="1"/>
  <c r="T94" i="1"/>
  <c r="U94" i="1" s="1"/>
  <c r="R94" i="1"/>
  <c r="P94" i="1"/>
  <c r="Q94" i="1" s="1"/>
  <c r="A94" i="1"/>
  <c r="T93" i="1"/>
  <c r="U93" i="1" s="1"/>
  <c r="R93" i="1"/>
  <c r="P93" i="1"/>
  <c r="Q93" i="1" s="1"/>
  <c r="O93" i="1"/>
  <c r="M93" i="1"/>
  <c r="K93" i="1"/>
  <c r="A93" i="1"/>
  <c r="T92" i="1"/>
  <c r="U92" i="1" s="1"/>
  <c r="R92" i="1"/>
  <c r="P92" i="1"/>
  <c r="Q92" i="1" s="1"/>
  <c r="A92" i="1"/>
  <c r="T91" i="1"/>
  <c r="U91" i="1" s="1"/>
  <c r="R91" i="1"/>
  <c r="P91" i="1"/>
  <c r="Q91" i="1" s="1"/>
  <c r="A91" i="1"/>
  <c r="T90" i="1"/>
  <c r="U90" i="1" s="1"/>
  <c r="R90" i="1"/>
  <c r="P90" i="1"/>
  <c r="Q90" i="1" s="1"/>
  <c r="A90" i="1"/>
  <c r="T89" i="1"/>
  <c r="U89" i="1" s="1"/>
  <c r="R89" i="1"/>
  <c r="P89" i="1"/>
  <c r="Q89" i="1" s="1"/>
  <c r="O89" i="1"/>
  <c r="M89" i="1"/>
  <c r="K89" i="1"/>
  <c r="A89" i="1"/>
  <c r="N87" i="1"/>
  <c r="O87" i="1" s="1"/>
  <c r="L87" i="1"/>
  <c r="M87" i="1" s="1"/>
  <c r="J87" i="1"/>
  <c r="N86" i="1"/>
  <c r="O86" i="1" s="1"/>
  <c r="L86" i="1"/>
  <c r="M86" i="1" s="1"/>
  <c r="J86" i="1"/>
  <c r="A86" i="1" s="1"/>
  <c r="T85" i="1"/>
  <c r="U85" i="1" s="1"/>
  <c r="R85" i="1"/>
  <c r="P85" i="1"/>
  <c r="Q85" i="1" s="1"/>
  <c r="O85" i="1"/>
  <c r="M85" i="1"/>
  <c r="K85" i="1"/>
  <c r="T84" i="1"/>
  <c r="U84" i="1" s="1"/>
  <c r="R84" i="1"/>
  <c r="P84" i="1"/>
  <c r="Q84" i="1" s="1"/>
  <c r="O84" i="1"/>
  <c r="M84" i="1"/>
  <c r="K84" i="1"/>
  <c r="T83" i="1"/>
  <c r="U83" i="1" s="1"/>
  <c r="R83" i="1"/>
  <c r="P83" i="1"/>
  <c r="Q83" i="1" s="1"/>
  <c r="O83" i="1"/>
  <c r="M83" i="1"/>
  <c r="K83" i="1"/>
  <c r="T82" i="1"/>
  <c r="U82" i="1" s="1"/>
  <c r="R82" i="1"/>
  <c r="P82" i="1"/>
  <c r="Q82" i="1" s="1"/>
  <c r="T81" i="1"/>
  <c r="U81" i="1" s="1"/>
  <c r="R81" i="1"/>
  <c r="P81" i="1"/>
  <c r="Q81" i="1" s="1"/>
  <c r="T80" i="1"/>
  <c r="U80" i="1" s="1"/>
  <c r="R80" i="1"/>
  <c r="P80" i="1"/>
  <c r="Q80" i="1" s="1"/>
  <c r="T79" i="1"/>
  <c r="U79" i="1" s="1"/>
  <c r="R79" i="1"/>
  <c r="P79" i="1"/>
  <c r="Q79" i="1" s="1"/>
  <c r="T78" i="1"/>
  <c r="U78" i="1" s="1"/>
  <c r="R78" i="1"/>
  <c r="P78" i="1"/>
  <c r="Q78" i="1" s="1"/>
  <c r="T77" i="1"/>
  <c r="U77" i="1" s="1"/>
  <c r="R77" i="1"/>
  <c r="P77" i="1"/>
  <c r="Q77" i="1" s="1"/>
  <c r="T76" i="1"/>
  <c r="U76" i="1" s="1"/>
  <c r="R76" i="1"/>
  <c r="P76" i="1"/>
  <c r="Q76" i="1" s="1"/>
  <c r="O76" i="1"/>
  <c r="M76" i="1"/>
  <c r="K76" i="1"/>
  <c r="T75" i="1"/>
  <c r="U75" i="1" s="1"/>
  <c r="R75" i="1"/>
  <c r="P75" i="1"/>
  <c r="Q75" i="1" s="1"/>
  <c r="O75" i="1"/>
  <c r="M75" i="1"/>
  <c r="K75" i="1"/>
  <c r="T74" i="1"/>
  <c r="U74" i="1" s="1"/>
  <c r="R74" i="1"/>
  <c r="P74" i="1"/>
  <c r="Q74" i="1" s="1"/>
  <c r="O74" i="1"/>
  <c r="M74" i="1"/>
  <c r="K74" i="1"/>
  <c r="A74" i="1"/>
  <c r="T73" i="1"/>
  <c r="U73" i="1" s="1"/>
  <c r="R73" i="1"/>
  <c r="P73" i="1"/>
  <c r="Q73" i="1" s="1"/>
  <c r="O73" i="1"/>
  <c r="M73" i="1"/>
  <c r="K73" i="1"/>
  <c r="A73" i="1"/>
  <c r="O70" i="1"/>
  <c r="M70" i="1"/>
  <c r="K70" i="1"/>
  <c r="N68" i="1"/>
  <c r="O68" i="1" s="1"/>
  <c r="L68" i="1"/>
  <c r="M68" i="1" s="1"/>
  <c r="J68" i="1"/>
  <c r="N67" i="1"/>
  <c r="O67" i="1" s="1"/>
  <c r="L67" i="1"/>
  <c r="M67" i="1" s="1"/>
  <c r="J67" i="1"/>
  <c r="N66" i="1"/>
  <c r="O66" i="1" s="1"/>
  <c r="L66" i="1"/>
  <c r="M66" i="1" s="1"/>
  <c r="J66" i="1"/>
  <c r="J65" i="1"/>
  <c r="A65" i="1" s="1"/>
  <c r="T64" i="1"/>
  <c r="U64" i="1" s="1"/>
  <c r="R64" i="1"/>
  <c r="P64" i="1"/>
  <c r="Q64" i="1" s="1"/>
  <c r="O64" i="1"/>
  <c r="M64" i="1"/>
  <c r="K64" i="1"/>
  <c r="A64" i="1"/>
  <c r="N63" i="1"/>
  <c r="O63" i="1" s="1"/>
  <c r="L63" i="1"/>
  <c r="M63" i="1" s="1"/>
  <c r="J63" i="1"/>
  <c r="N62" i="1"/>
  <c r="O62" i="1" s="1"/>
  <c r="L62" i="1"/>
  <c r="M62" i="1" s="1"/>
  <c r="J62" i="1"/>
  <c r="N61" i="1"/>
  <c r="O61" i="1" s="1"/>
  <c r="L61" i="1"/>
  <c r="M61" i="1" s="1"/>
  <c r="J61" i="1"/>
  <c r="O60" i="1"/>
  <c r="L60" i="1"/>
  <c r="M60" i="1" s="1"/>
  <c r="J60" i="1"/>
  <c r="T59" i="1"/>
  <c r="U59" i="1" s="1"/>
  <c r="R59" i="1"/>
  <c r="P59" i="1"/>
  <c r="Q59" i="1" s="1"/>
  <c r="O59" i="1"/>
  <c r="M59" i="1"/>
  <c r="K59" i="1"/>
  <c r="A59" i="1"/>
  <c r="N58" i="1"/>
  <c r="O58" i="1" s="1"/>
  <c r="L58" i="1"/>
  <c r="M58" i="1" s="1"/>
  <c r="J58" i="1"/>
  <c r="T57" i="1"/>
  <c r="U57" i="1" s="1"/>
  <c r="R57" i="1"/>
  <c r="P57" i="1"/>
  <c r="Q57" i="1" s="1"/>
  <c r="O57" i="1"/>
  <c r="M57" i="1"/>
  <c r="K57" i="1"/>
  <c r="A57" i="1"/>
  <c r="J56" i="1"/>
  <c r="T55" i="1"/>
  <c r="U55" i="1" s="1"/>
  <c r="R55" i="1"/>
  <c r="P55" i="1"/>
  <c r="Q55" i="1" s="1"/>
  <c r="O55" i="1"/>
  <c r="M55" i="1"/>
  <c r="K55" i="1"/>
  <c r="A55" i="1"/>
  <c r="J54" i="1"/>
  <c r="A54" i="1" s="1"/>
  <c r="J53" i="1"/>
  <c r="A53" i="1" s="1"/>
  <c r="A52" i="1"/>
  <c r="J51" i="1"/>
  <c r="A51" i="1" s="1"/>
  <c r="N50" i="1"/>
  <c r="O50" i="1" s="1"/>
  <c r="L50" i="1"/>
  <c r="A49" i="1"/>
  <c r="A48" i="1"/>
  <c r="A47" i="1"/>
  <c r="T46" i="1"/>
  <c r="U46" i="1" s="1"/>
  <c r="R46" i="1"/>
  <c r="P46" i="1"/>
  <c r="Q46" i="1" s="1"/>
  <c r="O46" i="1"/>
  <c r="M46" i="1"/>
  <c r="K46" i="1"/>
  <c r="A46" i="1"/>
  <c r="J45" i="1"/>
  <c r="A45" i="1" s="1"/>
  <c r="J44" i="1"/>
  <c r="A44" i="1" s="1"/>
  <c r="N43" i="1"/>
  <c r="O43" i="1" s="1"/>
  <c r="L43" i="1"/>
  <c r="M43" i="1" s="1"/>
  <c r="J43" i="1"/>
  <c r="J42" i="1"/>
  <c r="A42" i="1" s="1"/>
  <c r="J41" i="1"/>
  <c r="A41" i="1" s="1"/>
  <c r="J40" i="1"/>
  <c r="A40" i="1" s="1"/>
  <c r="J39" i="1"/>
  <c r="A39" i="1" s="1"/>
  <c r="A38" i="1"/>
  <c r="J37" i="1"/>
  <c r="A37" i="1" s="1"/>
  <c r="A36" i="1"/>
  <c r="J35" i="1"/>
  <c r="A35" i="1" s="1"/>
  <c r="J34" i="1"/>
  <c r="A34" i="1" s="1"/>
  <c r="J33" i="1"/>
  <c r="A33" i="1" s="1"/>
  <c r="T32" i="1"/>
  <c r="U32" i="1" s="1"/>
  <c r="R32" i="1"/>
  <c r="P32" i="1"/>
  <c r="Q32" i="1" s="1"/>
  <c r="K32" i="1"/>
  <c r="A32" i="1"/>
  <c r="J31" i="1"/>
  <c r="A31" i="1" s="1"/>
  <c r="J30" i="1"/>
  <c r="A30" i="1" s="1"/>
  <c r="J29" i="1"/>
  <c r="A29" i="1" s="1"/>
  <c r="J28" i="1"/>
  <c r="A28" i="1" s="1"/>
  <c r="T27" i="1"/>
  <c r="U27" i="1" s="1"/>
  <c r="R27" i="1"/>
  <c r="P27" i="1"/>
  <c r="Q27" i="1" s="1"/>
  <c r="O27" i="1"/>
  <c r="M27" i="1"/>
  <c r="K27" i="1"/>
  <c r="A27" i="1"/>
  <c r="T26" i="1"/>
  <c r="U26" i="1" s="1"/>
  <c r="R26" i="1"/>
  <c r="P26" i="1"/>
  <c r="Q26" i="1" s="1"/>
  <c r="O26" i="1"/>
  <c r="M26" i="1"/>
  <c r="K26" i="1"/>
  <c r="A26" i="1"/>
  <c r="N25" i="1"/>
  <c r="O25" i="1" s="1"/>
  <c r="L25" i="1"/>
  <c r="M25" i="1" s="1"/>
  <c r="J25" i="1"/>
  <c r="J24" i="1"/>
  <c r="A24" i="1" s="1"/>
  <c r="T23" i="1"/>
  <c r="U23" i="1" s="1"/>
  <c r="R23" i="1"/>
  <c r="P23" i="1"/>
  <c r="Q23" i="1" s="1"/>
  <c r="O23" i="1"/>
  <c r="M23" i="1"/>
  <c r="K23" i="1"/>
  <c r="A23" i="1"/>
  <c r="J22" i="1"/>
  <c r="A22" i="1" s="1"/>
  <c r="J21" i="1"/>
  <c r="A21" i="1" s="1"/>
  <c r="J20" i="1"/>
  <c r="A20" i="1" s="1"/>
  <c r="T19" i="1"/>
  <c r="U19" i="1" s="1"/>
  <c r="R19" i="1"/>
  <c r="P19" i="1"/>
  <c r="Q19" i="1" s="1"/>
  <c r="O19" i="1"/>
  <c r="M19" i="1"/>
  <c r="K19" i="1"/>
  <c r="A19" i="1"/>
  <c r="A18" i="1"/>
  <c r="J17" i="1"/>
  <c r="A17" i="1" s="1"/>
  <c r="J16" i="1"/>
  <c r="A16" i="1" s="1"/>
  <c r="J15" i="1"/>
  <c r="A15" i="1" s="1"/>
  <c r="J14" i="1"/>
  <c r="A14" i="1" s="1"/>
  <c r="J13" i="1"/>
  <c r="A13" i="1" s="1"/>
  <c r="J12" i="1"/>
  <c r="A12" i="1" s="1"/>
  <c r="T11" i="1"/>
  <c r="U11" i="1" s="1"/>
  <c r="R11" i="1"/>
  <c r="P11" i="1"/>
  <c r="Q11" i="1" s="1"/>
  <c r="A11" i="1"/>
  <c r="J10" i="1"/>
  <c r="A10" i="1" s="1"/>
  <c r="A9" i="1"/>
  <c r="J8" i="1"/>
  <c r="A8" i="1" s="1"/>
  <c r="J7" i="1"/>
  <c r="A7" i="1" s="1"/>
  <c r="J6" i="1"/>
  <c r="A6" i="1" s="1"/>
  <c r="T5" i="1"/>
  <c r="U5" i="1" s="1"/>
  <c r="R5" i="1"/>
  <c r="P5" i="1"/>
  <c r="Q5" i="1" s="1"/>
  <c r="K5" i="1"/>
  <c r="A5" i="1"/>
  <c r="A87" i="1" l="1"/>
  <c r="V424" i="1"/>
  <c r="S424" i="1"/>
  <c r="V423" i="1"/>
  <c r="S423" i="1"/>
  <c r="A505" i="1"/>
  <c r="A108" i="1"/>
  <c r="A295" i="1"/>
  <c r="A317" i="1"/>
  <c r="A306" i="1"/>
  <c r="A257" i="1"/>
  <c r="A278" i="1"/>
  <c r="A468" i="1"/>
  <c r="A273" i="1"/>
  <c r="A373" i="1"/>
  <c r="A405" i="1"/>
  <c r="A315" i="1"/>
  <c r="A116" i="1"/>
  <c r="A127" i="1"/>
  <c r="A138" i="1"/>
  <c r="A194" i="1"/>
  <c r="A236" i="1"/>
  <c r="S391" i="1"/>
  <c r="A313" i="1"/>
  <c r="A503" i="1"/>
  <c r="V391" i="1"/>
  <c r="A232" i="1"/>
  <c r="A385" i="1"/>
  <c r="A208" i="1"/>
  <c r="A181" i="1"/>
  <c r="A333" i="1"/>
  <c r="A449" i="1"/>
  <c r="A502" i="1"/>
  <c r="A141" i="1"/>
  <c r="A173" i="1"/>
  <c r="A195" i="1"/>
  <c r="A280" i="1"/>
  <c r="A325" i="1"/>
  <c r="A363" i="1"/>
  <c r="A143" i="1"/>
  <c r="A237" i="1"/>
  <c r="A297" i="1"/>
  <c r="A196" i="1"/>
  <c r="A282" i="1"/>
  <c r="A419" i="1"/>
  <c r="A63" i="1"/>
  <c r="A190" i="1"/>
  <c r="A326" i="1"/>
  <c r="A369" i="1"/>
  <c r="A450" i="1"/>
  <c r="A106" i="1"/>
  <c r="A198" i="1"/>
  <c r="A251" i="1"/>
  <c r="A355" i="1"/>
  <c r="A470" i="1"/>
  <c r="A168" i="1"/>
  <c r="A376" i="1"/>
  <c r="A420" i="1"/>
  <c r="A435" i="1"/>
  <c r="A452" i="1"/>
  <c r="A99" i="1"/>
  <c r="A227" i="1"/>
  <c r="A322" i="1"/>
  <c r="A362" i="1"/>
  <c r="A432" i="1"/>
  <c r="A440" i="1"/>
  <c r="A445" i="1"/>
  <c r="A147" i="1"/>
  <c r="A183" i="1"/>
  <c r="A201" i="1"/>
  <c r="A205" i="1"/>
  <c r="A264" i="1"/>
  <c r="A270" i="1"/>
  <c r="T304" i="1"/>
  <c r="U304" i="1" s="1"/>
  <c r="A307" i="1"/>
  <c r="A398" i="1"/>
  <c r="A437" i="1"/>
  <c r="A453" i="1"/>
  <c r="A473" i="1"/>
  <c r="A500" i="1"/>
  <c r="A43" i="1"/>
  <c r="A239" i="1"/>
  <c r="A386" i="1"/>
  <c r="A416" i="1"/>
  <c r="A433" i="1"/>
  <c r="A446" i="1"/>
  <c r="A477" i="1"/>
  <c r="A62" i="1"/>
  <c r="A109" i="1"/>
  <c r="A140" i="1"/>
  <c r="A145" i="1"/>
  <c r="A199" i="1"/>
  <c r="A252" i="1"/>
  <c r="A298" i="1"/>
  <c r="A302" i="1"/>
  <c r="A316" i="1"/>
  <c r="A396" i="1"/>
  <c r="A98" i="1"/>
  <c r="A206" i="1"/>
  <c r="A271" i="1"/>
  <c r="A314" i="1"/>
  <c r="A341" i="1"/>
  <c r="A357" i="1"/>
  <c r="A414" i="1"/>
  <c r="A431" i="1"/>
  <c r="A443" i="1"/>
  <c r="A448" i="1"/>
  <c r="A128" i="1"/>
  <c r="A192" i="1"/>
  <c r="R237" i="1"/>
  <c r="A250" i="1"/>
  <c r="A255" i="1"/>
  <c r="A50" i="1"/>
  <c r="A60" i="1"/>
  <c r="A102" i="1"/>
  <c r="A126" i="1"/>
  <c r="A137" i="1"/>
  <c r="A172" i="1"/>
  <c r="A240" i="1"/>
  <c r="A300" i="1"/>
  <c r="A375" i="1"/>
  <c r="A394" i="1"/>
  <c r="A417" i="1"/>
  <c r="A474" i="1"/>
  <c r="A66" i="1"/>
  <c r="A68" i="1"/>
  <c r="R251" i="1"/>
  <c r="A296" i="1"/>
  <c r="A399" i="1"/>
  <c r="A464" i="1"/>
  <c r="A486" i="1"/>
  <c r="A179" i="1"/>
  <c r="A277" i="1"/>
  <c r="A279" i="1"/>
  <c r="A61" i="1"/>
  <c r="A117" i="1"/>
  <c r="A191" i="1"/>
  <c r="A248" i="1"/>
  <c r="A304" i="1"/>
  <c r="A25" i="1"/>
  <c r="A58" i="1"/>
  <c r="A67" i="1"/>
  <c r="A70" i="1"/>
  <c r="A105" i="1"/>
  <c r="A119" i="1"/>
  <c r="A163" i="1"/>
  <c r="A169" i="1"/>
  <c r="A182" i="1"/>
  <c r="A202" i="1"/>
  <c r="A415" i="1"/>
  <c r="A436" i="1"/>
  <c r="A439" i="1"/>
  <c r="A441" i="1"/>
  <c r="A465" i="1"/>
  <c r="A103" i="1"/>
  <c r="A110" i="1"/>
  <c r="A125" i="1"/>
  <c r="A200" i="1"/>
  <c r="A354" i="1"/>
  <c r="A356" i="1"/>
  <c r="A358" i="1"/>
  <c r="A360" i="1"/>
  <c r="A146" i="1"/>
  <c r="A249" i="1"/>
  <c r="A266" i="1"/>
  <c r="A301" i="1"/>
  <c r="A303" i="1"/>
  <c r="A352" i="1"/>
  <c r="A365" i="1"/>
  <c r="V69" i="1"/>
  <c r="S69" i="1"/>
  <c r="A162" i="1"/>
  <c r="O476" i="1"/>
  <c r="A476" i="1"/>
  <c r="O342" i="1"/>
  <c r="A342" i="1"/>
  <c r="O267" i="1"/>
  <c r="A267" i="1"/>
  <c r="S442" i="1"/>
  <c r="M429" i="1"/>
  <c r="A429" i="1"/>
  <c r="M413" i="1"/>
  <c r="A413" i="1"/>
  <c r="M397" i="1"/>
  <c r="A397" i="1"/>
  <c r="O395" i="1"/>
  <c r="A395" i="1"/>
  <c r="T284" i="1"/>
  <c r="U284" i="1" s="1"/>
  <c r="R284" i="1"/>
  <c r="P284" i="1"/>
  <c r="Q284" i="1" s="1"/>
  <c r="K284" i="1"/>
  <c r="K238" i="1"/>
  <c r="P238" i="1"/>
  <c r="Q238" i="1" s="1"/>
  <c r="R234" i="1"/>
  <c r="P234" i="1"/>
  <c r="Q234" i="1" s="1"/>
  <c r="V509" i="1"/>
  <c r="S509" i="1"/>
  <c r="V507" i="1"/>
  <c r="S507" i="1"/>
  <c r="S506" i="1"/>
  <c r="V506" i="1"/>
  <c r="T505" i="1"/>
  <c r="U505" i="1" s="1"/>
  <c r="R505" i="1"/>
  <c r="P505" i="1"/>
  <c r="Q505" i="1" s="1"/>
  <c r="K505" i="1"/>
  <c r="T504" i="1"/>
  <c r="U504" i="1" s="1"/>
  <c r="R504" i="1"/>
  <c r="P504" i="1"/>
  <c r="Q504" i="1" s="1"/>
  <c r="K504" i="1"/>
  <c r="T503" i="1"/>
  <c r="U503" i="1" s="1"/>
  <c r="R503" i="1"/>
  <c r="P503" i="1"/>
  <c r="Q503" i="1" s="1"/>
  <c r="K503" i="1"/>
  <c r="P502" i="1"/>
  <c r="Q502" i="1" s="1"/>
  <c r="T502" i="1"/>
  <c r="U502" i="1" s="1"/>
  <c r="R502" i="1"/>
  <c r="K502" i="1"/>
  <c r="T501" i="1"/>
  <c r="U501" i="1" s="1"/>
  <c r="R501" i="1"/>
  <c r="P501" i="1"/>
  <c r="Q501" i="1" s="1"/>
  <c r="K501" i="1"/>
  <c r="T500" i="1"/>
  <c r="U500" i="1" s="1"/>
  <c r="P500" i="1"/>
  <c r="Q500" i="1" s="1"/>
  <c r="R500" i="1"/>
  <c r="K500" i="1"/>
  <c r="V499" i="1"/>
  <c r="S499" i="1"/>
  <c r="V497" i="1"/>
  <c r="S497" i="1"/>
  <c r="K496" i="1"/>
  <c r="P496" i="1"/>
  <c r="Q496" i="1" s="1"/>
  <c r="Z497" i="1" s="1"/>
  <c r="R496" i="1"/>
  <c r="T496" i="1"/>
  <c r="U496" i="1" s="1"/>
  <c r="AA497" i="1" s="1"/>
  <c r="V493" i="1"/>
  <c r="S493" i="1"/>
  <c r="V492" i="1"/>
  <c r="S492" i="1"/>
  <c r="V491" i="1"/>
  <c r="S491" i="1"/>
  <c r="V490" i="1"/>
  <c r="S490" i="1"/>
  <c r="V489" i="1"/>
  <c r="S489" i="1"/>
  <c r="V488" i="1"/>
  <c r="S488" i="1"/>
  <c r="V487" i="1"/>
  <c r="S487" i="1"/>
  <c r="R486" i="1"/>
  <c r="P486" i="1"/>
  <c r="Q486" i="1" s="1"/>
  <c r="T486" i="1"/>
  <c r="U486" i="1" s="1"/>
  <c r="K486" i="1"/>
  <c r="V485" i="1"/>
  <c r="S485" i="1"/>
  <c r="V484" i="1"/>
  <c r="S484" i="1"/>
  <c r="V483" i="1"/>
  <c r="S483" i="1"/>
  <c r="V482" i="1"/>
  <c r="S482" i="1"/>
  <c r="V481" i="1"/>
  <c r="S481" i="1"/>
  <c r="V480" i="1"/>
  <c r="S480" i="1"/>
  <c r="V479" i="1"/>
  <c r="S479" i="1"/>
  <c r="S478" i="1"/>
  <c r="V478" i="1"/>
  <c r="T477" i="1"/>
  <c r="U477" i="1" s="1"/>
  <c r="R477" i="1"/>
  <c r="P477" i="1"/>
  <c r="Q477" i="1" s="1"/>
  <c r="K477" i="1"/>
  <c r="T476" i="1"/>
  <c r="U476" i="1" s="1"/>
  <c r="K476" i="1"/>
  <c r="R476" i="1"/>
  <c r="P476" i="1"/>
  <c r="Q476" i="1" s="1"/>
  <c r="V475" i="1"/>
  <c r="S475" i="1"/>
  <c r="K474" i="1"/>
  <c r="T474" i="1"/>
  <c r="U474" i="1" s="1"/>
  <c r="R474" i="1"/>
  <c r="P474" i="1"/>
  <c r="Q474" i="1" s="1"/>
  <c r="T473" i="1"/>
  <c r="U473" i="1" s="1"/>
  <c r="R473" i="1"/>
  <c r="P473" i="1"/>
  <c r="Q473" i="1" s="1"/>
  <c r="K473" i="1"/>
  <c r="V472" i="1"/>
  <c r="S472" i="1"/>
  <c r="V471" i="1"/>
  <c r="S471" i="1"/>
  <c r="K470" i="1"/>
  <c r="T470" i="1"/>
  <c r="U470" i="1" s="1"/>
  <c r="R470" i="1"/>
  <c r="P470" i="1"/>
  <c r="Q470" i="1" s="1"/>
  <c r="V469" i="1"/>
  <c r="S469" i="1"/>
  <c r="T468" i="1"/>
  <c r="U468" i="1" s="1"/>
  <c r="R468" i="1"/>
  <c r="P468" i="1"/>
  <c r="Q468" i="1" s="1"/>
  <c r="K468" i="1"/>
  <c r="V467" i="1"/>
  <c r="S467" i="1"/>
  <c r="S466" i="1"/>
  <c r="V466" i="1"/>
  <c r="T465" i="1"/>
  <c r="U465" i="1" s="1"/>
  <c r="R465" i="1"/>
  <c r="P465" i="1"/>
  <c r="Q465" i="1" s="1"/>
  <c r="K465" i="1"/>
  <c r="R464" i="1"/>
  <c r="K464" i="1"/>
  <c r="T464" i="1"/>
  <c r="U464" i="1" s="1"/>
  <c r="P464" i="1"/>
  <c r="Q464" i="1" s="1"/>
  <c r="V463" i="1"/>
  <c r="S463" i="1"/>
  <c r="V462" i="1"/>
  <c r="S462" i="1"/>
  <c r="T461" i="1"/>
  <c r="U461" i="1" s="1"/>
  <c r="R461" i="1"/>
  <c r="P461" i="1"/>
  <c r="Q461" i="1" s="1"/>
  <c r="K461" i="1"/>
  <c r="T460" i="1"/>
  <c r="U460" i="1" s="1"/>
  <c r="R460" i="1"/>
  <c r="P460" i="1"/>
  <c r="Q460" i="1" s="1"/>
  <c r="K460" i="1"/>
  <c r="K459" i="1"/>
  <c r="T459" i="1"/>
  <c r="U459" i="1" s="1"/>
  <c r="R459" i="1"/>
  <c r="P459" i="1"/>
  <c r="Q459" i="1" s="1"/>
  <c r="V458" i="1"/>
  <c r="S458" i="1"/>
  <c r="V457" i="1"/>
  <c r="S457" i="1"/>
  <c r="V456" i="1"/>
  <c r="S456" i="1"/>
  <c r="V455" i="1"/>
  <c r="S455" i="1"/>
  <c r="V454" i="1"/>
  <c r="S454" i="1"/>
  <c r="T453" i="1"/>
  <c r="U453" i="1" s="1"/>
  <c r="P453" i="1"/>
  <c r="Q453" i="1" s="1"/>
  <c r="R453" i="1"/>
  <c r="K453" i="1"/>
  <c r="T452" i="1"/>
  <c r="U452" i="1" s="1"/>
  <c r="R452" i="1"/>
  <c r="P452" i="1"/>
  <c r="Q452" i="1" s="1"/>
  <c r="K452" i="1"/>
  <c r="V451" i="1"/>
  <c r="S451" i="1"/>
  <c r="K450" i="1"/>
  <c r="T450" i="1"/>
  <c r="U450" i="1" s="1"/>
  <c r="R450" i="1"/>
  <c r="P450" i="1"/>
  <c r="Q450" i="1" s="1"/>
  <c r="P449" i="1"/>
  <c r="Q449" i="1" s="1"/>
  <c r="K449" i="1"/>
  <c r="T449" i="1"/>
  <c r="U449" i="1" s="1"/>
  <c r="R449" i="1"/>
  <c r="P448" i="1"/>
  <c r="Q448" i="1" s="1"/>
  <c r="T448" i="1"/>
  <c r="U448" i="1" s="1"/>
  <c r="R448" i="1"/>
  <c r="K448" i="1"/>
  <c r="S447" i="1"/>
  <c r="V447" i="1"/>
  <c r="R446" i="1"/>
  <c r="T446" i="1"/>
  <c r="U446" i="1" s="1"/>
  <c r="P446" i="1"/>
  <c r="Q446" i="1" s="1"/>
  <c r="K446" i="1"/>
  <c r="P445" i="1"/>
  <c r="Q445" i="1" s="1"/>
  <c r="K445" i="1"/>
  <c r="T445" i="1"/>
  <c r="U445" i="1" s="1"/>
  <c r="R445" i="1"/>
  <c r="V444" i="1"/>
  <c r="S444" i="1"/>
  <c r="P443" i="1"/>
  <c r="Q443" i="1" s="1"/>
  <c r="T443" i="1"/>
  <c r="U443" i="1" s="1"/>
  <c r="R443" i="1"/>
  <c r="K443" i="1"/>
  <c r="V442" i="1"/>
  <c r="U442" i="1"/>
  <c r="P441" i="1"/>
  <c r="Q441" i="1" s="1"/>
  <c r="R441" i="1"/>
  <c r="T441" i="1"/>
  <c r="U441" i="1" s="1"/>
  <c r="K441" i="1"/>
  <c r="R440" i="1"/>
  <c r="T440" i="1"/>
  <c r="U440" i="1" s="1"/>
  <c r="P440" i="1"/>
  <c r="Q440" i="1" s="1"/>
  <c r="K440" i="1"/>
  <c r="P439" i="1"/>
  <c r="Q439" i="1" s="1"/>
  <c r="K439" i="1"/>
  <c r="T439" i="1"/>
  <c r="U439" i="1" s="1"/>
  <c r="R439" i="1"/>
  <c r="K437" i="1"/>
  <c r="R437" i="1"/>
  <c r="T437" i="1"/>
  <c r="U437" i="1" s="1"/>
  <c r="P437" i="1"/>
  <c r="Q437" i="1" s="1"/>
  <c r="R436" i="1"/>
  <c r="P436" i="1"/>
  <c r="Q436" i="1" s="1"/>
  <c r="T436" i="1"/>
  <c r="U436" i="1" s="1"/>
  <c r="K436" i="1"/>
  <c r="T435" i="1"/>
  <c r="U435" i="1" s="1"/>
  <c r="R435" i="1"/>
  <c r="P435" i="1"/>
  <c r="Q435" i="1" s="1"/>
  <c r="K435" i="1"/>
  <c r="V434" i="1"/>
  <c r="S434" i="1"/>
  <c r="K433" i="1"/>
  <c r="P433" i="1"/>
  <c r="Q433" i="1" s="1"/>
  <c r="R433" i="1"/>
  <c r="T433" i="1"/>
  <c r="U433" i="1" s="1"/>
  <c r="K432" i="1"/>
  <c r="P432" i="1"/>
  <c r="Q432" i="1" s="1"/>
  <c r="R432" i="1"/>
  <c r="T432" i="1"/>
  <c r="U432" i="1" s="1"/>
  <c r="K431" i="1"/>
  <c r="P431" i="1"/>
  <c r="Q431" i="1" s="1"/>
  <c r="T431" i="1"/>
  <c r="U431" i="1" s="1"/>
  <c r="R431" i="1"/>
  <c r="V430" i="1"/>
  <c r="S430" i="1"/>
  <c r="T429" i="1"/>
  <c r="U429" i="1" s="1"/>
  <c r="R429" i="1"/>
  <c r="K429" i="1"/>
  <c r="P429" i="1"/>
  <c r="Q429" i="1" s="1"/>
  <c r="S428" i="1"/>
  <c r="V428" i="1"/>
  <c r="V427" i="1"/>
  <c r="S427" i="1"/>
  <c r="S426" i="1"/>
  <c r="V426" i="1"/>
  <c r="V425" i="1"/>
  <c r="S425" i="1"/>
  <c r="V422" i="1"/>
  <c r="S422" i="1"/>
  <c r="S421" i="1"/>
  <c r="V421" i="1"/>
  <c r="T420" i="1"/>
  <c r="U420" i="1" s="1"/>
  <c r="R420" i="1"/>
  <c r="P420" i="1"/>
  <c r="Q420" i="1" s="1"/>
  <c r="K420" i="1"/>
  <c r="T419" i="1"/>
  <c r="U419" i="1" s="1"/>
  <c r="P419" i="1"/>
  <c r="Q419" i="1" s="1"/>
  <c r="K419" i="1"/>
  <c r="R419" i="1"/>
  <c r="P417" i="1"/>
  <c r="Q417" i="1" s="1"/>
  <c r="T417" i="1"/>
  <c r="U417" i="1" s="1"/>
  <c r="R417" i="1"/>
  <c r="K417" i="1"/>
  <c r="P416" i="1"/>
  <c r="Q416" i="1" s="1"/>
  <c r="R416" i="1"/>
  <c r="T416" i="1"/>
  <c r="U416" i="1" s="1"/>
  <c r="K416" i="1"/>
  <c r="T415" i="1"/>
  <c r="U415" i="1" s="1"/>
  <c r="K415" i="1"/>
  <c r="P415" i="1"/>
  <c r="Q415" i="1" s="1"/>
  <c r="R415" i="1"/>
  <c r="K414" i="1"/>
  <c r="P414" i="1"/>
  <c r="Q414" i="1" s="1"/>
  <c r="R414" i="1"/>
  <c r="T414" i="1"/>
  <c r="U414" i="1" s="1"/>
  <c r="T413" i="1"/>
  <c r="U413" i="1" s="1"/>
  <c r="R413" i="1"/>
  <c r="P413" i="1"/>
  <c r="Q413" i="1" s="1"/>
  <c r="K413" i="1"/>
  <c r="V412" i="1"/>
  <c r="S412" i="1"/>
  <c r="V411" i="1"/>
  <c r="S411" i="1"/>
  <c r="V410" i="1"/>
  <c r="S410" i="1"/>
  <c r="V409" i="1"/>
  <c r="S409" i="1"/>
  <c r="V408" i="1"/>
  <c r="S408" i="1"/>
  <c r="S407" i="1"/>
  <c r="V407" i="1"/>
  <c r="S406" i="1"/>
  <c r="V406" i="1"/>
  <c r="T405" i="1"/>
  <c r="U405" i="1" s="1"/>
  <c r="K405" i="1"/>
  <c r="R405" i="1"/>
  <c r="P405" i="1"/>
  <c r="Q405" i="1" s="1"/>
  <c r="S404" i="1"/>
  <c r="V404" i="1"/>
  <c r="V403" i="1"/>
  <c r="S403" i="1"/>
  <c r="V402" i="1"/>
  <c r="S402" i="1"/>
  <c r="V401" i="1"/>
  <c r="S401" i="1"/>
  <c r="T400" i="1"/>
  <c r="U400" i="1" s="1"/>
  <c r="R400" i="1"/>
  <c r="P400" i="1"/>
  <c r="Q400" i="1" s="1"/>
  <c r="K400" i="1"/>
  <c r="T399" i="1"/>
  <c r="U399" i="1" s="1"/>
  <c r="R399" i="1"/>
  <c r="P399" i="1"/>
  <c r="Q399" i="1" s="1"/>
  <c r="T398" i="1"/>
  <c r="U398" i="1" s="1"/>
  <c r="R398" i="1"/>
  <c r="P398" i="1"/>
  <c r="Q398" i="1" s="1"/>
  <c r="K398" i="1"/>
  <c r="T397" i="1"/>
  <c r="U397" i="1" s="1"/>
  <c r="R397" i="1"/>
  <c r="K397" i="1"/>
  <c r="P397" i="1"/>
  <c r="Q397" i="1" s="1"/>
  <c r="R396" i="1"/>
  <c r="P396" i="1"/>
  <c r="Q396" i="1" s="1"/>
  <c r="K396" i="1"/>
  <c r="T396" i="1"/>
  <c r="U396" i="1" s="1"/>
  <c r="T395" i="1"/>
  <c r="U395" i="1" s="1"/>
  <c r="R395" i="1"/>
  <c r="P395" i="1"/>
  <c r="Q395" i="1" s="1"/>
  <c r="K395" i="1"/>
  <c r="R394" i="1"/>
  <c r="P394" i="1"/>
  <c r="Q394" i="1" s="1"/>
  <c r="K394" i="1"/>
  <c r="T394" i="1"/>
  <c r="U394" i="1" s="1"/>
  <c r="T393" i="1"/>
  <c r="U393" i="1" s="1"/>
  <c r="P393" i="1"/>
  <c r="Q393" i="1" s="1"/>
  <c r="K393" i="1"/>
  <c r="R393" i="1"/>
  <c r="T392" i="1"/>
  <c r="U392" i="1" s="1"/>
  <c r="R392" i="1"/>
  <c r="P392" i="1"/>
  <c r="Q392" i="1" s="1"/>
  <c r="K392" i="1"/>
  <c r="K390" i="1"/>
  <c r="R390" i="1"/>
  <c r="T390" i="1"/>
  <c r="U390" i="1" s="1"/>
  <c r="P390" i="1"/>
  <c r="Q390" i="1" s="1"/>
  <c r="K389" i="1"/>
  <c r="T389" i="1"/>
  <c r="U389" i="1" s="1"/>
  <c r="R389" i="1"/>
  <c r="P389" i="1"/>
  <c r="Q389" i="1" s="1"/>
  <c r="T388" i="1"/>
  <c r="U388" i="1" s="1"/>
  <c r="R388" i="1"/>
  <c r="P388" i="1"/>
  <c r="Q388" i="1" s="1"/>
  <c r="K388" i="1"/>
  <c r="R386" i="1"/>
  <c r="P386" i="1"/>
  <c r="Q386" i="1" s="1"/>
  <c r="K386" i="1"/>
  <c r="T386" i="1"/>
  <c r="U386" i="1" s="1"/>
  <c r="K385" i="1"/>
  <c r="P385" i="1"/>
  <c r="Q385" i="1" s="1"/>
  <c r="T385" i="1"/>
  <c r="U385" i="1" s="1"/>
  <c r="R385" i="1"/>
  <c r="V384" i="1"/>
  <c r="S384" i="1"/>
  <c r="V383" i="1"/>
  <c r="S383" i="1"/>
  <c r="S382" i="1"/>
  <c r="V382" i="1"/>
  <c r="V381" i="1"/>
  <c r="S381" i="1"/>
  <c r="S380" i="1"/>
  <c r="V380" i="1"/>
  <c r="V379" i="1"/>
  <c r="S379" i="1"/>
  <c r="V378" i="1"/>
  <c r="S378" i="1"/>
  <c r="V377" i="1"/>
  <c r="S377" i="1"/>
  <c r="P376" i="1"/>
  <c r="Q376" i="1" s="1"/>
  <c r="R376" i="1"/>
  <c r="T376" i="1"/>
  <c r="U376" i="1" s="1"/>
  <c r="K376" i="1"/>
  <c r="R375" i="1"/>
  <c r="P375" i="1"/>
  <c r="Q375" i="1" s="1"/>
  <c r="K375" i="1"/>
  <c r="T375" i="1"/>
  <c r="U375" i="1" s="1"/>
  <c r="M374" i="1"/>
  <c r="A374" i="1"/>
  <c r="T374" i="1"/>
  <c r="U374" i="1" s="1"/>
  <c r="K374" i="1"/>
  <c r="P374" i="1"/>
  <c r="Q374" i="1" s="1"/>
  <c r="R374" i="1"/>
  <c r="K373" i="1"/>
  <c r="P373" i="1"/>
  <c r="Q373" i="1" s="1"/>
  <c r="R373" i="1"/>
  <c r="V372" i="1"/>
  <c r="S372" i="1"/>
  <c r="S371" i="1"/>
  <c r="V371" i="1"/>
  <c r="V370" i="1"/>
  <c r="S370" i="1"/>
  <c r="K369" i="1"/>
  <c r="P369" i="1"/>
  <c r="Q369" i="1" s="1"/>
  <c r="R369" i="1"/>
  <c r="T369" i="1"/>
  <c r="U369" i="1" s="1"/>
  <c r="S367" i="1"/>
  <c r="V367" i="1"/>
  <c r="S366" i="1"/>
  <c r="V366" i="1"/>
  <c r="K365" i="1"/>
  <c r="P365" i="1"/>
  <c r="Q365" i="1" s="1"/>
  <c r="R365" i="1"/>
  <c r="T365" i="1"/>
  <c r="U365" i="1" s="1"/>
  <c r="S364" i="1"/>
  <c r="V364" i="1"/>
  <c r="T363" i="1"/>
  <c r="U363" i="1" s="1"/>
  <c r="P363" i="1"/>
  <c r="Q363" i="1" s="1"/>
  <c r="R363" i="1"/>
  <c r="K363" i="1"/>
  <c r="K362" i="1"/>
  <c r="P362" i="1"/>
  <c r="Q362" i="1" s="1"/>
  <c r="R362" i="1"/>
  <c r="T362" i="1"/>
  <c r="U362" i="1" s="1"/>
  <c r="S361" i="1"/>
  <c r="V361" i="1"/>
  <c r="K360" i="1"/>
  <c r="R360" i="1"/>
  <c r="T360" i="1"/>
  <c r="U360" i="1" s="1"/>
  <c r="P360" i="1"/>
  <c r="Q360" i="1" s="1"/>
  <c r="R359" i="1"/>
  <c r="P359" i="1"/>
  <c r="Q359" i="1" s="1"/>
  <c r="T359" i="1"/>
  <c r="U359" i="1" s="1"/>
  <c r="O359" i="1"/>
  <c r="T358" i="1"/>
  <c r="U358" i="1" s="1"/>
  <c r="R358" i="1"/>
  <c r="P358" i="1"/>
  <c r="Q358" i="1" s="1"/>
  <c r="K358" i="1"/>
  <c r="K357" i="1"/>
  <c r="T357" i="1"/>
  <c r="U357" i="1" s="1"/>
  <c r="R357" i="1"/>
  <c r="P357" i="1"/>
  <c r="Q357" i="1" s="1"/>
  <c r="T356" i="1"/>
  <c r="U356" i="1" s="1"/>
  <c r="R356" i="1"/>
  <c r="P356" i="1"/>
  <c r="Q356" i="1" s="1"/>
  <c r="K356" i="1"/>
  <c r="K355" i="1"/>
  <c r="T355" i="1"/>
  <c r="U355" i="1" s="1"/>
  <c r="R355" i="1"/>
  <c r="P355" i="1"/>
  <c r="Q355" i="1" s="1"/>
  <c r="T354" i="1"/>
  <c r="U354" i="1" s="1"/>
  <c r="K354" i="1"/>
  <c r="R354" i="1"/>
  <c r="P354" i="1"/>
  <c r="Q354" i="1" s="1"/>
  <c r="T353" i="1"/>
  <c r="U353" i="1" s="1"/>
  <c r="R353" i="1"/>
  <c r="P353" i="1"/>
  <c r="Q353" i="1" s="1"/>
  <c r="K353" i="1"/>
  <c r="T352" i="1"/>
  <c r="U352" i="1" s="1"/>
  <c r="R352" i="1"/>
  <c r="P352" i="1"/>
  <c r="Q352" i="1" s="1"/>
  <c r="K352" i="1"/>
  <c r="S351" i="1"/>
  <c r="V351" i="1"/>
  <c r="V350" i="1"/>
  <c r="S350" i="1"/>
  <c r="V349" i="1"/>
  <c r="S349" i="1"/>
  <c r="V348" i="1"/>
  <c r="S348" i="1"/>
  <c r="V347" i="1"/>
  <c r="S347" i="1"/>
  <c r="S346" i="1"/>
  <c r="V346" i="1"/>
  <c r="S345" i="1"/>
  <c r="V345" i="1"/>
  <c r="V344" i="1"/>
  <c r="S344" i="1"/>
  <c r="V343" i="1"/>
  <c r="S343" i="1"/>
  <c r="R342" i="1"/>
  <c r="T342" i="1"/>
  <c r="U342" i="1" s="1"/>
  <c r="P342" i="1"/>
  <c r="Q342" i="1" s="1"/>
  <c r="K342" i="1"/>
  <c r="T341" i="1"/>
  <c r="U341" i="1" s="1"/>
  <c r="R341" i="1"/>
  <c r="P341" i="1"/>
  <c r="Q341" i="1" s="1"/>
  <c r="K341" i="1"/>
  <c r="S340" i="1"/>
  <c r="V340" i="1"/>
  <c r="T339" i="1"/>
  <c r="U339" i="1" s="1"/>
  <c r="R339" i="1"/>
  <c r="P339" i="1"/>
  <c r="Q339" i="1" s="1"/>
  <c r="K339" i="1"/>
  <c r="K338" i="1"/>
  <c r="T338" i="1"/>
  <c r="U338" i="1" s="1"/>
  <c r="R338" i="1"/>
  <c r="P338" i="1"/>
  <c r="Q338" i="1" s="1"/>
  <c r="V336" i="1"/>
  <c r="S336" i="1"/>
  <c r="V335" i="1"/>
  <c r="S335" i="1"/>
  <c r="V334" i="1"/>
  <c r="S334" i="1"/>
  <c r="P333" i="1"/>
  <c r="Q333" i="1" s="1"/>
  <c r="T333" i="1"/>
  <c r="U333" i="1" s="1"/>
  <c r="R333" i="1"/>
  <c r="K333" i="1"/>
  <c r="S332" i="1"/>
  <c r="V332" i="1"/>
  <c r="K331" i="1"/>
  <c r="P331" i="1"/>
  <c r="Q331" i="1" s="1"/>
  <c r="R331" i="1"/>
  <c r="T331" i="1"/>
  <c r="U331" i="1" s="1"/>
  <c r="T330" i="1"/>
  <c r="U330" i="1" s="1"/>
  <c r="R330" i="1"/>
  <c r="P330" i="1"/>
  <c r="Q330" i="1" s="1"/>
  <c r="K330" i="1"/>
  <c r="V329" i="1"/>
  <c r="S329" i="1"/>
  <c r="T328" i="1"/>
  <c r="U328" i="1" s="1"/>
  <c r="R328" i="1"/>
  <c r="P328" i="1"/>
  <c r="Q328" i="1" s="1"/>
  <c r="K328" i="1"/>
  <c r="R326" i="1"/>
  <c r="P326" i="1"/>
  <c r="Q326" i="1" s="1"/>
  <c r="K326" i="1"/>
  <c r="T326" i="1"/>
  <c r="U326" i="1" s="1"/>
  <c r="K325" i="1"/>
  <c r="T325" i="1"/>
  <c r="U325" i="1" s="1"/>
  <c r="R325" i="1"/>
  <c r="P325" i="1"/>
  <c r="Q325" i="1" s="1"/>
  <c r="S324" i="1"/>
  <c r="V324" i="1"/>
  <c r="V323" i="1"/>
  <c r="S323" i="1"/>
  <c r="T322" i="1"/>
  <c r="U322" i="1" s="1"/>
  <c r="R322" i="1"/>
  <c r="P322" i="1"/>
  <c r="Q322" i="1" s="1"/>
  <c r="K322" i="1"/>
  <c r="T321" i="1"/>
  <c r="U321" i="1" s="1"/>
  <c r="P321" i="1"/>
  <c r="Q321" i="1" s="1"/>
  <c r="K321" i="1"/>
  <c r="R321" i="1"/>
  <c r="T320" i="1"/>
  <c r="U320" i="1" s="1"/>
  <c r="R320" i="1"/>
  <c r="P320" i="1"/>
  <c r="Q320" i="1" s="1"/>
  <c r="K320" i="1"/>
  <c r="T317" i="1"/>
  <c r="U317" i="1" s="1"/>
  <c r="R317" i="1"/>
  <c r="P317" i="1"/>
  <c r="Q317" i="1" s="1"/>
  <c r="M317" i="1"/>
  <c r="R316" i="1"/>
  <c r="T316" i="1"/>
  <c r="U316" i="1" s="1"/>
  <c r="K316" i="1"/>
  <c r="P316" i="1"/>
  <c r="Q316" i="1" s="1"/>
  <c r="R315" i="1"/>
  <c r="T315" i="1"/>
  <c r="U315" i="1" s="1"/>
  <c r="K315" i="1"/>
  <c r="P315" i="1"/>
  <c r="Q315" i="1" s="1"/>
  <c r="R314" i="1"/>
  <c r="P314" i="1"/>
  <c r="Q314" i="1" s="1"/>
  <c r="T314" i="1"/>
  <c r="U314" i="1" s="1"/>
  <c r="K314" i="1"/>
  <c r="R313" i="1"/>
  <c r="K313" i="1"/>
  <c r="P313" i="1"/>
  <c r="Q313" i="1" s="1"/>
  <c r="T313" i="1"/>
  <c r="U313" i="1" s="1"/>
  <c r="P312" i="1"/>
  <c r="Q312" i="1" s="1"/>
  <c r="T312" i="1"/>
  <c r="U312" i="1" s="1"/>
  <c r="R312" i="1"/>
  <c r="K312" i="1"/>
  <c r="V311" i="1"/>
  <c r="S311" i="1"/>
  <c r="S310" i="1"/>
  <c r="V310" i="1"/>
  <c r="S309" i="1"/>
  <c r="V309" i="1"/>
  <c r="S308" i="1"/>
  <c r="V308" i="1"/>
  <c r="R307" i="1"/>
  <c r="P307" i="1"/>
  <c r="Q307" i="1" s="1"/>
  <c r="T307" i="1"/>
  <c r="U307" i="1" s="1"/>
  <c r="K307" i="1"/>
  <c r="T306" i="1"/>
  <c r="U306" i="1" s="1"/>
  <c r="R306" i="1"/>
  <c r="K306" i="1"/>
  <c r="P306" i="1"/>
  <c r="Q306" i="1" s="1"/>
  <c r="T305" i="1"/>
  <c r="U305" i="1" s="1"/>
  <c r="R305" i="1"/>
  <c r="P305" i="1"/>
  <c r="Q305" i="1" s="1"/>
  <c r="K305" i="1"/>
  <c r="K304" i="1"/>
  <c r="R304" i="1"/>
  <c r="P304" i="1"/>
  <c r="Q304" i="1" s="1"/>
  <c r="P303" i="1"/>
  <c r="Q303" i="1" s="1"/>
  <c r="K303" i="1"/>
  <c r="T303" i="1"/>
  <c r="U303" i="1" s="1"/>
  <c r="R303" i="1"/>
  <c r="P302" i="1"/>
  <c r="Q302" i="1" s="1"/>
  <c r="K302" i="1"/>
  <c r="T302" i="1"/>
  <c r="U302" i="1" s="1"/>
  <c r="R302" i="1"/>
  <c r="T301" i="1"/>
  <c r="U301" i="1" s="1"/>
  <c r="P301" i="1"/>
  <c r="Q301" i="1" s="1"/>
  <c r="R301" i="1"/>
  <c r="K301" i="1"/>
  <c r="K300" i="1"/>
  <c r="P300" i="1"/>
  <c r="Q300" i="1" s="1"/>
  <c r="T300" i="1"/>
  <c r="U300" i="1" s="1"/>
  <c r="R300" i="1"/>
  <c r="V299" i="1"/>
  <c r="S299" i="1"/>
  <c r="R298" i="1"/>
  <c r="T298" i="1"/>
  <c r="U298" i="1" s="1"/>
  <c r="P298" i="1"/>
  <c r="Q298" i="1" s="1"/>
  <c r="K298" i="1"/>
  <c r="R297" i="1"/>
  <c r="K297" i="1"/>
  <c r="P297" i="1"/>
  <c r="Q297" i="1" s="1"/>
  <c r="T297" i="1"/>
  <c r="U297" i="1" s="1"/>
  <c r="P296" i="1"/>
  <c r="Q296" i="1" s="1"/>
  <c r="R296" i="1"/>
  <c r="T296" i="1"/>
  <c r="U296" i="1" s="1"/>
  <c r="R295" i="1"/>
  <c r="K295" i="1"/>
  <c r="T295" i="1"/>
  <c r="U295" i="1" s="1"/>
  <c r="P295" i="1"/>
  <c r="Q295" i="1" s="1"/>
  <c r="R294" i="1"/>
  <c r="K294" i="1"/>
  <c r="P294" i="1"/>
  <c r="Q294" i="1" s="1"/>
  <c r="T294" i="1"/>
  <c r="U294" i="1" s="1"/>
  <c r="T293" i="1"/>
  <c r="U293" i="1" s="1"/>
  <c r="K293" i="1"/>
  <c r="P293" i="1"/>
  <c r="Q293" i="1" s="1"/>
  <c r="R293" i="1"/>
  <c r="S291" i="1"/>
  <c r="V291" i="1"/>
  <c r="S290" i="1"/>
  <c r="V290" i="1"/>
  <c r="V289" i="1"/>
  <c r="S289" i="1"/>
  <c r="S288" i="1"/>
  <c r="V288" i="1"/>
  <c r="S287" i="1"/>
  <c r="V287" i="1"/>
  <c r="S286" i="1"/>
  <c r="V286" i="1"/>
  <c r="S285" i="1"/>
  <c r="V285" i="1"/>
  <c r="V283" i="1"/>
  <c r="S283" i="1"/>
  <c r="K282" i="1"/>
  <c r="T282" i="1"/>
  <c r="U282" i="1" s="1"/>
  <c r="P282" i="1"/>
  <c r="Q282" i="1" s="1"/>
  <c r="R282" i="1"/>
  <c r="V281" i="1"/>
  <c r="S281" i="1"/>
  <c r="P280" i="1"/>
  <c r="Q280" i="1" s="1"/>
  <c r="K280" i="1"/>
  <c r="T280" i="1"/>
  <c r="U280" i="1" s="1"/>
  <c r="R280" i="1"/>
  <c r="P279" i="1"/>
  <c r="Q279" i="1" s="1"/>
  <c r="T279" i="1"/>
  <c r="U279" i="1" s="1"/>
  <c r="R279" i="1"/>
  <c r="K279" i="1"/>
  <c r="R278" i="1"/>
  <c r="T278" i="1"/>
  <c r="U278" i="1" s="1"/>
  <c r="P278" i="1"/>
  <c r="Q278" i="1" s="1"/>
  <c r="K278" i="1"/>
  <c r="T277" i="1"/>
  <c r="U277" i="1" s="1"/>
  <c r="P277" i="1"/>
  <c r="Q277" i="1" s="1"/>
  <c r="K277" i="1"/>
  <c r="R277" i="1"/>
  <c r="S276" i="1"/>
  <c r="V276" i="1"/>
  <c r="V275" i="1"/>
  <c r="S275" i="1"/>
  <c r="K274" i="1"/>
  <c r="T274" i="1"/>
  <c r="U274" i="1" s="1"/>
  <c r="P274" i="1"/>
  <c r="Q274" i="1" s="1"/>
  <c r="R274" i="1"/>
  <c r="R273" i="1"/>
  <c r="K273" i="1"/>
  <c r="P273" i="1"/>
  <c r="Q273" i="1" s="1"/>
  <c r="T273" i="1"/>
  <c r="U273" i="1" s="1"/>
  <c r="V272" i="1"/>
  <c r="S272" i="1"/>
  <c r="P271" i="1"/>
  <c r="Q271" i="1" s="1"/>
  <c r="T271" i="1"/>
  <c r="U271" i="1" s="1"/>
  <c r="K271" i="1"/>
  <c r="R271" i="1"/>
  <c r="T270" i="1"/>
  <c r="U270" i="1" s="1"/>
  <c r="P270" i="1"/>
  <c r="Q270" i="1" s="1"/>
  <c r="R270" i="1"/>
  <c r="K270" i="1"/>
  <c r="V269" i="1"/>
  <c r="S269" i="1"/>
  <c r="K267" i="1"/>
  <c r="P267" i="1"/>
  <c r="Q267" i="1" s="1"/>
  <c r="R267" i="1"/>
  <c r="T267" i="1"/>
  <c r="U267" i="1" s="1"/>
  <c r="P266" i="1"/>
  <c r="Q266" i="1" s="1"/>
  <c r="K266" i="1"/>
  <c r="R266" i="1"/>
  <c r="T266" i="1"/>
  <c r="U266" i="1" s="1"/>
  <c r="S265" i="1"/>
  <c r="V265" i="1"/>
  <c r="R264" i="1"/>
  <c r="P264" i="1"/>
  <c r="Q264" i="1" s="1"/>
  <c r="T264" i="1"/>
  <c r="U264" i="1" s="1"/>
  <c r="K264" i="1"/>
  <c r="S263" i="1"/>
  <c r="V263" i="1"/>
  <c r="V262" i="1"/>
  <c r="S262" i="1"/>
  <c r="V261" i="1"/>
  <c r="S261" i="1"/>
  <c r="V260" i="1"/>
  <c r="S260" i="1"/>
  <c r="S259" i="1"/>
  <c r="V259" i="1"/>
  <c r="S258" i="1"/>
  <c r="V258" i="1"/>
  <c r="P257" i="1"/>
  <c r="Q257" i="1" s="1"/>
  <c r="T257" i="1"/>
  <c r="U257" i="1" s="1"/>
  <c r="K257" i="1"/>
  <c r="R257" i="1"/>
  <c r="V256" i="1"/>
  <c r="S256" i="1"/>
  <c r="K255" i="1"/>
  <c r="R255" i="1"/>
  <c r="T255" i="1"/>
  <c r="U255" i="1" s="1"/>
  <c r="P255" i="1"/>
  <c r="Q255" i="1" s="1"/>
  <c r="V254" i="1"/>
  <c r="S254" i="1"/>
  <c r="V253" i="1"/>
  <c r="S253" i="1"/>
  <c r="R252" i="1"/>
  <c r="K252" i="1"/>
  <c r="T252" i="1"/>
  <c r="U252" i="1" s="1"/>
  <c r="P252" i="1"/>
  <c r="Q252" i="1" s="1"/>
  <c r="P251" i="1"/>
  <c r="T251" i="1"/>
  <c r="K251" i="1"/>
  <c r="P250" i="1"/>
  <c r="Q250" i="1" s="1"/>
  <c r="R250" i="1"/>
  <c r="K250" i="1"/>
  <c r="T250" i="1"/>
  <c r="U250" i="1" s="1"/>
  <c r="K249" i="1"/>
  <c r="T249" i="1"/>
  <c r="U249" i="1" s="1"/>
  <c r="P249" i="1"/>
  <c r="Q249" i="1" s="1"/>
  <c r="R249" i="1"/>
  <c r="R248" i="1"/>
  <c r="T248" i="1"/>
  <c r="U248" i="1" s="1"/>
  <c r="K248" i="1"/>
  <c r="V247" i="1"/>
  <c r="S247" i="1"/>
  <c r="S245" i="1"/>
  <c r="V245" i="1"/>
  <c r="S244" i="1"/>
  <c r="V244" i="1"/>
  <c r="V243" i="1"/>
  <c r="S243" i="1"/>
  <c r="S242" i="1"/>
  <c r="V242" i="1"/>
  <c r="S241" i="1"/>
  <c r="V241" i="1"/>
  <c r="P240" i="1"/>
  <c r="Q240" i="1" s="1"/>
  <c r="R240" i="1"/>
  <c r="T240" i="1"/>
  <c r="U240" i="1" s="1"/>
  <c r="K240" i="1"/>
  <c r="P239" i="1"/>
  <c r="Q239" i="1" s="1"/>
  <c r="T239" i="1"/>
  <c r="U239" i="1" s="1"/>
  <c r="R239" i="1"/>
  <c r="K239" i="1"/>
  <c r="A238" i="1"/>
  <c r="R238" i="1"/>
  <c r="O238" i="1"/>
  <c r="T238" i="1"/>
  <c r="U238" i="1" s="1"/>
  <c r="T237" i="1"/>
  <c r="K237" i="1"/>
  <c r="P237" i="1"/>
  <c r="K236" i="1"/>
  <c r="R236" i="1"/>
  <c r="T236" i="1"/>
  <c r="U236" i="1" s="1"/>
  <c r="P236" i="1"/>
  <c r="Q236" i="1" s="1"/>
  <c r="V235" i="1"/>
  <c r="S235" i="1"/>
  <c r="K234" i="1"/>
  <c r="T234" i="1"/>
  <c r="K233" i="1"/>
  <c r="T233" i="1"/>
  <c r="U233" i="1" s="1"/>
  <c r="R233" i="1"/>
  <c r="P233" i="1"/>
  <c r="Q233" i="1" s="1"/>
  <c r="A233" i="1"/>
  <c r="T232" i="1"/>
  <c r="U232" i="1" s="1"/>
  <c r="R232" i="1"/>
  <c r="K232" i="1"/>
  <c r="P232" i="1"/>
  <c r="Q232" i="1" s="1"/>
  <c r="S231" i="1"/>
  <c r="V231" i="1"/>
  <c r="S230" i="1"/>
  <c r="V230" i="1"/>
  <c r="V228" i="1"/>
  <c r="S228" i="1"/>
  <c r="T227" i="1"/>
  <c r="U227" i="1" s="1"/>
  <c r="K227" i="1"/>
  <c r="R227" i="1"/>
  <c r="P227" i="1"/>
  <c r="Q227" i="1" s="1"/>
  <c r="V226" i="1"/>
  <c r="S226" i="1"/>
  <c r="S225" i="1"/>
  <c r="V225" i="1"/>
  <c r="V224" i="1"/>
  <c r="S224" i="1"/>
  <c r="S223" i="1"/>
  <c r="V223" i="1"/>
  <c r="S222" i="1"/>
  <c r="V222" i="1"/>
  <c r="S221" i="1"/>
  <c r="V221" i="1"/>
  <c r="S220" i="1"/>
  <c r="V220" i="1"/>
  <c r="V219" i="1"/>
  <c r="S219" i="1"/>
  <c r="V218" i="1"/>
  <c r="S218" i="1"/>
  <c r="V217" i="1"/>
  <c r="S217" i="1"/>
  <c r="S216" i="1"/>
  <c r="V216" i="1"/>
  <c r="S215" i="1"/>
  <c r="V215" i="1"/>
  <c r="S214" i="1"/>
  <c r="V214" i="1"/>
  <c r="V213" i="1"/>
  <c r="S213" i="1"/>
  <c r="V212" i="1"/>
  <c r="S212" i="1"/>
  <c r="S211" i="1"/>
  <c r="V211" i="1"/>
  <c r="S210" i="1"/>
  <c r="V210" i="1"/>
  <c r="S209" i="1"/>
  <c r="V209" i="1"/>
  <c r="T208" i="1"/>
  <c r="U208" i="1" s="1"/>
  <c r="P208" i="1"/>
  <c r="Q208" i="1" s="1"/>
  <c r="R208" i="1"/>
  <c r="K208" i="1"/>
  <c r="V207" i="1"/>
  <c r="S207" i="1"/>
  <c r="T206" i="1"/>
  <c r="U206" i="1" s="1"/>
  <c r="P206" i="1"/>
  <c r="Q206" i="1" s="1"/>
  <c r="K206" i="1"/>
  <c r="R206" i="1"/>
  <c r="P205" i="1"/>
  <c r="Q205" i="1" s="1"/>
  <c r="T205" i="1"/>
  <c r="U205" i="1" s="1"/>
  <c r="K205" i="1"/>
  <c r="R205" i="1"/>
  <c r="V204" i="1"/>
  <c r="S204" i="1"/>
  <c r="P203" i="1"/>
  <c r="Q203" i="1" s="1"/>
  <c r="K203" i="1"/>
  <c r="R203" i="1"/>
  <c r="T203" i="1"/>
  <c r="U203" i="1" s="1"/>
  <c r="T202" i="1"/>
  <c r="U202" i="1" s="1"/>
  <c r="P202" i="1"/>
  <c r="Q202" i="1" s="1"/>
  <c r="R202" i="1"/>
  <c r="K202" i="1"/>
  <c r="K201" i="1"/>
  <c r="R201" i="1"/>
  <c r="P201" i="1"/>
  <c r="Q201" i="1" s="1"/>
  <c r="T201" i="1"/>
  <c r="U201" i="1" s="1"/>
  <c r="P200" i="1"/>
  <c r="Q200" i="1" s="1"/>
  <c r="T200" i="1"/>
  <c r="U200" i="1" s="1"/>
  <c r="K200" i="1"/>
  <c r="R200" i="1"/>
  <c r="K199" i="1"/>
  <c r="P199" i="1"/>
  <c r="Q199" i="1" s="1"/>
  <c r="R199" i="1"/>
  <c r="T199" i="1"/>
  <c r="U199" i="1" s="1"/>
  <c r="R198" i="1"/>
  <c r="K198" i="1"/>
  <c r="T198" i="1"/>
  <c r="U198" i="1" s="1"/>
  <c r="P198" i="1"/>
  <c r="Q198" i="1" s="1"/>
  <c r="V197" i="1"/>
  <c r="S197" i="1"/>
  <c r="T196" i="1"/>
  <c r="U196" i="1" s="1"/>
  <c r="R196" i="1"/>
  <c r="P196" i="1"/>
  <c r="Q196" i="1" s="1"/>
  <c r="K196" i="1"/>
  <c r="R195" i="1"/>
  <c r="P195" i="1"/>
  <c r="Q195" i="1" s="1"/>
  <c r="K195" i="1"/>
  <c r="T195" i="1"/>
  <c r="U195" i="1" s="1"/>
  <c r="R194" i="1"/>
  <c r="M194" i="1"/>
  <c r="P194" i="1"/>
  <c r="Q194" i="1" s="1"/>
  <c r="T194" i="1"/>
  <c r="U194" i="1" s="1"/>
  <c r="V193" i="1"/>
  <c r="S193" i="1"/>
  <c r="R192" i="1"/>
  <c r="P192" i="1"/>
  <c r="Q192" i="1" s="1"/>
  <c r="T192" i="1"/>
  <c r="U192" i="1" s="1"/>
  <c r="K192" i="1"/>
  <c r="P191" i="1"/>
  <c r="Q191" i="1" s="1"/>
  <c r="T191" i="1"/>
  <c r="U191" i="1" s="1"/>
  <c r="R191" i="1"/>
  <c r="K191" i="1"/>
  <c r="R190" i="1"/>
  <c r="T190" i="1"/>
  <c r="U190" i="1" s="1"/>
  <c r="P190" i="1"/>
  <c r="Q190" i="1" s="1"/>
  <c r="K190" i="1"/>
  <c r="R189" i="1"/>
  <c r="K189" i="1"/>
  <c r="T189" i="1"/>
  <c r="U189" i="1" s="1"/>
  <c r="P189" i="1"/>
  <c r="Q189" i="1" s="1"/>
  <c r="P188" i="1"/>
  <c r="Q188" i="1" s="1"/>
  <c r="K188" i="1"/>
  <c r="T188" i="1"/>
  <c r="U188" i="1" s="1"/>
  <c r="R188" i="1"/>
  <c r="T187" i="1"/>
  <c r="U187" i="1" s="1"/>
  <c r="R187" i="1"/>
  <c r="K187" i="1"/>
  <c r="P187" i="1"/>
  <c r="Q187" i="1" s="1"/>
  <c r="V185" i="1"/>
  <c r="S185" i="1"/>
  <c r="V184" i="1"/>
  <c r="S184" i="1"/>
  <c r="K183" i="1"/>
  <c r="R183" i="1"/>
  <c r="P183" i="1"/>
  <c r="Q183" i="1" s="1"/>
  <c r="T183" i="1"/>
  <c r="U183" i="1" s="1"/>
  <c r="R182" i="1"/>
  <c r="T182" i="1"/>
  <c r="U182" i="1" s="1"/>
  <c r="P182" i="1"/>
  <c r="Q182" i="1" s="1"/>
  <c r="K182" i="1"/>
  <c r="R181" i="1"/>
  <c r="P181" i="1"/>
  <c r="Q181" i="1" s="1"/>
  <c r="T181" i="1"/>
  <c r="U181" i="1" s="1"/>
  <c r="K181" i="1"/>
  <c r="S180" i="1"/>
  <c r="V180" i="1"/>
  <c r="T179" i="1"/>
  <c r="U179" i="1" s="1"/>
  <c r="R179" i="1"/>
  <c r="P179" i="1"/>
  <c r="Q179" i="1" s="1"/>
  <c r="K179" i="1"/>
  <c r="V178" i="1"/>
  <c r="S178" i="1"/>
  <c r="S177" i="1"/>
  <c r="V177" i="1"/>
  <c r="S176" i="1"/>
  <c r="V176" i="1"/>
  <c r="V175" i="1"/>
  <c r="S175" i="1"/>
  <c r="S174" i="1"/>
  <c r="V174" i="1"/>
  <c r="T173" i="1"/>
  <c r="U173" i="1" s="1"/>
  <c r="R173" i="1"/>
  <c r="P173" i="1"/>
  <c r="Q173" i="1" s="1"/>
  <c r="K173" i="1"/>
  <c r="T172" i="1"/>
  <c r="U172" i="1" s="1"/>
  <c r="K172" i="1"/>
  <c r="P172" i="1"/>
  <c r="Q172" i="1" s="1"/>
  <c r="R172" i="1"/>
  <c r="S171" i="1"/>
  <c r="V171" i="1"/>
  <c r="K170" i="1"/>
  <c r="T170" i="1"/>
  <c r="U170" i="1" s="1"/>
  <c r="P170" i="1"/>
  <c r="Q170" i="1" s="1"/>
  <c r="R170" i="1"/>
  <c r="K169" i="1"/>
  <c r="P169" i="1"/>
  <c r="Q169" i="1" s="1"/>
  <c r="R169" i="1"/>
  <c r="T169" i="1"/>
  <c r="U169" i="1" s="1"/>
  <c r="R168" i="1"/>
  <c r="T168" i="1"/>
  <c r="U168" i="1" s="1"/>
  <c r="K168" i="1"/>
  <c r="P168" i="1"/>
  <c r="Q168" i="1" s="1"/>
  <c r="S167" i="1"/>
  <c r="V167" i="1"/>
  <c r="K166" i="1"/>
  <c r="R166" i="1"/>
  <c r="T166" i="1"/>
  <c r="U166" i="1" s="1"/>
  <c r="P166" i="1"/>
  <c r="Q166" i="1" s="1"/>
  <c r="S165" i="1"/>
  <c r="V165" i="1"/>
  <c r="R163" i="1"/>
  <c r="T163" i="1"/>
  <c r="U163" i="1" s="1"/>
  <c r="P163" i="1"/>
  <c r="Q163" i="1" s="1"/>
  <c r="K163" i="1"/>
  <c r="R162" i="1"/>
  <c r="P162" i="1"/>
  <c r="Q162" i="1" s="1"/>
  <c r="K162" i="1"/>
  <c r="T162" i="1"/>
  <c r="U162" i="1" s="1"/>
  <c r="S161" i="1"/>
  <c r="V161" i="1"/>
  <c r="S160" i="1"/>
  <c r="V160" i="1"/>
  <c r="V159" i="1"/>
  <c r="S159" i="1"/>
  <c r="V158" i="1"/>
  <c r="S158" i="1"/>
  <c r="S157" i="1"/>
  <c r="V157" i="1"/>
  <c r="S156" i="1"/>
  <c r="V156" i="1"/>
  <c r="V155" i="1"/>
  <c r="S155" i="1"/>
  <c r="V154" i="1"/>
  <c r="S154" i="1"/>
  <c r="V153" i="1"/>
  <c r="S153" i="1"/>
  <c r="S152" i="1"/>
  <c r="V152" i="1"/>
  <c r="S151" i="1"/>
  <c r="V151" i="1"/>
  <c r="S150" i="1"/>
  <c r="V150" i="1"/>
  <c r="K149" i="1"/>
  <c r="T149" i="1"/>
  <c r="U149" i="1" s="1"/>
  <c r="R149" i="1"/>
  <c r="P149" i="1"/>
  <c r="Q149" i="1" s="1"/>
  <c r="V148" i="1"/>
  <c r="S148" i="1"/>
  <c r="R147" i="1"/>
  <c r="T147" i="1"/>
  <c r="U147" i="1" s="1"/>
  <c r="P147" i="1"/>
  <c r="Q147" i="1" s="1"/>
  <c r="K147" i="1"/>
  <c r="T146" i="1"/>
  <c r="U146" i="1" s="1"/>
  <c r="R146" i="1"/>
  <c r="P146" i="1"/>
  <c r="Q146" i="1" s="1"/>
  <c r="K146" i="1"/>
  <c r="T145" i="1"/>
  <c r="U145" i="1" s="1"/>
  <c r="R145" i="1"/>
  <c r="P145" i="1"/>
  <c r="Q145" i="1" s="1"/>
  <c r="K145" i="1"/>
  <c r="V144" i="1"/>
  <c r="S144" i="1"/>
  <c r="R143" i="1"/>
  <c r="P143" i="1"/>
  <c r="Q143" i="1" s="1"/>
  <c r="T143" i="1"/>
  <c r="U143" i="1" s="1"/>
  <c r="S142" i="1"/>
  <c r="V142" i="1"/>
  <c r="K141" i="1"/>
  <c r="P141" i="1"/>
  <c r="Q141" i="1" s="1"/>
  <c r="R141" i="1"/>
  <c r="T141" i="1"/>
  <c r="U141" i="1" s="1"/>
  <c r="R140" i="1"/>
  <c r="P140" i="1"/>
  <c r="Q140" i="1" s="1"/>
  <c r="K140" i="1"/>
  <c r="T140" i="1"/>
  <c r="U140" i="1" s="1"/>
  <c r="K138" i="1"/>
  <c r="P138" i="1"/>
  <c r="Q138" i="1" s="1"/>
  <c r="R138" i="1"/>
  <c r="T138" i="1"/>
  <c r="U138" i="1" s="1"/>
  <c r="T137" i="1"/>
  <c r="U137" i="1" s="1"/>
  <c r="R137" i="1"/>
  <c r="P137" i="1"/>
  <c r="Q137" i="1" s="1"/>
  <c r="K137" i="1"/>
  <c r="V136" i="1"/>
  <c r="S136" i="1"/>
  <c r="S135" i="1"/>
  <c r="V135" i="1"/>
  <c r="V134" i="1"/>
  <c r="S134" i="1"/>
  <c r="S133" i="1"/>
  <c r="V133" i="1"/>
  <c r="V132" i="1"/>
  <c r="S132" i="1"/>
  <c r="V131" i="1"/>
  <c r="S131" i="1"/>
  <c r="S130" i="1"/>
  <c r="V130" i="1"/>
  <c r="A129" i="1"/>
  <c r="T129" i="1"/>
  <c r="U129" i="1" s="1"/>
  <c r="R129" i="1"/>
  <c r="K129" i="1"/>
  <c r="P129" i="1"/>
  <c r="Q129" i="1" s="1"/>
  <c r="R128" i="1"/>
  <c r="K128" i="1"/>
  <c r="P128" i="1"/>
  <c r="Q128" i="1" s="1"/>
  <c r="T128" i="1"/>
  <c r="U128" i="1" s="1"/>
  <c r="T127" i="1"/>
  <c r="U127" i="1" s="1"/>
  <c r="K127" i="1"/>
  <c r="P127" i="1"/>
  <c r="Q127" i="1" s="1"/>
  <c r="R127" i="1"/>
  <c r="T126" i="1"/>
  <c r="U126" i="1" s="1"/>
  <c r="R126" i="1"/>
  <c r="P126" i="1"/>
  <c r="Q126" i="1" s="1"/>
  <c r="K126" i="1"/>
  <c r="P125" i="1"/>
  <c r="Q125" i="1" s="1"/>
  <c r="R125" i="1"/>
  <c r="T125" i="1"/>
  <c r="U125" i="1" s="1"/>
  <c r="K125" i="1"/>
  <c r="V124" i="1"/>
  <c r="S124" i="1"/>
  <c r="T123" i="1"/>
  <c r="U123" i="1" s="1"/>
  <c r="R123" i="1"/>
  <c r="P123" i="1"/>
  <c r="Q123" i="1" s="1"/>
  <c r="K123" i="1"/>
  <c r="T122" i="1"/>
  <c r="U122" i="1" s="1"/>
  <c r="R122" i="1"/>
  <c r="P122" i="1"/>
  <c r="Q122" i="1" s="1"/>
  <c r="K122" i="1"/>
  <c r="K121" i="1"/>
  <c r="T121" i="1"/>
  <c r="U121" i="1" s="1"/>
  <c r="R121" i="1"/>
  <c r="P121" i="1"/>
  <c r="Q121" i="1" s="1"/>
  <c r="K119" i="1"/>
  <c r="P119" i="1"/>
  <c r="Q119" i="1" s="1"/>
  <c r="R119" i="1"/>
  <c r="T119" i="1"/>
  <c r="U119" i="1" s="1"/>
  <c r="S118" i="1"/>
  <c r="V118" i="1"/>
  <c r="K117" i="1"/>
  <c r="P117" i="1"/>
  <c r="Q117" i="1" s="1"/>
  <c r="R117" i="1"/>
  <c r="T117" i="1"/>
  <c r="U117" i="1" s="1"/>
  <c r="T116" i="1"/>
  <c r="U116" i="1" s="1"/>
  <c r="R116" i="1"/>
  <c r="P116" i="1"/>
  <c r="Q116" i="1" s="1"/>
  <c r="K116" i="1"/>
  <c r="V115" i="1"/>
  <c r="S115" i="1"/>
  <c r="V114" i="1"/>
  <c r="S114" i="1"/>
  <c r="V113" i="1"/>
  <c r="S113" i="1"/>
  <c r="V112" i="1"/>
  <c r="S112" i="1"/>
  <c r="V111" i="1"/>
  <c r="S111" i="1"/>
  <c r="T110" i="1"/>
  <c r="U110" i="1" s="1"/>
  <c r="R110" i="1"/>
  <c r="P110" i="1"/>
  <c r="Q110" i="1" s="1"/>
  <c r="K110" i="1"/>
  <c r="R109" i="1"/>
  <c r="P109" i="1"/>
  <c r="Q109" i="1" s="1"/>
  <c r="K109" i="1"/>
  <c r="T109" i="1"/>
  <c r="U109" i="1" s="1"/>
  <c r="T108" i="1"/>
  <c r="U108" i="1" s="1"/>
  <c r="P108" i="1"/>
  <c r="Q108" i="1" s="1"/>
  <c r="K108" i="1"/>
  <c r="R108" i="1"/>
  <c r="T107" i="1"/>
  <c r="U107" i="1" s="1"/>
  <c r="P107" i="1"/>
  <c r="Q107" i="1" s="1"/>
  <c r="K107" i="1"/>
  <c r="R107" i="1"/>
  <c r="P106" i="1"/>
  <c r="Q106" i="1" s="1"/>
  <c r="R106" i="1"/>
  <c r="T106" i="1"/>
  <c r="U106" i="1" s="1"/>
  <c r="K106" i="1"/>
  <c r="R105" i="1"/>
  <c r="T105" i="1"/>
  <c r="U105" i="1" s="1"/>
  <c r="K105" i="1"/>
  <c r="P105" i="1"/>
  <c r="Q105" i="1" s="1"/>
  <c r="P104" i="1"/>
  <c r="Q104" i="1" s="1"/>
  <c r="T104" i="1"/>
  <c r="U104" i="1" s="1"/>
  <c r="R104" i="1"/>
  <c r="K104" i="1"/>
  <c r="R103" i="1"/>
  <c r="T103" i="1"/>
  <c r="U103" i="1" s="1"/>
  <c r="P103" i="1"/>
  <c r="Q103" i="1" s="1"/>
  <c r="K103" i="1"/>
  <c r="K102" i="1"/>
  <c r="P102" i="1"/>
  <c r="Q102" i="1" s="1"/>
  <c r="R102" i="1"/>
  <c r="T102" i="1"/>
  <c r="U102" i="1" s="1"/>
  <c r="O101" i="1"/>
  <c r="T101" i="1"/>
  <c r="U101" i="1" s="1"/>
  <c r="R101" i="1"/>
  <c r="P101" i="1"/>
  <c r="Q101" i="1" s="1"/>
  <c r="T99" i="1"/>
  <c r="U99" i="1" s="1"/>
  <c r="R99" i="1"/>
  <c r="P99" i="1"/>
  <c r="Q99" i="1" s="1"/>
  <c r="K99" i="1"/>
  <c r="T98" i="1"/>
  <c r="U98" i="1" s="1"/>
  <c r="R98" i="1"/>
  <c r="P98" i="1"/>
  <c r="Q98" i="1" s="1"/>
  <c r="K98" i="1"/>
  <c r="V97" i="1"/>
  <c r="S97" i="1"/>
  <c r="O96" i="1"/>
  <c r="T96" i="1"/>
  <c r="U96" i="1" s="1"/>
  <c r="R96" i="1"/>
  <c r="P96" i="1"/>
  <c r="Q96" i="1" s="1"/>
  <c r="V95" i="1"/>
  <c r="S95" i="1"/>
  <c r="S94" i="1"/>
  <c r="V94" i="1"/>
  <c r="V93" i="1"/>
  <c r="S93" i="1"/>
  <c r="V92" i="1"/>
  <c r="S92" i="1"/>
  <c r="V91" i="1"/>
  <c r="S91" i="1"/>
  <c r="S90" i="1"/>
  <c r="V90" i="1"/>
  <c r="S89" i="1"/>
  <c r="V89" i="1"/>
  <c r="K87" i="1"/>
  <c r="P87" i="1"/>
  <c r="Q87" i="1" s="1"/>
  <c r="R87" i="1"/>
  <c r="T87" i="1"/>
  <c r="U87" i="1" s="1"/>
  <c r="P86" i="1"/>
  <c r="Q86" i="1" s="1"/>
  <c r="K86" i="1"/>
  <c r="R86" i="1"/>
  <c r="T86" i="1"/>
  <c r="U86" i="1" s="1"/>
  <c r="S85" i="1"/>
  <c r="V85" i="1"/>
  <c r="S84" i="1"/>
  <c r="V84" i="1"/>
  <c r="S83" i="1"/>
  <c r="V83" i="1"/>
  <c r="S82" i="1"/>
  <c r="V82" i="1"/>
  <c r="S81" i="1"/>
  <c r="V81" i="1"/>
  <c r="S80" i="1"/>
  <c r="V80" i="1"/>
  <c r="S79" i="1"/>
  <c r="V79" i="1"/>
  <c r="S78" i="1"/>
  <c r="V78" i="1"/>
  <c r="V77" i="1"/>
  <c r="S77" i="1"/>
  <c r="S76" i="1"/>
  <c r="V76" i="1"/>
  <c r="V75" i="1"/>
  <c r="S75" i="1"/>
  <c r="S74" i="1"/>
  <c r="V74" i="1"/>
  <c r="V73" i="1"/>
  <c r="S73" i="1"/>
  <c r="P70" i="1"/>
  <c r="Q70" i="1" s="1"/>
  <c r="R70" i="1"/>
  <c r="T70" i="1"/>
  <c r="U70" i="1" s="1"/>
  <c r="P68" i="1"/>
  <c r="Q68" i="1" s="1"/>
  <c r="K68" i="1"/>
  <c r="T68" i="1"/>
  <c r="U68" i="1" s="1"/>
  <c r="R68" i="1"/>
  <c r="T67" i="1"/>
  <c r="U67" i="1" s="1"/>
  <c r="R67" i="1"/>
  <c r="P67" i="1"/>
  <c r="Q67" i="1" s="1"/>
  <c r="K67" i="1"/>
  <c r="K66" i="1"/>
  <c r="T66" i="1"/>
  <c r="U66" i="1" s="1"/>
  <c r="R66" i="1"/>
  <c r="P66" i="1"/>
  <c r="Q66" i="1" s="1"/>
  <c r="K65" i="1"/>
  <c r="P65" i="1"/>
  <c r="Q65" i="1" s="1"/>
  <c r="T65" i="1"/>
  <c r="U65" i="1" s="1"/>
  <c r="R65" i="1"/>
  <c r="S64" i="1"/>
  <c r="V64" i="1"/>
  <c r="T63" i="1"/>
  <c r="U63" i="1" s="1"/>
  <c r="R63" i="1"/>
  <c r="P63" i="1"/>
  <c r="Q63" i="1" s="1"/>
  <c r="K63" i="1"/>
  <c r="T62" i="1"/>
  <c r="U62" i="1" s="1"/>
  <c r="R62" i="1"/>
  <c r="P62" i="1"/>
  <c r="Q62" i="1" s="1"/>
  <c r="K62" i="1"/>
  <c r="K61" i="1"/>
  <c r="T61" i="1"/>
  <c r="U61" i="1" s="1"/>
  <c r="R61" i="1"/>
  <c r="P61" i="1"/>
  <c r="Q61" i="1" s="1"/>
  <c r="K60" i="1"/>
  <c r="P60" i="1"/>
  <c r="Q60" i="1" s="1"/>
  <c r="T60" i="1"/>
  <c r="U60" i="1" s="1"/>
  <c r="R60" i="1"/>
  <c r="V59" i="1"/>
  <c r="S59" i="1"/>
  <c r="R58" i="1"/>
  <c r="P58" i="1"/>
  <c r="Q58" i="1" s="1"/>
  <c r="T58" i="1"/>
  <c r="U58" i="1" s="1"/>
  <c r="K58" i="1"/>
  <c r="V57" i="1"/>
  <c r="S57" i="1"/>
  <c r="R56" i="1"/>
  <c r="T56" i="1"/>
  <c r="U56" i="1" s="1"/>
  <c r="K56" i="1"/>
  <c r="P56" i="1"/>
  <c r="Q56" i="1" s="1"/>
  <c r="S55" i="1"/>
  <c r="V55" i="1"/>
  <c r="T54" i="1"/>
  <c r="U54" i="1" s="1"/>
  <c r="R54" i="1"/>
  <c r="P54" i="1"/>
  <c r="Q54" i="1" s="1"/>
  <c r="K54" i="1"/>
  <c r="K53" i="1"/>
  <c r="T53" i="1"/>
  <c r="U53" i="1" s="1"/>
  <c r="R53" i="1"/>
  <c r="P53" i="1"/>
  <c r="Q53" i="1" s="1"/>
  <c r="T52" i="1"/>
  <c r="U52" i="1" s="1"/>
  <c r="R52" i="1"/>
  <c r="P52" i="1"/>
  <c r="Q52" i="1" s="1"/>
  <c r="K52" i="1"/>
  <c r="T51" i="1"/>
  <c r="U51" i="1" s="1"/>
  <c r="R51" i="1"/>
  <c r="P51" i="1"/>
  <c r="Q51" i="1" s="1"/>
  <c r="K51" i="1"/>
  <c r="P50" i="1"/>
  <c r="Q50" i="1" s="1"/>
  <c r="T50" i="1"/>
  <c r="U50" i="1" s="1"/>
  <c r="R50" i="1"/>
  <c r="M50" i="1"/>
  <c r="P49" i="1"/>
  <c r="Q49" i="1" s="1"/>
  <c r="T49" i="1"/>
  <c r="U49" i="1" s="1"/>
  <c r="K49" i="1"/>
  <c r="R49" i="1"/>
  <c r="T48" i="1"/>
  <c r="U48" i="1" s="1"/>
  <c r="R48" i="1"/>
  <c r="P48" i="1"/>
  <c r="Q48" i="1" s="1"/>
  <c r="K48" i="1"/>
  <c r="T47" i="1"/>
  <c r="U47" i="1" s="1"/>
  <c r="R47" i="1"/>
  <c r="P47" i="1"/>
  <c r="Q47" i="1" s="1"/>
  <c r="K47" i="1"/>
  <c r="S46" i="1"/>
  <c r="V46" i="1"/>
  <c r="R45" i="1"/>
  <c r="T45" i="1"/>
  <c r="U45" i="1" s="1"/>
  <c r="P45" i="1"/>
  <c r="Q45" i="1" s="1"/>
  <c r="K45" i="1"/>
  <c r="T44" i="1"/>
  <c r="U44" i="1" s="1"/>
  <c r="R44" i="1"/>
  <c r="P44" i="1"/>
  <c r="Q44" i="1" s="1"/>
  <c r="K44" i="1"/>
  <c r="T43" i="1"/>
  <c r="U43" i="1" s="1"/>
  <c r="R43" i="1"/>
  <c r="P43" i="1"/>
  <c r="Q43" i="1" s="1"/>
  <c r="K43" i="1"/>
  <c r="P42" i="1"/>
  <c r="Q42" i="1" s="1"/>
  <c r="K42" i="1"/>
  <c r="R42" i="1"/>
  <c r="T42" i="1"/>
  <c r="U42" i="1" s="1"/>
  <c r="K41" i="1"/>
  <c r="P41" i="1"/>
  <c r="Q41" i="1" s="1"/>
  <c r="T41" i="1"/>
  <c r="U41" i="1" s="1"/>
  <c r="R41" i="1"/>
  <c r="T40" i="1"/>
  <c r="U40" i="1" s="1"/>
  <c r="K40" i="1"/>
  <c r="P40" i="1"/>
  <c r="Q40" i="1" s="1"/>
  <c r="R40" i="1"/>
  <c r="T39" i="1"/>
  <c r="U39" i="1" s="1"/>
  <c r="R39" i="1"/>
  <c r="P39" i="1"/>
  <c r="Q39" i="1" s="1"/>
  <c r="K39" i="1"/>
  <c r="T38" i="1"/>
  <c r="U38" i="1" s="1"/>
  <c r="R38" i="1"/>
  <c r="P38" i="1"/>
  <c r="Q38" i="1" s="1"/>
  <c r="K38" i="1"/>
  <c r="T37" i="1"/>
  <c r="U37" i="1" s="1"/>
  <c r="P37" i="1"/>
  <c r="Q37" i="1" s="1"/>
  <c r="R37" i="1"/>
  <c r="K37" i="1"/>
  <c r="K36" i="1"/>
  <c r="T36" i="1"/>
  <c r="U36" i="1" s="1"/>
  <c r="R36" i="1"/>
  <c r="P36" i="1"/>
  <c r="Q36" i="1" s="1"/>
  <c r="P35" i="1"/>
  <c r="Q35" i="1" s="1"/>
  <c r="R35" i="1"/>
  <c r="T35" i="1"/>
  <c r="U35" i="1" s="1"/>
  <c r="K35" i="1"/>
  <c r="P34" i="1"/>
  <c r="Q34" i="1" s="1"/>
  <c r="T34" i="1"/>
  <c r="U34" i="1" s="1"/>
  <c r="R34" i="1"/>
  <c r="K34" i="1"/>
  <c r="T33" i="1"/>
  <c r="U33" i="1" s="1"/>
  <c r="R33" i="1"/>
  <c r="P33" i="1"/>
  <c r="Q33" i="1" s="1"/>
  <c r="K33" i="1"/>
  <c r="S32" i="1"/>
  <c r="V32" i="1"/>
  <c r="K31" i="1"/>
  <c r="T31" i="1"/>
  <c r="U31" i="1" s="1"/>
  <c r="R31" i="1"/>
  <c r="P31" i="1"/>
  <c r="Q31" i="1" s="1"/>
  <c r="T30" i="1"/>
  <c r="U30" i="1" s="1"/>
  <c r="K30" i="1"/>
  <c r="R30" i="1"/>
  <c r="P30" i="1"/>
  <c r="Q30" i="1" s="1"/>
  <c r="T29" i="1"/>
  <c r="U29" i="1" s="1"/>
  <c r="P29" i="1"/>
  <c r="Q29" i="1" s="1"/>
  <c r="K29" i="1"/>
  <c r="R29" i="1"/>
  <c r="P28" i="1"/>
  <c r="Q28" i="1" s="1"/>
  <c r="R28" i="1"/>
  <c r="T28" i="1"/>
  <c r="U28" i="1" s="1"/>
  <c r="K28" i="1"/>
  <c r="S27" i="1"/>
  <c r="V27" i="1"/>
  <c r="V26" i="1"/>
  <c r="S26" i="1"/>
  <c r="R25" i="1"/>
  <c r="P25" i="1"/>
  <c r="Q25" i="1" s="1"/>
  <c r="T25" i="1"/>
  <c r="U25" i="1" s="1"/>
  <c r="K25" i="1"/>
  <c r="R24" i="1"/>
  <c r="K24" i="1"/>
  <c r="P24" i="1"/>
  <c r="Q24" i="1" s="1"/>
  <c r="T24" i="1"/>
  <c r="U24" i="1" s="1"/>
  <c r="V23" i="1"/>
  <c r="S23" i="1"/>
  <c r="T22" i="1"/>
  <c r="U22" i="1" s="1"/>
  <c r="R22" i="1"/>
  <c r="P22" i="1"/>
  <c r="Q22" i="1" s="1"/>
  <c r="K22" i="1"/>
  <c r="T21" i="1"/>
  <c r="U21" i="1" s="1"/>
  <c r="P21" i="1"/>
  <c r="Q21" i="1" s="1"/>
  <c r="R21" i="1"/>
  <c r="K21" i="1"/>
  <c r="K20" i="1"/>
  <c r="P20" i="1"/>
  <c r="Q20" i="1" s="1"/>
  <c r="R20" i="1"/>
  <c r="T20" i="1"/>
  <c r="U20" i="1" s="1"/>
  <c r="V19" i="1"/>
  <c r="S19" i="1"/>
  <c r="P18" i="1"/>
  <c r="Q18" i="1" s="1"/>
  <c r="K18" i="1"/>
  <c r="T18" i="1"/>
  <c r="U18" i="1" s="1"/>
  <c r="R18" i="1"/>
  <c r="T17" i="1"/>
  <c r="U17" i="1" s="1"/>
  <c r="R17" i="1"/>
  <c r="P17" i="1"/>
  <c r="Q17" i="1" s="1"/>
  <c r="K17" i="1"/>
  <c r="T16" i="1"/>
  <c r="U16" i="1" s="1"/>
  <c r="P16" i="1"/>
  <c r="Q16" i="1" s="1"/>
  <c r="K16" i="1"/>
  <c r="R16" i="1"/>
  <c r="K15" i="1"/>
  <c r="P15" i="1"/>
  <c r="Q15" i="1" s="1"/>
  <c r="R15" i="1"/>
  <c r="T15" i="1"/>
  <c r="U15" i="1" s="1"/>
  <c r="P14" i="1"/>
  <c r="Q14" i="1" s="1"/>
  <c r="R14" i="1"/>
  <c r="T14" i="1"/>
  <c r="U14" i="1" s="1"/>
  <c r="K14" i="1"/>
  <c r="K13" i="1"/>
  <c r="T13" i="1"/>
  <c r="U13" i="1" s="1"/>
  <c r="P13" i="1"/>
  <c r="Q13" i="1" s="1"/>
  <c r="R13" i="1"/>
  <c r="T12" i="1"/>
  <c r="U12" i="1" s="1"/>
  <c r="R12" i="1"/>
  <c r="P12" i="1"/>
  <c r="Q12" i="1" s="1"/>
  <c r="K12" i="1"/>
  <c r="V11" i="1"/>
  <c r="S11" i="1"/>
  <c r="T10" i="1"/>
  <c r="U10" i="1" s="1"/>
  <c r="R10" i="1"/>
  <c r="P10" i="1"/>
  <c r="Q10" i="1" s="1"/>
  <c r="K10" i="1"/>
  <c r="P9" i="1"/>
  <c r="Q9" i="1" s="1"/>
  <c r="K9" i="1"/>
  <c r="R9" i="1"/>
  <c r="T9" i="1"/>
  <c r="U9" i="1" s="1"/>
  <c r="K8" i="1"/>
  <c r="R8" i="1"/>
  <c r="T8" i="1"/>
  <c r="U8" i="1" s="1"/>
  <c r="P8" i="1"/>
  <c r="Q8" i="1" s="1"/>
  <c r="R7" i="1"/>
  <c r="T7" i="1"/>
  <c r="U7" i="1" s="1"/>
  <c r="P7" i="1"/>
  <c r="Q7" i="1" s="1"/>
  <c r="K7" i="1"/>
  <c r="T6" i="1"/>
  <c r="U6" i="1" s="1"/>
  <c r="R6" i="1"/>
  <c r="P6" i="1"/>
  <c r="Q6" i="1" s="1"/>
  <c r="K6" i="1"/>
  <c r="V5" i="1"/>
  <c r="S5" i="1"/>
  <c r="Z437" i="1" l="1"/>
  <c r="AA437" i="1"/>
  <c r="Z185" i="1"/>
  <c r="AA185" i="1"/>
  <c r="Z367" i="1"/>
  <c r="Z326" i="1"/>
  <c r="Z163" i="1"/>
  <c r="AA336" i="1"/>
  <c r="Z507" i="1"/>
  <c r="AA507" i="1"/>
  <c r="AA326" i="1"/>
  <c r="AA417" i="1"/>
  <c r="AA367" i="1"/>
  <c r="AA163" i="1"/>
  <c r="AA99" i="1"/>
  <c r="Z99" i="1"/>
  <c r="Z336" i="1"/>
  <c r="Z417" i="1"/>
  <c r="A517" i="1"/>
  <c r="A514" i="1"/>
  <c r="AA291" i="1"/>
  <c r="Z291" i="1"/>
  <c r="V284" i="1"/>
  <c r="S284" i="1"/>
  <c r="A515" i="1"/>
  <c r="A516" i="1"/>
  <c r="S234" i="1"/>
  <c r="AA138" i="1"/>
  <c r="Z138" i="1"/>
  <c r="Z493" i="1"/>
  <c r="AA493" i="1"/>
  <c r="Z386" i="1"/>
  <c r="AA386" i="1"/>
  <c r="AA228" i="1"/>
  <c r="Z228" i="1"/>
  <c r="Z87" i="1"/>
  <c r="AA87" i="1"/>
  <c r="S505" i="1"/>
  <c r="V505" i="1"/>
  <c r="S504" i="1"/>
  <c r="V504" i="1"/>
  <c r="S503" i="1"/>
  <c r="V503" i="1"/>
  <c r="S502" i="1"/>
  <c r="V502" i="1"/>
  <c r="S501" i="1"/>
  <c r="V501" i="1"/>
  <c r="S500" i="1"/>
  <c r="V500" i="1"/>
  <c r="S496" i="1"/>
  <c r="V496" i="1"/>
  <c r="S486" i="1"/>
  <c r="V486" i="1"/>
  <c r="S477" i="1"/>
  <c r="V477" i="1"/>
  <c r="S476" i="1"/>
  <c r="V476" i="1"/>
  <c r="S474" i="1"/>
  <c r="V474" i="1"/>
  <c r="S473" i="1"/>
  <c r="V473" i="1"/>
  <c r="S470" i="1"/>
  <c r="V470" i="1"/>
  <c r="S468" i="1"/>
  <c r="V468" i="1"/>
  <c r="S465" i="1"/>
  <c r="V465" i="1"/>
  <c r="S464" i="1"/>
  <c r="V464" i="1"/>
  <c r="S461" i="1"/>
  <c r="V461" i="1"/>
  <c r="S460" i="1"/>
  <c r="V460" i="1"/>
  <c r="S459" i="1"/>
  <c r="V459" i="1"/>
  <c r="S453" i="1"/>
  <c r="V453" i="1"/>
  <c r="S452" i="1"/>
  <c r="V452" i="1"/>
  <c r="S450" i="1"/>
  <c r="V450" i="1"/>
  <c r="S449" i="1"/>
  <c r="V449" i="1"/>
  <c r="S448" i="1"/>
  <c r="V448" i="1"/>
  <c r="S446" i="1"/>
  <c r="V446" i="1"/>
  <c r="S445" i="1"/>
  <c r="V445" i="1"/>
  <c r="S443" i="1"/>
  <c r="V443" i="1"/>
  <c r="S441" i="1"/>
  <c r="V441" i="1"/>
  <c r="S440" i="1"/>
  <c r="V440" i="1"/>
  <c r="S439" i="1"/>
  <c r="V439" i="1"/>
  <c r="S437" i="1"/>
  <c r="V437" i="1"/>
  <c r="S436" i="1"/>
  <c r="V436" i="1"/>
  <c r="S435" i="1"/>
  <c r="V435" i="1"/>
  <c r="S433" i="1"/>
  <c r="V433" i="1"/>
  <c r="S432" i="1"/>
  <c r="V432" i="1"/>
  <c r="S431" i="1"/>
  <c r="V431" i="1"/>
  <c r="S429" i="1"/>
  <c r="V429" i="1"/>
  <c r="S420" i="1"/>
  <c r="V420" i="1"/>
  <c r="S419" i="1"/>
  <c r="V419" i="1"/>
  <c r="S417" i="1"/>
  <c r="V417" i="1"/>
  <c r="S416" i="1"/>
  <c r="V416" i="1"/>
  <c r="S415" i="1"/>
  <c r="V415" i="1"/>
  <c r="S414" i="1"/>
  <c r="V414" i="1"/>
  <c r="S413" i="1"/>
  <c r="V413" i="1"/>
  <c r="S405" i="1"/>
  <c r="V405" i="1"/>
  <c r="S400" i="1"/>
  <c r="V400" i="1"/>
  <c r="S399" i="1"/>
  <c r="V399" i="1"/>
  <c r="S398" i="1"/>
  <c r="V398" i="1"/>
  <c r="S397" i="1"/>
  <c r="V397" i="1"/>
  <c r="S396" i="1"/>
  <c r="V396" i="1"/>
  <c r="S395" i="1"/>
  <c r="V395" i="1"/>
  <c r="S394" i="1"/>
  <c r="V394" i="1"/>
  <c r="S393" i="1"/>
  <c r="V393" i="1"/>
  <c r="S392" i="1"/>
  <c r="V392" i="1"/>
  <c r="S390" i="1"/>
  <c r="V390" i="1"/>
  <c r="S389" i="1"/>
  <c r="V389" i="1"/>
  <c r="S388" i="1"/>
  <c r="V388" i="1"/>
  <c r="S386" i="1"/>
  <c r="V386" i="1"/>
  <c r="S385" i="1"/>
  <c r="V385" i="1"/>
  <c r="S376" i="1"/>
  <c r="V376" i="1"/>
  <c r="S375" i="1"/>
  <c r="V375" i="1"/>
  <c r="S374" i="1"/>
  <c r="V374" i="1"/>
  <c r="S373" i="1"/>
  <c r="V373" i="1"/>
  <c r="S369" i="1"/>
  <c r="V369" i="1"/>
  <c r="S365" i="1"/>
  <c r="V365" i="1"/>
  <c r="S363" i="1"/>
  <c r="V363" i="1"/>
  <c r="S362" i="1"/>
  <c r="V362" i="1"/>
  <c r="S360" i="1"/>
  <c r="V360" i="1"/>
  <c r="S359" i="1"/>
  <c r="V359" i="1"/>
  <c r="S358" i="1"/>
  <c r="V358" i="1"/>
  <c r="S357" i="1"/>
  <c r="V357" i="1"/>
  <c r="S356" i="1"/>
  <c r="V356" i="1"/>
  <c r="S355" i="1"/>
  <c r="V355" i="1"/>
  <c r="S354" i="1"/>
  <c r="V354" i="1"/>
  <c r="S353" i="1"/>
  <c r="V353" i="1"/>
  <c r="S352" i="1"/>
  <c r="V352" i="1"/>
  <c r="S342" i="1"/>
  <c r="V342" i="1"/>
  <c r="S341" i="1"/>
  <c r="V341" i="1"/>
  <c r="S339" i="1"/>
  <c r="V339" i="1"/>
  <c r="S338" i="1"/>
  <c r="V338" i="1"/>
  <c r="S333" i="1"/>
  <c r="V333" i="1"/>
  <c r="S331" i="1"/>
  <c r="V331" i="1"/>
  <c r="S330" i="1"/>
  <c r="V330" i="1"/>
  <c r="S328" i="1"/>
  <c r="V328" i="1"/>
  <c r="S326" i="1"/>
  <c r="V326" i="1"/>
  <c r="S325" i="1"/>
  <c r="V325" i="1"/>
  <c r="S322" i="1"/>
  <c r="V322" i="1"/>
  <c r="S321" i="1"/>
  <c r="V321" i="1"/>
  <c r="S320" i="1"/>
  <c r="V320" i="1"/>
  <c r="S317" i="1"/>
  <c r="V317" i="1"/>
  <c r="S316" i="1"/>
  <c r="V316" i="1"/>
  <c r="S315" i="1"/>
  <c r="V315" i="1"/>
  <c r="S314" i="1"/>
  <c r="V314" i="1"/>
  <c r="S313" i="1"/>
  <c r="V313" i="1"/>
  <c r="S312" i="1"/>
  <c r="V312" i="1"/>
  <c r="S307" i="1"/>
  <c r="V307" i="1"/>
  <c r="S306" i="1"/>
  <c r="V306" i="1"/>
  <c r="S305" i="1"/>
  <c r="V305" i="1"/>
  <c r="S304" i="1"/>
  <c r="V304" i="1"/>
  <c r="S303" i="1"/>
  <c r="V303" i="1"/>
  <c r="S302" i="1"/>
  <c r="V302" i="1"/>
  <c r="V301" i="1"/>
  <c r="S301" i="1"/>
  <c r="S300" i="1"/>
  <c r="V300" i="1"/>
  <c r="S298" i="1"/>
  <c r="V298" i="1"/>
  <c r="S297" i="1"/>
  <c r="V297" i="1"/>
  <c r="V296" i="1"/>
  <c r="S296" i="1"/>
  <c r="S295" i="1"/>
  <c r="V295" i="1"/>
  <c r="S294" i="1"/>
  <c r="V294" i="1"/>
  <c r="S293" i="1"/>
  <c r="V293" i="1"/>
  <c r="V282" i="1"/>
  <c r="S282" i="1"/>
  <c r="V280" i="1"/>
  <c r="S280" i="1"/>
  <c r="V279" i="1"/>
  <c r="S279" i="1"/>
  <c r="S278" i="1"/>
  <c r="V278" i="1"/>
  <c r="V277" i="1"/>
  <c r="S277" i="1"/>
  <c r="S274" i="1"/>
  <c r="V274" i="1"/>
  <c r="S273" i="1"/>
  <c r="V273" i="1"/>
  <c r="V271" i="1"/>
  <c r="S271" i="1"/>
  <c r="S270" i="1"/>
  <c r="V270" i="1"/>
  <c r="V267" i="1"/>
  <c r="S267" i="1"/>
  <c r="S266" i="1"/>
  <c r="V266" i="1"/>
  <c r="S264" i="1"/>
  <c r="V264" i="1"/>
  <c r="S257" i="1"/>
  <c r="V257" i="1"/>
  <c r="V255" i="1"/>
  <c r="S255" i="1"/>
  <c r="V252" i="1"/>
  <c r="S252" i="1"/>
  <c r="V250" i="1"/>
  <c r="S250" i="1"/>
  <c r="S249" i="1"/>
  <c r="V249" i="1"/>
  <c r="V248" i="1"/>
  <c r="S248" i="1"/>
  <c r="V240" i="1"/>
  <c r="S240" i="1"/>
  <c r="S239" i="1"/>
  <c r="V239" i="1"/>
  <c r="V238" i="1"/>
  <c r="S238" i="1"/>
  <c r="S236" i="1"/>
  <c r="V236" i="1"/>
  <c r="S233" i="1"/>
  <c r="V233" i="1"/>
  <c r="S232" i="1"/>
  <c r="V232" i="1"/>
  <c r="S227" i="1"/>
  <c r="V227" i="1"/>
  <c r="V208" i="1"/>
  <c r="S208" i="1"/>
  <c r="S206" i="1"/>
  <c r="V206" i="1"/>
  <c r="V205" i="1"/>
  <c r="S205" i="1"/>
  <c r="V203" i="1"/>
  <c r="S203" i="1"/>
  <c r="S202" i="1"/>
  <c r="V202" i="1"/>
  <c r="V201" i="1"/>
  <c r="S201" i="1"/>
  <c r="S200" i="1"/>
  <c r="V200" i="1"/>
  <c r="V199" i="1"/>
  <c r="S199" i="1"/>
  <c r="S198" i="1"/>
  <c r="V198" i="1"/>
  <c r="S196" i="1"/>
  <c r="V196" i="1"/>
  <c r="S195" i="1"/>
  <c r="V195" i="1"/>
  <c r="S194" i="1"/>
  <c r="V194" i="1"/>
  <c r="S192" i="1"/>
  <c r="V192" i="1"/>
  <c r="S191" i="1"/>
  <c r="V191" i="1"/>
  <c r="S190" i="1"/>
  <c r="V190" i="1"/>
  <c r="S189" i="1"/>
  <c r="V189" i="1"/>
  <c r="S188" i="1"/>
  <c r="V188" i="1"/>
  <c r="S187" i="1"/>
  <c r="V187" i="1"/>
  <c r="S183" i="1"/>
  <c r="V183" i="1"/>
  <c r="S182" i="1"/>
  <c r="V182" i="1"/>
  <c r="S181" i="1"/>
  <c r="V181" i="1"/>
  <c r="S179" i="1"/>
  <c r="V179" i="1"/>
  <c r="S173" i="1"/>
  <c r="V173" i="1"/>
  <c r="S172" i="1"/>
  <c r="V172" i="1"/>
  <c r="S170" i="1"/>
  <c r="V170" i="1"/>
  <c r="S169" i="1"/>
  <c r="V169" i="1"/>
  <c r="S168" i="1"/>
  <c r="V168" i="1"/>
  <c r="S166" i="1"/>
  <c r="V166" i="1"/>
  <c r="S163" i="1"/>
  <c r="V163" i="1"/>
  <c r="S162" i="1"/>
  <c r="V162" i="1"/>
  <c r="S149" i="1"/>
  <c r="V149" i="1"/>
  <c r="S147" i="1"/>
  <c r="V147" i="1"/>
  <c r="S146" i="1"/>
  <c r="V146" i="1"/>
  <c r="S145" i="1"/>
  <c r="V145" i="1"/>
  <c r="S143" i="1"/>
  <c r="V143" i="1"/>
  <c r="S141" i="1"/>
  <c r="V141" i="1"/>
  <c r="S140" i="1"/>
  <c r="V140" i="1"/>
  <c r="S138" i="1"/>
  <c r="V138" i="1"/>
  <c r="S137" i="1"/>
  <c r="V137" i="1"/>
  <c r="S129" i="1"/>
  <c r="V129" i="1"/>
  <c r="S128" i="1"/>
  <c r="V128" i="1"/>
  <c r="S127" i="1"/>
  <c r="V127" i="1"/>
  <c r="S126" i="1"/>
  <c r="V126" i="1"/>
  <c r="S125" i="1"/>
  <c r="V125" i="1"/>
  <c r="S123" i="1"/>
  <c r="V123" i="1"/>
  <c r="S122" i="1"/>
  <c r="V122" i="1"/>
  <c r="S121" i="1"/>
  <c r="V121" i="1"/>
  <c r="S119" i="1"/>
  <c r="V119" i="1"/>
  <c r="S117" i="1"/>
  <c r="V117" i="1"/>
  <c r="S116" i="1"/>
  <c r="V116" i="1"/>
  <c r="S110" i="1"/>
  <c r="V110" i="1"/>
  <c r="S109" i="1"/>
  <c r="V109" i="1"/>
  <c r="S108" i="1"/>
  <c r="V108" i="1"/>
  <c r="S107" i="1"/>
  <c r="V107" i="1"/>
  <c r="S106" i="1"/>
  <c r="V106" i="1"/>
  <c r="S105" i="1"/>
  <c r="V105" i="1"/>
  <c r="S104" i="1"/>
  <c r="V104" i="1"/>
  <c r="S103" i="1"/>
  <c r="V103" i="1"/>
  <c r="S102" i="1"/>
  <c r="V102" i="1"/>
  <c r="S101" i="1"/>
  <c r="V101" i="1"/>
  <c r="S99" i="1"/>
  <c r="V99" i="1"/>
  <c r="S98" i="1"/>
  <c r="V98" i="1"/>
  <c r="S96" i="1"/>
  <c r="V96" i="1"/>
  <c r="S87" i="1"/>
  <c r="V87" i="1"/>
  <c r="S86" i="1"/>
  <c r="V86" i="1"/>
  <c r="S70" i="1"/>
  <c r="V70" i="1"/>
  <c r="S68" i="1"/>
  <c r="V68" i="1"/>
  <c r="S67" i="1"/>
  <c r="V67" i="1"/>
  <c r="S66" i="1"/>
  <c r="V66" i="1"/>
  <c r="S65" i="1"/>
  <c r="V65" i="1"/>
  <c r="S63" i="1"/>
  <c r="V63" i="1"/>
  <c r="S62" i="1"/>
  <c r="V62" i="1"/>
  <c r="S61" i="1"/>
  <c r="V61" i="1"/>
  <c r="S60" i="1"/>
  <c r="V60" i="1"/>
  <c r="S58" i="1"/>
  <c r="V58" i="1"/>
  <c r="S56" i="1"/>
  <c r="V56" i="1"/>
  <c r="S54" i="1"/>
  <c r="V54" i="1"/>
  <c r="S53" i="1"/>
  <c r="V53" i="1"/>
  <c r="S52" i="1"/>
  <c r="V52" i="1"/>
  <c r="S51" i="1"/>
  <c r="V51" i="1"/>
  <c r="S50" i="1"/>
  <c r="V50" i="1"/>
  <c r="S49" i="1"/>
  <c r="V49" i="1"/>
  <c r="S48" i="1"/>
  <c r="V48" i="1"/>
  <c r="S47" i="1"/>
  <c r="V47" i="1"/>
  <c r="S45" i="1"/>
  <c r="V45" i="1"/>
  <c r="S44" i="1"/>
  <c r="V44" i="1"/>
  <c r="S43" i="1"/>
  <c r="V43" i="1"/>
  <c r="S42" i="1"/>
  <c r="V42" i="1"/>
  <c r="S41" i="1"/>
  <c r="V41" i="1"/>
  <c r="S40" i="1"/>
  <c r="V40" i="1"/>
  <c r="S39" i="1"/>
  <c r="V39" i="1"/>
  <c r="S38" i="1"/>
  <c r="V38" i="1"/>
  <c r="S37" i="1"/>
  <c r="V37" i="1"/>
  <c r="S36" i="1"/>
  <c r="V36" i="1"/>
  <c r="S35" i="1"/>
  <c r="V35" i="1"/>
  <c r="S34" i="1"/>
  <c r="V34" i="1"/>
  <c r="S33" i="1"/>
  <c r="V33" i="1"/>
  <c r="S31" i="1"/>
  <c r="V31" i="1"/>
  <c r="S30" i="1"/>
  <c r="V30" i="1"/>
  <c r="S29" i="1"/>
  <c r="V29" i="1"/>
  <c r="S28" i="1"/>
  <c r="V28" i="1"/>
  <c r="S25" i="1"/>
  <c r="V25" i="1"/>
  <c r="S24" i="1"/>
  <c r="V24" i="1"/>
  <c r="S22" i="1"/>
  <c r="V22" i="1"/>
  <c r="S21" i="1"/>
  <c r="V21" i="1"/>
  <c r="S20" i="1"/>
  <c r="V20" i="1"/>
  <c r="S18" i="1"/>
  <c r="V18" i="1"/>
  <c r="S17" i="1"/>
  <c r="V17" i="1"/>
  <c r="S16" i="1"/>
  <c r="V16" i="1"/>
  <c r="S15" i="1"/>
  <c r="V15" i="1"/>
  <c r="S14" i="1"/>
  <c r="V14" i="1"/>
  <c r="S13" i="1"/>
  <c r="V13" i="1"/>
  <c r="S12" i="1"/>
  <c r="V12" i="1"/>
  <c r="S10" i="1"/>
  <c r="V10" i="1"/>
  <c r="S9" i="1"/>
  <c r="V9" i="1"/>
  <c r="S8" i="1"/>
  <c r="V8" i="1"/>
  <c r="S7" i="1"/>
  <c r="V7" i="1"/>
  <c r="S6" i="1"/>
  <c r="V6" i="1"/>
  <c r="AA317" i="1"/>
  <c r="Z317" i="1"/>
  <c r="AA119" i="1"/>
  <c r="Z119" i="1"/>
  <c r="Q251" i="1"/>
  <c r="Z267" i="1" s="1"/>
  <c r="S251" i="1"/>
  <c r="U251" i="1"/>
  <c r="AA267" i="1" s="1"/>
  <c r="V251" i="1"/>
  <c r="U237" i="1"/>
  <c r="V237" i="1"/>
  <c r="Q237" i="1"/>
  <c r="S237" i="1"/>
  <c r="U234" i="1"/>
  <c r="V234" i="1"/>
  <c r="Z70" i="1"/>
  <c r="AA70" i="1"/>
  <c r="Q515" i="1" l="1"/>
  <c r="Q517" i="1" s="1"/>
  <c r="Q518" i="1" s="1"/>
  <c r="U515" i="1"/>
  <c r="U517" i="1" s="1"/>
  <c r="U518" i="1" s="1"/>
  <c r="AD495" i="1"/>
  <c r="Z245" i="1"/>
  <c r="AA245" i="1"/>
</calcChain>
</file>

<file path=xl/sharedStrings.xml><?xml version="1.0" encoding="utf-8"?>
<sst xmlns="http://schemas.openxmlformats.org/spreadsheetml/2006/main" count="3092" uniqueCount="1086">
  <si>
    <t>ITEM</t>
  </si>
  <si>
    <t>MATERIALES E INSUMOS</t>
  </si>
  <si>
    <t>DESCRIPCIÓN</t>
  </si>
  <si>
    <t xml:space="preserve">CANTIDAD </t>
  </si>
  <si>
    <t>UNIDAD DE MEDIDA</t>
  </si>
  <si>
    <t>TIEMPO</t>
  </si>
  <si>
    <t>COTIZACION 1</t>
  </si>
  <si>
    <t>COTIZACION 2</t>
  </si>
  <si>
    <t>COTIZACION 3</t>
  </si>
  <si>
    <t>PROMEDIO UNITARIO</t>
  </si>
  <si>
    <t>TOTAL PROMEDIO SIN IVA</t>
  </si>
  <si>
    <t>DESVIACIÓN ESTANDAR</t>
  </si>
  <si>
    <t>COEFICIENTE DE VARIACIÓN PROMEDIO</t>
  </si>
  <si>
    <t>MEDIANA UNITARIO</t>
  </si>
  <si>
    <t>TOTAL MEDIANA SIN IVA</t>
  </si>
  <si>
    <t>COEFICIENTE DE VARIACIÓN MEDIANA</t>
  </si>
  <si>
    <t xml:space="preserve">COTIZACIÓN 1 </t>
  </si>
  <si>
    <t>COTIZACIÓN 2</t>
  </si>
  <si>
    <t>COTIZACIÓN 3</t>
  </si>
  <si>
    <t>CONTEO</t>
  </si>
  <si>
    <t>VALOR UNITARIO SIN IVA</t>
  </si>
  <si>
    <t>VALOR TOTAL  SIN IVA</t>
  </si>
  <si>
    <t>COORDINADOR GENERAL DE PROYECTO</t>
  </si>
  <si>
    <t>Profesional con una experiencia profesional minima de (10) diez años a partir de la expedición del titulo y/o de la matricula profesioanl dsegún lo establecido por la ley, con experiencia especifica mínima de (8) años de experiencia en la Coordinación y dirección para  proyectos de impacto social y cultural, de los cuales al menos 3 años deben acreditarse en la ejecución de contratos con entidades públicas o procesos de licitación. Cuenta con una sólida formación Porfesional en área del conocimiento de la economia, administración, contaduria y/o ingeniería, arquitectura, urbanismo y afines,  destacándose por su capacidad para liderar equipos interdisciplinarios, administrar presupuestos estatales bajo principios de transparencia y asegurar el cumplimiento estricto de indicadores técnicos y financieros. Es un experto en el relacionamiento institucional y comunitario, con una habilidad probada para transformar los requerimientos de los pliegos de condiciones en resultados sociales tangibles y reportes de interventoría impecables.</t>
  </si>
  <si>
    <t>Unidad</t>
  </si>
  <si>
    <t>meses</t>
  </si>
  <si>
    <t>TABLA DE HONORARIOS SECRETARIA DE HACIENDA</t>
  </si>
  <si>
    <t>CURADOR/A DE ARTE</t>
  </si>
  <si>
    <t>Profesional en artes plásticas y visuales, historia del arte, curaduría o áreas afines con experiencia comprobable en la conceptualización y montaje de exposiciones colectivas que integren diversos formatos. El profesional debe tener la capacidad de investigación para unificar las obras bajo un hilo conductor coherente, habilidades en museografía para optimizar el espacio físico y una redacción impecable para los textos de sala; todo esto respaldado por un portafolio de proyectos previos y una visión técnica que garantice el diálogo armónico entre las obras.</t>
  </si>
  <si>
    <t>Día</t>
  </si>
  <si>
    <t>COORDINADOR/A FESTIVAL</t>
  </si>
  <si>
    <t xml:space="preserve">Profesional con 3 años de experiencia en coordinación de proyectos. Responsable de la planificación, ejecución, supervisión y cierre del evento festival.  y minimo (5) días de organización y montaje </t>
  </si>
  <si>
    <t>PRESENTADOR/A DEL EVENTO</t>
  </si>
  <si>
    <t>Profesional o técnico en comunicación o artes escénicas, Mínimo 1 año en conducción de eventos culturales o sociales, con fluidez en la palabra y entusiasta para el acompañamiento, activación de público y la presentación durante la jornada.</t>
  </si>
  <si>
    <t>PERSONAL LOGÍSTICO</t>
  </si>
  <si>
    <t>Personal de apoyo logístico para el acompañamiento al desarrollo del evento. Formación académica mínima: Título de Bachiller. Experiencia: Sin experiencia laboral o hasta 35 meses de experiencia labor al debidamente certificada. Se hará uso del personal durante el tiempo establecido para el desarrollo de la actividad.</t>
  </si>
  <si>
    <t>Dia</t>
  </si>
  <si>
    <t>COORDINADOR DE RECORRIDO</t>
  </si>
  <si>
    <t>Profesional responsable de la coordinación operativa del desfile, organización de salida de comparsas, control de distancias entre agrupaciones y articulación con logística y autoridades durante el recorrido, y minimo (3) días de organización y montaje.</t>
  </si>
  <si>
    <t>TALLERISTA PROFESIONAL ESPECIALIZADO</t>
  </si>
  <si>
    <t>Profesional con experiencia en comparsa, artes escénicas o cultura festiva, responsable de la orientación pedagógica y desarrollo de los espacios formativos del programa. 
Valor total referencial: $2.000.000 por tallerista (valor no ofertable)</t>
  </si>
  <si>
    <t>DREAMS</t>
  </si>
  <si>
    <t>NEXT</t>
  </si>
  <si>
    <t>BETTERLINE</t>
  </si>
  <si>
    <t>DIRECCION GENERAL</t>
  </si>
  <si>
    <t>Profesional en artes escénicas, danza, gestión cultural, producción de eventos o áreas afines, responsable de la planificación, coordinación y supervisión integral del festival de danza, articulando los componentes artísticos, logísticos, técnicos y administrativos del programa.</t>
  </si>
  <si>
    <t>mes</t>
  </si>
  <si>
    <t>COORDINACIÓN TÉCNICA</t>
  </si>
  <si>
    <t xml:space="preserve">Profesional o técnico en producción de eventos, artes escénicas o áreas afines, responsable de coordinar los requerimientos técnicos del festival (escenario, sonido e iluminación).Incluye los dos (2) días del festival, y minimo (3) días de organización y montaje </t>
  </si>
  <si>
    <t>PRESENTADOR ESPECIALIZADO</t>
  </si>
  <si>
    <t>Profesional o artista con experiencia en danza o artes escénicas, encargado de la conducción del evento, presentación de las agrupaciones y orientación del público durante el festival.</t>
  </si>
  <si>
    <t xml:space="preserve">PERSONAL LOGÍSTICO </t>
  </si>
  <si>
    <t>DIRECCIÓN GENERAL</t>
  </si>
  <si>
    <t>Experto en eventos de música electrónica, gestión cultural, producción de eventos o áreas afines, responsable de la planificación, coordinación y supervisión integral del festival de electrónica, articulando los componentes artísticos, logísticos, técnicos y administrativos del programa.</t>
  </si>
  <si>
    <t>Profesional o técnico en producción de eventos, responsable de coordinar los requerimientos técnicos del festival (escenario, sonido e iluminación). Incluye minimo (5) días de planeación y organización</t>
  </si>
  <si>
    <t>PERSONAL DE SEGURIDAD</t>
  </si>
  <si>
    <t>Dos (2) guardias de seguridad privada con dotación completa (chaleco, radio de comunicación y demás elementos reglamentarios), presentes durante toda la jornada del festival. Responsables del control de acceso, la seguridad del espacio y la atención de situaciones de emergencia.</t>
  </si>
  <si>
    <t xml:space="preserve">Diez (10) personas con experiencia en soporte de eventos, responsables del montaje, la operación y el desmontaje del festival. Incluye orientación al público, apoyo en el registro de asistentes, soporte a los stands de emprendedores y demás labores operativas asignadas por la coordinación del evento.
Bachiller con 2 años de experiencia </t>
  </si>
  <si>
    <t>COORDINADOR DEL FESTIVAL</t>
  </si>
  <si>
    <t>Profesional con 3 años de experiencia en coordinación de proyectos culturales. Responsable de la planificación, ejecución, supervisión y cierre del evento festival. Incluye los dos (2) días del festival.</t>
  </si>
  <si>
    <t>días</t>
  </si>
  <si>
    <t>PERSONAL DE APOYO LOGÍSTICO</t>
  </si>
  <si>
    <t>Ocho (8) personas contratadas por día con experiencia mínima de un (1) año en logística de eventos.</t>
  </si>
  <si>
    <t>PERSONAL DE SEGURIDAD CON DOTACIÓN</t>
  </si>
  <si>
    <t>Dos (2) guardias contratados por día.</t>
  </si>
  <si>
    <t>FUNDACOLOMBIA</t>
  </si>
  <si>
    <t>CONFERENCISTA CHARLA 1 — ESCRITOR O EDITOR</t>
  </si>
  <si>
    <t>Autor local o externo que haya publicado al menos una obra literaria, o a un editor o representante de una editorial bogotana con experiencia mínima de dos (2) años en el sector editorial. (TECNICO)</t>
  </si>
  <si>
    <t>CUENTERO O NARRADOR ORAL</t>
  </si>
  <si>
    <t>Experiencia en animación lectora para primera infancia. Contratado para los dos días.</t>
  </si>
  <si>
    <t>STAR COP HUMANITY</t>
  </si>
  <si>
    <t>INGEFE</t>
  </si>
  <si>
    <t>GRUPO EMPRESARIAL PIRIWA</t>
  </si>
  <si>
    <t>CONFERENCISTA CHARLA 2 — PROMOTOR DE LECTURA DIGITAL</t>
  </si>
  <si>
    <t>Booktoker, bookstagrammer o creador de contenido literario bogotano. Un (1) año de experiencia. Contratado.</t>
  </si>
  <si>
    <t>ANA ARAGON</t>
  </si>
  <si>
    <t>SANTIAGO REYES</t>
  </si>
  <si>
    <t>CONFERENCISTA CHARLA 2 — LIBRERO O GESTOR DE LIBRERÍA</t>
  </si>
  <si>
    <t>Librero o gestora de librería independiente bogotana. Un (1) año de experiencia. Contratado.</t>
  </si>
  <si>
    <t>NICOLAS CRUZ</t>
  </si>
  <si>
    <t>ATALY ROSSE</t>
  </si>
  <si>
    <t>ANGIE GUZMAN</t>
  </si>
  <si>
    <t>MONITOR</t>
  </si>
  <si>
    <t>Dirección general y producción ejecutiva</t>
  </si>
  <si>
    <t>Profesional en artes escénicas, gestión o administración cultural con mínimo 5 años de experiencia en producción de festivales. Responsable de planificación, presupuesto, coordinación institucional y supervisión integral del festival.</t>
  </si>
  <si>
    <t>Coordinación técnica y logística</t>
  </si>
  <si>
    <t>Profesional o técnico en producción técnica de eventos con mínimo 3 años de experiencia en espectáculos en vivo.</t>
  </si>
  <si>
    <t>Asistente de producción</t>
  </si>
  <si>
    <t>Personal de apoyo para logística, coordinación con artistas y control de cronograma.</t>
  </si>
  <si>
    <t>Personal logístico</t>
  </si>
  <si>
    <t>Personal de apoyo para ingreso de público, control de aforo y asistencia operativa.</t>
  </si>
  <si>
    <t>Talleristas especializados</t>
  </si>
  <si>
    <t>Profesionales responsables de los talleres de formación (15 horas cada uno). Valor estimado: $2.000.000 por tallerista</t>
  </si>
  <si>
    <t>Experto en eventos de rock, gestión cultural, producción de eventos o áreas afines, responsable de la planificación, coordinación y supervisión integral del festival de rock, articulando los componentes artísticos, logísticos, técnicos y administrativos del programa.</t>
  </si>
  <si>
    <t>día</t>
  </si>
  <si>
    <t>Profesional o técnico en producción de eventos, responsable de coordinar los requerimientos técnicos del festival (escenario, sonido e iluminación).</t>
  </si>
  <si>
    <t>Profesional o artista con experiencia en rock, encargado de la conducción del evento, presentación de las agrupaciones y orientación del público durante el festival.</t>
  </si>
  <si>
    <t>Profesional joven en comunicación o artes escénicas o que avale Mínimo 2 año en conducción de eventos culturales o sociales, con fluidez en la palabra y entusiasta para el acompañamiento, activación de público y la presentación durante la jornada.</t>
  </si>
  <si>
    <t>Experto en eventos culturales, gestión cultural, producción de eventos o áreas afines, responsable de la planificación, coordinación y supervisión integral del festival de rock, articulando los componentes artísticos, logísticos, técnicos y administrativos del programa.</t>
  </si>
  <si>
    <t>Profesional perteneciente a las comunidades negras, afrodescendientes, raizales y palenqueras, con formación en artes escénicas, gestión cultural, administración cultural o áreas afines, y con mínimo cinco (5) años de experiencia en producción de festivales, eventos culturales o procesos de circulación artística. Será responsable de la planeación general, manejo presupuestal, articulación institucional, coordinación operativa y supervisión integral del festival. La persona que ejerza este rol deberá ser previamente concertada y aprobada por ORFA.</t>
  </si>
  <si>
    <t>Fundación de Mujer y Genero Afrodescendientes el Bogoró</t>
  </si>
  <si>
    <t>Corporación Pueblo Negro Fuerte</t>
  </si>
  <si>
    <t>Coordinación artística y curatorial</t>
  </si>
  <si>
    <t>Profesional o artista perteneciente a las comunidades negras, afrodescendientes, raizales y palenqueras, con formación o trayectoria en artes escénicas, gestión artística, curaduría o áreas afines, y con mínimo cuatro (4) años de experiencia en programación artística, curaduría o acompañamiento de procesos culturales. Será responsable de garantizar la coherencia conceptual y estética del festival, así como del acompañamiento a las agrupaciones, artistas y contenidos programados. La persona designada para este rol deberá ser previamente concertada y aprobada por ORFA.</t>
  </si>
  <si>
    <t xml:space="preserve">PERSONAL  DE ASEO </t>
  </si>
  <si>
    <t>Servicio de aseo integral para evento público, prestado por personal operativo con experiencia en eventos y aglomeraciones, para ejecutar jornadas de limpieza preevento, durante el evento y postevento. Incluye: i) limpieza previa del área de intervención (retiro de residuos, barrido, trapeado según superficie, alistamiento de puntos ecológicos); ii) operación durante el evento (recolección permanente de residuos, cambio de bolsas, limpieza de zonas críticas: gastronomía, baños, ruta de memoria, zonas de circulación y backstage; atención inmediata de derrames); iii) limpieza final y entrega del espacio en condiciones adecuadas (barrido general, recolección y acopio, disposición en punto de entrega acordado y/o coordinación con operador de aseo). Debe incluir supervisor/a de aseo (cuando aplique), elementos de protección personal (guantes, tapabocas si aplica, chaleco), y dotación mínima de insumos: bolsas industriales, escobas, recogedores, trapeadores, baldes, paños, desinfectante, detergente, gel/solución sanitizante, señalización básica de “piso húmedo” y contenedores temporales. Requisito: el personal y/o la empresa deberá contar con aval/validación de la instancia comunitaria correspondiente (ORFA o Comité Técnico), mediante acta, comunicación escrita o listado validado, priorizando enfoque comunitario y pertinencia cultural cuando se acuerde. Entregables: listado de personal asignado, plan de turnos, registro fotográfico básico del antes y después, y soporte de disposición de residuos (cuando aplique).</t>
  </si>
  <si>
    <t>Personas</t>
  </si>
  <si>
    <t>KLUSTER LATAM</t>
  </si>
  <si>
    <t>AMERICANA CORP SAS</t>
  </si>
  <si>
    <t>ALIANZA PUBLICA PARA EL DESARROLLO INTEGRAL - ALDESARROLLO</t>
  </si>
  <si>
    <t>Personal de apoyo logístico para el acompañamiento y adecuado desarrollo del evento o actividad. El perfil requerido corresponde, como mínimo, a personas con título de bachiller. En cuanto a experiencia, se acepta personal sin experiencia laboral o con hasta treinta y cinco (35) meses de experiencia laboral debidamente certificada. Este personal será dispuesto y contratado por el tiempo requerido para la ejecución de la actividad, de acuerdo con las necesidades operativas definidas. Su selección, perfil y participación deberán ser concertados y aprobados previamente por ORFA.</t>
  </si>
  <si>
    <t>PANELISTAS</t>
  </si>
  <si>
    <t>Activistas, académicos y profesionales perteneciente al sector LGBTIQ, experta en temas de política pública LGBT, proceso social del sector LGBTI, estudios de género o en asuntos relacionados con los retos del sector a nivel local, distrital o nacional.</t>
  </si>
  <si>
    <t>INTÉRPRETE DE LENGUA DE SEÑAS COLOMBIANA-LSC</t>
  </si>
  <si>
    <t>Intérprete de LSC con conocimiento en en temas de política pública LGBT, proceso social del sector LGBTI, estudios de género o en asuntos relacionados con los retos del sector a nivel local, distrital o nacional.</t>
  </si>
  <si>
    <t>CORPOINDECOL</t>
  </si>
  <si>
    <t>MEDICOS SIN FORNTERAS</t>
  </si>
  <si>
    <t>ANIMAL CITY</t>
  </si>
  <si>
    <t>INTÉRPRETES DE LENGUA DE SEÑAS COLOMBIANA</t>
  </si>
  <si>
    <t>Intérpretes de lengua de señas con enfoque diferencial, lenguaje incluyente y experiencia en presentación de eventos de los sectores sociales LGBTI.</t>
  </si>
  <si>
    <t>COORDINADOR/A</t>
  </si>
  <si>
    <t>Un coordinador (a)  con 2 años de experiencia en eventos culturales o procesos comunitarios de los sectores sociales LGBTI en la localidad de Engativá, con capacidad de liderazgo para  planear, ejecutar, supervisar y evaluar todas las actividades relacionadas con el desarrollo del festival, miembro activo del sector social LGBTI o proceso organizativo territorial, donde su función se destaque  principalmente  por articular con los artistas, colectivos, entidades y aliados, garantizando la participación comunitaria  del sector y   la  correcta gestión técnica y logística del evento,  además habilidades de resolución de conflictos y trabajo en equipo.</t>
  </si>
  <si>
    <t>PRODUCTOR/A AUDIOVISUAL</t>
  </si>
  <si>
    <t>Profesional en cine y televisión con cámara de video y de fotografía, más de 2 años de experiencia profesional. Responsable de registro fotográfico y de video del festival, el cual debe estar durante toda la jornada</t>
  </si>
  <si>
    <t>ORGANIZACIÓN DE RAIZALES FUERA DEL ARCHIPIELAGO DE SAN ANDRES PROVIDENCIA Y SANTA CATALINA.</t>
  </si>
  <si>
    <t>Personal de apoyo logístico para el monte y desmonte de tarima, carpa, sonido. Además, acompañamiento al desarrollo del evento. Formación académica mínima: Título de Bachiller. Experiencia: Sin experiencia laboral o hasta 35 meses de experiencia laboral debidamente certificada. Se hará uso del personal durante el tiempo establecido para el desarrollo de la actividad.</t>
  </si>
  <si>
    <t>Personal de apoyo para montaje, desmontaje y soporte durante la jornada. Formación mínima: bachiller. Sin experiencia requerida o hasta 35 meses de experiencia certificada.</t>
  </si>
  <si>
    <t>Días</t>
  </si>
  <si>
    <t>El personal debe estar entrenado en la detección de amenazas, manejo de crisis y poseer las certificaciones vigentes de empresas de seguridad privada. Serán los responsables de:  Verificación de entradas, requisas preventivas y gestión de aforo para evitar aglomeraciones. Personal apostado en puntos estratégicos y guardias patrullando para asegurar zonas críticas y serán los encargados del flujo de personas y de mantener las salidas de emergencia despejadas.
TÉCNICO con experiencia 36 meses</t>
  </si>
  <si>
    <t xml:space="preserve">Días </t>
  </si>
  <si>
    <t>COORDINADOR DE PROYECTO</t>
  </si>
  <si>
    <t xml:space="preserve">Profesional con 3 años de experiencia en coordinación de proyectos culturales. Responsable de la planificación, ejecución, supervisión y cierre del evento festival. Incluye el tiempo de desarrollo propio del proyecto. </t>
  </si>
  <si>
    <t>TARIMA CON CARPA</t>
  </si>
  <si>
    <t>Alquiler de tarima modular para presentaciones de danza de 10 m x 8 m, altura entre 1,20 m y 1,50 m, estructura metálica certificada, piso fenólico o madera sellada con tapete de danza tipo linóleo o vinilo negro. Incluye techo tipo hangar a dos aguas en estructura truss con lona blackout, faldón frontal, escalera lateral, barandas de seguridad, transporte, montaje y desmontaje.</t>
  </si>
  <si>
    <t>PLANTA ELÉCTRICA</t>
  </si>
  <si>
    <t>Alquiler de Planta Eléctrica de 70 KVA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</si>
  <si>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SIMEM</t>
  </si>
  <si>
    <t>SUSEQUID</t>
  </si>
  <si>
    <t>CORPORACION LATINOAMERICANA</t>
  </si>
  <si>
    <t>TARIMA PARA NOVENAS PRINCIPALES</t>
  </si>
  <si>
    <t>Alquiler de tarima de 6x6 m x 1,5 m de alto. Incluye 1 escalera lateral y barandales de seguridad. Tela ignífuga en fondo y laterales. Concepto técnico de estabilidad previo al montaje. Incluye transporte, montaje, operación y desmontaje.</t>
  </si>
  <si>
    <t>TARIMA PRINCIPAL CON TECHO</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</si>
  <si>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t>
  </si>
  <si>
    <t>PRODUCCIONES D&amp;R</t>
  </si>
  <si>
    <t>NEMESIS</t>
  </si>
  <si>
    <t>Alquiler de planta eléctrica mínimo 70 KVA para funcionamiento autónomo de todos los equipos. Capacidad para soportar sonido, iluminación y todos los puntos de corriente del evento. Incluye cubrecables tipo yellow jacket para todo el cableado. Incluye transporte, montaje, operación y desmontaje.</t>
  </si>
  <si>
    <t>KUSTER</t>
  </si>
  <si>
    <t>Alquiler de planta eléctrica de mínimo 50 KVA para el funcionamiento autónomo de todos los equipos del evento sin necesidad de conectarse a la red pública. Capacidad para soportar simultáneamente el sistema de sonido, la iluminación escénica y todos los puntos de corriente del festival. Incluye cubrecables tipo yellow jacket para la totalidad del cableado expuesto. Incluye transporte, montaje, operación y desmontaje.</t>
  </si>
  <si>
    <t>FUNDACIONCOLOMNIAUTIL</t>
  </si>
  <si>
    <t>SIMEN</t>
  </si>
  <si>
    <t>TARIMA PRINCIPAL</t>
  </si>
  <si>
    <t>Alquiler de tarima con carpa tipo hangar a dos (2) aguas montada en estructura truss con anclaje o contrapeso. Telas ignífugas blackout negras en fondo y dos laterales. Dimensiones: 8 m de ancho x 6 m de largo x 1,5 m de alto. Incluye escalera lateral y barandales de seguridad. Concepto técnico de estabilidad requerido previo al montaje. Incluye transporte, montaje, operación y desmontaje.</t>
  </si>
  <si>
    <t>COORDINADOR O COORDINADORA DEL RINCÓN DE INTERCAMBIO</t>
  </si>
  <si>
    <t>Persona contratada por el operador. para coordinación del Rincón de Intercambio de Libros (2 días del festival). Experiencia mínima de un (1) año en logística de eventos. (TECNICO)</t>
  </si>
  <si>
    <t>Alquiler de Planta Eléctrica de 65 KVA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</si>
  <si>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ALDESARROLLO</t>
  </si>
  <si>
    <t>AMERICANACORP</t>
  </si>
  <si>
    <t>PÓLIZAS CONTRA ACCIDENTES O EXTRA CONTRACTUAL</t>
  </si>
  <si>
    <t xml:space="preserve">Póliza de seguros de para accidentes personales para 2850 personas, para todos los eventos del contrato. Expedida por Compañía de Seguros debidamente autorizada por la Superintendencia Financiera de Colombia o quien haga sus veces que ampare los perjuicios imputables al asegurado por accidentes, lesiones o muerte a personas o daños a bienes, en desarrollo o con ocasión de la actividad artistica, cultural y/o  recreo deportiva incluyendo lo que ocurra en el lugar donde se lleve a cabo la actividad y su área circunvecina. La cobertura debe ser para dentro y fuera de Bogotá (Durante toda la actividad y 30 días posteriores a estas). Amparos para cada una de las personas que participen de la actividad: Por muerte $10.000.000, invalidez y desmembración $10.000.000, gastos funerarios $2.000.000 y gastos médicos $2.000.000.
PARA 2500 PERSONAS
</t>
  </si>
  <si>
    <t>global</t>
  </si>
  <si>
    <t>personas</t>
  </si>
  <si>
    <t>COTI. 1. BL EFECTOS Y PRODUCCIÓN DE EVENTOS SAS</t>
  </si>
  <si>
    <t>COTI. 2. THUNDER LIGHT S A S</t>
  </si>
  <si>
    <t>COTIZACION 3. NEXT</t>
  </si>
  <si>
    <t>TOTAL GRAL PROMEDIO</t>
  </si>
  <si>
    <t>TOTAL GRAL MEDIANA</t>
  </si>
  <si>
    <t>SAYCO Y ACINPRO</t>
  </si>
  <si>
    <t>dias</t>
  </si>
  <si>
    <t xml:space="preserve">PROYECTO 2339 ENGATIVÁ ACTIVA EL ARTE Y LA CULTURA
META: REALIZAR 20 EVENTOS DE PROMOCIÓN, CIRCULACIÓN Y APROPIACIÓN DE ACTIVIDADES ARTÍSTICAS, CULTURALES Y PATRIMONIALES. </t>
  </si>
  <si>
    <t>1. SALÓN DE ARTES PLÁSTICAS Y VISUALES DE ENGATIVÁ (8 días)</t>
  </si>
  <si>
    <t>ALQUILER DE PANELES MUSEOGRÁFICOS MÓVILES</t>
  </si>
  <si>
    <t>Paneles móviles fabricados en MDF, diseñados para ensamblarse entre sí para formar paredes continuas y lisas de alturas variables (habitualmente hasta 6 metros). Pueden ser autoportantes, incluir ruedas ocultas para fácil desplazamiento, o sistemas de fijación a techo/suelo sin obra. Las medidas varían de 1570 mm de ancho por alturas de 2570 mm, 2820 mm o 3070 mm. Acabados en blanco.</t>
  </si>
  <si>
    <t xml:space="preserve">DREAMS </t>
  </si>
  <si>
    <t>ALQUILER DE BASES/PEDESTALES</t>
  </si>
  <si>
    <t>Bases fabricadas en MDF pintado de blanco. Alturas estándar de 90 cm a 110 cm para formato pequeño/mediano.</t>
  </si>
  <si>
    <t>ALQUILER DE SISTEMA DE ILUMINACIÓN</t>
  </si>
  <si>
    <t>Sistema de rieles electrificados para el techo que permitan mover y direccionar los focos de luz según la ubicación de las piezas. Se sugieren luminarias LED de IRC (Índice de Reproducción Cromática) superior a 90 para no alterar los colores de las obras.</t>
  </si>
  <si>
    <t>SERVICIO DE CATERING</t>
  </si>
  <si>
    <t xml:space="preserve">Servicio profesional de suministro de comida y bebida para evento inaugural del Salón de Artes Plásticas y Visuales de Engativá. Debe contar como minimo con estación de café, con snacs tipo galletas y/o pasabocas , para aromática y tinto, debe contar con azúcar, vasos, servilletas, mescladores (respetando las normas de salubridad y ambiente, y de plásticos de un solo uso) con mínimo 3 personas atendiendo 
Público esperado: de 150-200 personas. </t>
  </si>
  <si>
    <t>Direccion y gestion de proyectos SAS</t>
  </si>
  <si>
    <t>ASESOL</t>
  </si>
  <si>
    <t>SGI DE COLOMBIA S.A.S.</t>
  </si>
  <si>
    <t>ESTÍMULOS PARA ARTISTAS
CATEGORÍA A</t>
  </si>
  <si>
    <t xml:space="preserve">$3’000.000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</si>
  <si>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PARA ARTISTAS
CATEGORÍA B</t>
  </si>
  <si>
    <t>$2´500.000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</si>
  <si>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CATEGORÍA C</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</si>
  <si>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</si>
  <si>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EQUIPO DE JUZGAMIENTO.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</si>
  <si>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</si>
  <si>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TALLERISTAS ESPECIALIZADOS.</t>
  </si>
  <si>
    <t>$500.000 (valor no ofertable)
Los talleristas especializados deberán garantizar que el tiempo mínimo del espacio formativo sea de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</si>
  <si>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EMPRENDEDORES.</t>
  </si>
  <si>
    <t xml:space="preserve">$100.000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</si>
  <si>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IMPRESIÓN TEXTO DE SALA</t>
  </si>
  <si>
    <t>Texto curatorial impreso en trovicel de 3mm de 60 x 90 cm en acabado mate.</t>
  </si>
  <si>
    <t>IMPRESIÓN DE FICHAS TÉCNICAS</t>
  </si>
  <si>
    <t xml:space="preserve">Las fichas técnicas serán impresas en trovicel de 1mm o 3mm de 20 x 14 cm en acabado mate.
</t>
  </si>
  <si>
    <t>CERTIFICADOS DE PARTICIPACIÓN</t>
  </si>
  <si>
    <t>Diploma y/o Certificados para los artistas, agrupaciones y/o colectivos artísticos. Impresos en papel opalina de 240 gr, tamaño carta, full color, diseño según Oficina de Prensa del Fondo de Desarrollo Local de Engativá.</t>
  </si>
  <si>
    <t>HIDRATACIÓN</t>
  </si>
  <si>
    <t>Botellas de agua pet de 300 ml sin gas. Paca x 24
Para artistas, jueces y emprendedores.</t>
  </si>
  <si>
    <t xml:space="preserve">EXITO </t>
  </si>
  <si>
    <t>productosysuministros</t>
  </si>
  <si>
    <t>carulla</t>
  </si>
  <si>
    <t>TOTAL PROMEDIO</t>
  </si>
  <si>
    <t>TOTAL MEDIANA</t>
  </si>
  <si>
    <t>REFRIGERIOS</t>
  </si>
  <si>
    <t>PRODUCTO SOLIDO PRINCIPAL: 1 Pastel de pollo o un pastel gloriaBEBIDA TIPO: 1 Jugo o avena en cajaUNA FRUTA DE TEMPORADA TIPO: 1, Fruta (manzana, pera, durazno, banano, mandarina, o ciruela)COMPLEMENTO: 1 Dulce de chocolate.Nota: No bebidas azucaradas o procesados.el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t>
  </si>
  <si>
    <t>MANUFACTURAS ALIMENTICIAS</t>
  </si>
  <si>
    <t>YARA ALIMENTOS</t>
  </si>
  <si>
    <t>Betty Campos Morales</t>
  </si>
  <si>
    <t>2. INGAFILMS: FESTIVAL DE ARTES AUDIOVISUALES (1 día)</t>
  </si>
  <si>
    <t>Servicio profesional de suministro de comida y bebida para evento inaugural del Salón de Artes Plásticas y Visuales de Engativá. Debe contar como minimo con estación de café, con snacs tipo galletas y/o pasabocas , para aromática y tinto, debe contar con azúcar, vasos, servilletas, mescladores (respetando las normas de salubridad y ambiente, y de plásticos de un solo uso) con mínimo 3 personas atendiendo .
Se espera una asistencia de 100 a 150 personas.</t>
  </si>
  <si>
    <t xml:space="preserve">ESTÍMULOS PARA ARTISTAS. CATEGORÍA: ENGATIVÁ NARRA. </t>
  </si>
  <si>
    <t xml:space="preserve">$2´500.000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</si>
  <si>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VALOR NO OFERTABLE</t>
  </si>
  <si>
    <t>ESTÍMULOS PARA ARTISTAS.
CATEGORÍA: REALIDAD LOCAL.</t>
  </si>
  <si>
    <t xml:space="preserve">ESTÍMULOS PARA ARTISTAS. CATEGORÍA: EXPANDIDO. </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</si>
  <si>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</si>
  <si>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GANADORES DE LA CATEGORÍA “NUEVAS MIRADAS”</t>
  </si>
  <si>
    <t>$500.000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</si>
  <si>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</si>
  <si>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TALLERISTAS.</t>
  </si>
  <si>
    <t>$500.000 (valor no ofertable)
El tallerista especializado deberá comprobar su experiencia y brindar un taller de mínimo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</si>
  <si>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COMPRA DE PENDONES CON SOPORTE TIPO ARAÑA</t>
  </si>
  <si>
    <t>Pendones con la información del evento y para ambientación del evento central, impresos en lona PVC, full color, 2 mt x 1 mt. Incluye soporte tipo araña.
El diseño debe ser aprobado por la Oficina de Prensa del FDLE.</t>
  </si>
  <si>
    <t>DESING EXPRESS</t>
  </si>
  <si>
    <t>TONO GRÁFICO DIGITAL</t>
  </si>
  <si>
    <t>ZOOM CREATIVO</t>
  </si>
  <si>
    <t>Botellas de agua pet de 300 ml sin gas, paca x 24</t>
  </si>
  <si>
    <t>productos y suministros</t>
  </si>
  <si>
    <t>TOTAL PROMEIO</t>
  </si>
  <si>
    <t>3. DESFILE DE COMPARSAS: ENGATIVÁ FESTIVA (1 día)</t>
  </si>
  <si>
    <t>COMPRA PENDONES VERTICALES DE SEÑALIZACIÓN</t>
  </si>
  <si>
    <t>Pendones verticales en lona banner full color (0,80 m x 2,00 m) con estructura portátil tipo araña, para identificación del punto de concentración y punto de llegada del desfile.</t>
  </si>
  <si>
    <t>CINTA DE DELIMITACIÓN LOGÍSTICA</t>
  </si>
  <si>
    <t>Cinta plástica de señalización de alta visibilidad para delimitación de áreas logísticas y circulación de comparsas (rollos de mínimo 200 m).</t>
  </si>
  <si>
    <t>ROXVAN</t>
  </si>
  <si>
    <t>UNI TORNILLOS</t>
  </si>
  <si>
    <t>JORDAN BRANDS</t>
  </si>
  <si>
    <t>SEÑALIZACIÓN DE SEGURIDAD Y RUTAS DE EVACUACIÓN</t>
  </si>
  <si>
    <t>Señales impresas en cartón plastificado o polipropileno corrugado (tipo coroplast), dimensiones aproximadas 40 cm x 60 cm, impresión a color con pictogramas de evacuación. Instalación con amarres plásticos o cinta en puntos estratégicos del recorrido y zona de llegada.</t>
  </si>
  <si>
    <t>HOMECENTER</t>
  </si>
  <si>
    <t>FALABELLA</t>
  </si>
  <si>
    <t>ARTICULAR</t>
  </si>
  <si>
    <t>CARPAS CAMERINO</t>
  </si>
  <si>
    <t>Alquiler de carpas impermeables tipo plegable de 3 m x 3 m, estructura metálica, cubierta en lona impermeable y cerramiento lateral en lona. Incluye iluminación básica interna y espacio seco y nivelado para preparación de comparsas.</t>
  </si>
  <si>
    <t>AUDIOPROYECTOS</t>
  </si>
  <si>
    <t>ALQUILER SILLAS PLÁSTICAS</t>
  </si>
  <si>
    <t>Alquiler de sillas plásticas sin brazos, con transporte incluido, instalación y recolección.</t>
  </si>
  <si>
    <t>MYM</t>
  </si>
  <si>
    <t>ALQUILERES BOGOTA</t>
  </si>
  <si>
    <t>ALVARO CASTAÑEDA</t>
  </si>
  <si>
    <t>ALQUILER DE TRIBUNA DE PRESENTACIÓN</t>
  </si>
  <si>
    <t>Alquiler de plataforma modular 4 m x 2 m, altura entre 0,60 m y 1 m, piso antideslizante. Incluye escalera lateral con pasamanos, baranda posterior de seguridad y carpa superior de 4 m x 4 m para presentador y coordinación del cierre del desfile</t>
  </si>
  <si>
    <t xml:space="preserve">VISIONARTE </t>
  </si>
  <si>
    <t>Profesional con conocimientos y experiencia comprobada en comparsa y cultura festiva, encargado de la conducción del cierre del desfile, lectura de reseñas de las agrupaciones y orientación general del público.</t>
  </si>
  <si>
    <t>SISTEMA DE SONIDO CON TÉCNICO DE SONIDO</t>
  </si>
  <si>
    <t>Alquiler de sistema de sonido compuesto por 4 cabinas activas de 15” (mínimo 1.000W cada una), 2 subwoofers activos de 18”, consola de mínimo 12 canales, 2 micrófonos inalámbricos y 1 micrófono cableado de respaldo. Incluye planta eléctrica certificada mínimo 15 kVA y técnico de sonido para operación durante el cierre del desfile.</t>
  </si>
  <si>
    <t>PUNTO DE PRIMEROS AUXILIOS</t>
  </si>
  <si>
    <t>Punto de atención básica en salud con carpa 3 x 3 m, camilla plegable, botiquín completo, elementos de atención primaria y personal con formación en primeros auxilios, ubicado en la zona de llegada del desfile.</t>
  </si>
  <si>
    <t>FOMDETPACIFICO</t>
  </si>
  <si>
    <t>UNIEMPRESARIAL</t>
  </si>
  <si>
    <t>AMBULANCIA</t>
  </si>
  <si>
    <t>Ambulancia básica de atención prehospitalaria (TAB) con dotación reglamentaria, conductor y personal paramédico certificado, disponible durante el desarrollo del desfile y el cierre del evento.</t>
  </si>
  <si>
    <t xml:space="preserve">HELP AND LIFE </t>
  </si>
  <si>
    <t>ESTÍMULOS PARA AGRUPACIONES CATEGORÍA A.</t>
  </si>
  <si>
    <t>Reconocimiento económico para agrupaciones de larga trayectoria participantes en el desfile de comparsas. 
Valor referencial por agrupación: $9.000.000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</si>
  <si>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CATEGORÍA B.</t>
  </si>
  <si>
    <t>Reconocimiento económico para agrupaciones de mediana trayectoria participantes en el desfile de comparsas. 
Valor referencial por agrupación: $7.000.000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</si>
  <si>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CATEGORÍA C.</t>
  </si>
  <si>
    <t>Reconocimiento económico para agrupaciones de corta trayectoria participantes en el desfile de comparsas. 
Valor referencial por agrupación: $5.000.000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</si>
  <si>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Reconocimiento económico para tres (3) jurados con experiencia en comparsa y cultura festiva, responsables de la evaluación de propuestas y elaboración del acta de selección. 
Valor por jurado: $1.000.000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</si>
  <si>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paca por 24 unidades.</t>
  </si>
  <si>
    <t>REFRIGERIOS PARA EVENTO CENTRAL</t>
  </si>
  <si>
    <t>BOLSA DE MONTO AGOTABLE PARA ADQUISICIÓN DE MATERIALES</t>
  </si>
  <si>
    <t>Se contempla una bolsa económica destinada a adquirir aquellos elementos, insumos o requerimientos que resulten necesarios para garantizar el adecuado desarrollo de la actividad. La utilización de estos recursos se realizará previa justificación técnica y aprobación de la supervisión o interventoría correspondiente, garantizando transparencia y trazabilidad en su ejecución.</t>
  </si>
  <si>
    <t>REFRIGERIOS PARA TALLERES ESPECIALIZADOS</t>
  </si>
  <si>
    <t>4. FESTIVAL DANZA ENGATIVÁ (2 días)</t>
  </si>
  <si>
    <t>INGENIERO DE SONIDO</t>
  </si>
  <si>
    <t>Profesional o técnico con experiencia en operación de sistemas audio.</t>
  </si>
  <si>
    <t>TÉCNICO DE ILUMINACIÓN</t>
  </si>
  <si>
    <t>Profesional o técnico con experiencia en operación de luces.</t>
  </si>
  <si>
    <t>ILUMINACIÓN ESCÉNICAS</t>
  </si>
  <si>
    <t>Alquiler de seis (6) Par LED distribuidos en la tarima. Cuatro (4) cabezales móviles para efectos de luz.</t>
  </si>
  <si>
    <t>Alquiler de carpas cubiertas impermeables con medidas mínimas 3 x 3 mt., estructura metálica certificada, piso seco y nivelado, cierre lateral en lona, iluminación básica interna.</t>
  </si>
  <si>
    <t>SILLAS PLÁSTICAS</t>
  </si>
  <si>
    <t>MESAS PLÁSTICAS</t>
  </si>
  <si>
    <t>Alquiler de mesas plásticas rectangulares o redondas para uso logístico del evento (registro, coordinación, jurados o apoyo operativo). Incluye transporte, montaje y desmontaje.</t>
  </si>
  <si>
    <t>ALVAROCASTAÑEDA</t>
  </si>
  <si>
    <t>SISTEMA DE SONIDO</t>
  </si>
  <si>
    <t>Alquiler de cuatro (4) cabinas activas de 15” mínimo 1.000W cada una. Dos (2) subwoofers activos de 18”. Consola de mínimo 12 canales. Dos (2) micrófonos inalámbricos. Un (1) micrófono cableado de respaldo. Planta eléctrica certificada mínimo 15 kVA.</t>
  </si>
  <si>
    <t xml:space="preserve">Reconocimiento económico para agrupaciones de larga trayectoria participantes en el festival danza en engativá. Valor por agrupación: $4.000.000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</si>
  <si>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Reconocimiento económico para agrupaciones de mediana trayectoria participantes en el festival danza en engativá. Valor por agrupación: $3.500.000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</si>
  <si>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Reconocimiento económico para agrupaciones de corta trayectoria participantes en el festival danza en engativá. Valor por agrupación: $3.000.000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</si>
  <si>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 xml:space="preserve">ESTÍMULOS PARA EQUIPO DE JUZGAMIENTO. </t>
  </si>
  <si>
    <t>Reconocimiento económico para tres (3) jurados con experiencia en danzas, responsables de la evaluación de propuestas y elaboración del acta de selección. Valor por jurado: $1.000.000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</si>
  <si>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PARA TALLERISTAS</t>
  </si>
  <si>
    <t>Profesional o artista en danza o artes escénicas con experiencia formativa, responsable de la orientación pedagógica y desarrollo de los talleres del componente de formación. $500.000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</si>
  <si>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BOLSA ECONÓMICA PARA MATERIALES TALLERES</t>
  </si>
  <si>
    <t>Se contempla una bolsa económica destinada a cubrir aquellos elementos, insumos o requerimientos que sean necesarios para la implementación y correcto desarrollo de los espacios formativos. La utilización de estos recursos se realizará previa justificación técnica y aprobación de la supervisión o interventoría correspondiente, garantizando transparencia y trazabilidad en su ejecución.</t>
  </si>
  <si>
    <t>Global</t>
  </si>
  <si>
    <t>Productosysuministros</t>
  </si>
  <si>
    <t xml:space="preserve">REFRIGERIOS </t>
  </si>
  <si>
    <t>5. FESTIVAL DE ELECTRÓNICA DE ENGATIVÁ (1 día)</t>
  </si>
  <si>
    <t>CARPA DE REGISTRO</t>
  </si>
  <si>
    <t>Carpa tipo kiosco de 3m x 3m con dos laterales para el área de inscripción y acreditación de los artistas participantes. Está equipada con una mesa y dos sillas plásticas blancas, e incluye montaje, desmontaje y transporte.</t>
  </si>
  <si>
    <t>ALQUILER DE PUNTO ECOLÓGICO</t>
  </si>
  <si>
    <t>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t>
  </si>
  <si>
    <t>BL EFECTOS</t>
  </si>
  <si>
    <t>THUNDER</t>
  </si>
  <si>
    <t>Carpas de 3m x 3m acondicionadas con sillas, espejos de cuerpo completo, luz, puntos de corriente y racks de vestuario.</t>
  </si>
  <si>
    <t>PUESTO DE MANDO UNIFICADO-PMU</t>
  </si>
  <si>
    <t>Carpa de 5m x 5m destinada para la coordinación logística y de seguridad del evento. Cuenta con acceso a medios de comunicación, planos de distribución y sistema de monitoreo en tiempo real para asegurar la correcta operación del festival.</t>
  </si>
  <si>
    <t>BL EFECTOS Y PRODUCCIÓN DE EVENTOS SAS</t>
  </si>
  <si>
    <t>THUNDER LIGHT S A S</t>
  </si>
  <si>
    <t>SISTEMA DE SONIDO Y PROYECCIÓN DE VISUALES PROFESIONAL</t>
  </si>
  <si>
    <t>Consolas de mezcla, altavoces y subwoofers con capacidad suficiente para cubrir todo el espacio del festival y asegurar la alta calidad del sonido durante las presentaciones en vivo. El sistema debe estar adaptado a las características de la música electrónica para ofrecer un rendimiento óptimo, así mismo los correspondientes equipos para la reproducción de mezclas visuales en vivo.</t>
  </si>
  <si>
    <t>ILUMINACIÓN ESCÉNICA PROFESIONAL</t>
  </si>
  <si>
    <t>Equipos de luces móviles, focos y proyectores con sistemas de control digital para crear un entorno visual impactante que se adapte a cada actuación musical. Se deben programar diferentes configuraciones para destacar cada presentación.</t>
  </si>
  <si>
    <t>ALQUILER DE MONITORES DE ESCENARIO</t>
  </si>
  <si>
    <t>Dispositivos de monitoreo distribuidos en el escenario para garantizar que los artistas puedan escuchar claramente y mantener el control de la música durante sus sets. Ajustados a las necesidades específicas de cada DJ o grupo.</t>
  </si>
  <si>
    <t>MERCHANDISING</t>
  </si>
  <si>
    <t>Compra de kit de camiseta cuello redondo (para adulto), gorra (para adulto) y escarapela para el equipo organizador y los artistas.</t>
  </si>
  <si>
    <t>Profesional o artista con experiencia en música electrónica, encargado de la conducción del evento, presentación de las agrupaciones y orientación del público durante el festival.</t>
  </si>
  <si>
    <t>ESTÍMULOS A DJ´s LARGA TRAYECTORIA</t>
  </si>
  <si>
    <t>$2´500.000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</si>
  <si>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DJ´s MEDIANA TRAYECTORIA</t>
  </si>
  <si>
    <t>$2´000.000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</si>
  <si>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DJ´s EMERGENTES</t>
  </si>
  <si>
    <t>ESTÍMULOS A VJ´s LARGA TRAYECTORIA</t>
  </si>
  <si>
    <t>ESTÍMULOS A VJ´s MEDIANA TRAYECTORIA</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</si>
  <si>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</si>
  <si>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VJ´s EMERGENTES</t>
  </si>
  <si>
    <t>ESTÍMULOS SOUND SYSTEMS ARTESANALES/INGENIERÍA DE SONIDO</t>
  </si>
  <si>
    <t>ESTÍMULO ARTISTA INVITADO NACIONAL O INTERNACIONAL</t>
  </si>
  <si>
    <r>
      <rPr>
        <b/>
        <sz val="12"/>
        <color theme="1"/>
        <rFont val="Calibri"/>
        <family val="2"/>
      </rPr>
      <t xml:space="preserve">A convenir. </t>
    </r>
    <r>
      <rPr>
        <sz val="12"/>
        <color theme="1"/>
        <rFont val="Calibri"/>
        <family val="2"/>
      </rPr>
      <t xml:space="preserv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t>
    </r>
  </si>
  <si>
    <t>ESTÍMULO EQUIPO DE JUZGAMIENTO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</si>
  <si>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</si>
  <si>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EMPRENDEDORES</t>
  </si>
  <si>
    <t>$100.000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</si>
  <si>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TALLERISTAS</t>
  </si>
  <si>
    <t>$500.000 (valor no ofertable)
Los talleristas especializados deberán garantizar que el tiempo mínimo del espacio formativo sea de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</si>
  <si>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sin gas, paca x 24
Para artistas, jueces y emprendedores.</t>
  </si>
  <si>
    <t>6. FESTIVAL GÓSPEL DE ENGATIVÁ (1 día)</t>
  </si>
  <si>
    <t>SISTEMA DE SONIDO PRINCIPAL</t>
  </si>
  <si>
    <t>Alquiler de Sistema de sonido de 5.000 vatios mínimo de potencia con medios altos Line Array, bajos, monitores de tarima, rack de procesos, kit de baterías y/o cajas directas. Consola digital de mínimo 32 canales. Cuatro (4) micrófonos inalámbricos, seis (6) micrófonos de pedestal para coros y voces principales, dos (2) micrófonos para instrumentos (batería, teclados, guitarras). Dos (2) monitores de piso para los cantantes y dos (2) monitores para los músicos. Computador portátil con unidad de reproducción digital. Cables, multitomas, extensiones 50 m y conexiones. Incluye transporte, montaje, operación y desmontaje.</t>
  </si>
  <si>
    <t>TÉCNICOS DE SONIDO</t>
  </si>
  <si>
    <t>Dos (2) técnicos de sonido especializados en eventos musicales en vivo, presentes durante toda la jornada del festival. Responsables de las pruebas de sonido (mínimo 3 horas antes del inicio del evento), la operación del sistema durante las presentaciones y los ajustes en tiempo real. Deben contar con experiencia verificable en eventos del género musical o similares.
Los técnicos contarán con honorarios.</t>
  </si>
  <si>
    <t>DISPOSITIVOS DE MONITOREO</t>
  </si>
  <si>
    <t>Alquiler de Dispositivos de monitoreo para asegurar la óptima emisión de los artistas en escena y realizar ajustes en tiempo real durante las presentaciones si así se requiere.</t>
  </si>
  <si>
    <t>PAR LED</t>
  </si>
  <si>
    <t>Alquiler de Seis (6) par LED distribuidos estratégicamente en la tarima para garantizar cobertura uniforme del escenario y resaltar las presentaciones artísticas. Incluye transporte, montaje, operación y desmontaje.</t>
  </si>
  <si>
    <t>AMERICAN CORP</t>
  </si>
  <si>
    <t>CABEZALES MÓVILES</t>
  </si>
  <si>
    <t>Alquiler de Cuatro (4) cabezales móviles para efectos de luz dinámicos durante las presentaciones artísticas. Incluye transporte, montaje, operación y desmontaje.</t>
  </si>
  <si>
    <t>Un (1) técnico especializado en iluminación escénica, presente durante toda la jornada del festival. Responsable de la operación de la consola de iluminación y de los efectos en tiempo real durante cada presentación.</t>
  </si>
  <si>
    <t>CARPAS DE CAMERINO (BACKSTAGE)</t>
  </si>
  <si>
    <t>Alquiler de tres (3) carpas de 4x4 m con cuatro laterales, focos LED y toma corriente, destinadas al uso exclusivo de los artistas como camerino y área de preparación previa a sus presentaciones. Cada carpa incluye sillas y mesas para vestuario, accesorios e hidratación. Distribuidas para: artista invitado, artistas locales y músicos del ensamble de apertura. Incluye transporte, montaje y desmontaje.</t>
  </si>
  <si>
    <t>CARPAS LOGÍSTICAS (REGISTRO Y ALMACENAMIENTO)</t>
  </si>
  <si>
    <t>Alquiler de dos (2) carpas de 4x4 m con laterales, focos LED y toma corriente, destinadas a los procesos de registro de asistentes, coordinación operativa y almacenamiento de materiales logísticos durante el evento. Incluye transporte, montaje y desmontaje.</t>
  </si>
  <si>
    <t>SILLAS PLÁSTICAS (STANDS)</t>
  </si>
  <si>
    <t>Alquiler de Dos (2) sillas plásticas por cada carpa de emprendedor (15 carpas). Total: 30 sillas.</t>
  </si>
  <si>
    <t>TRANSPORTE ENSAMBLE MUSICAL DE APERTURA</t>
  </si>
  <si>
    <t>Alquiler de servicio de transporte para los músicos del ensamble de apertura, incluyendo el traslado de instrumentos de gran formato que así lo requieran (piano, batería, amplificadores, etc.). El vehículo deberá contar con SOAT vigente, revisión técnico-mecánica al día, seguro de responsabilidad civil y conductor con licencia habilitada. Incluye traslado de punto de origen al lugar del festival y retorno.
Nota: El servicio de transporte del presente festival está destinado exclusivamente al traslado del ensamble musical de apertura y sus instrumentos. Los demás artistas y personal técnico gestionarán su desplazamiento de forma independiente, salvo disposición contraria del Comité Técnico de Seguimiento.</t>
  </si>
  <si>
    <t>UNION TEMPORAL MARCO CST      
ACUERDO MARCO DE TRANSPORTE</t>
  </si>
  <si>
    <t>UNION TEMPORAL MEGA ALIANZA
ACUERDO MARCO DE TRANSPORTE</t>
  </si>
  <si>
    <t>UNION TEMPORAL RUTAS COLOMBIANAS
ACUERDO MARCO DE TRANSPORTE</t>
  </si>
  <si>
    <t>ESTÍMULOS PARA ARTISTAS LOCALES – SOLISTAS</t>
  </si>
  <si>
    <t xml:space="preserve">$1.600.000 (valor no ofertable)
Estímulo económico para solistas locales seleccionados mediante proceso de convocatoria abierta. La cantidad de estímulos por esta categoría será definida por el Comité Técnico con base en el número de inscritos.. Duración de presentación: 20 a 35 minutos.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</si>
  <si>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ESTÍMULO PARA ARTISTAS LOCALES – AGRUPACIONES MUSICALES</t>
  </si>
  <si>
    <t xml:space="preserve">$3.000.000 (valor no ofertable)
Estímulo económico para agrupaciones musicales locales seleccionadas mediante proceso de convocatoria abierta.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</si>
  <si>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ESTÍMULO EQUIPO DE JUZGAMIENTO ESPECIALIZADO</t>
  </si>
  <si>
    <t xml:space="preserve">Dos (2) jurados externos que integrarán el panel evaluador del festival. Con formación profesional o técnica en música, composición, dirección coral, teología aplicada a la música o áreas afines.Además de, experiencia mínima de tres (3) años en producción musical, docencia musical, dirección de coros o agrupaciones góspel, o gestión cultural musical.
Valor del estímulo por cada jurado $1.000.000 (valor no ofertable)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</si>
  <si>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ARTISTA INVITADO NACIONAL O INTERNACIONAL</t>
  </si>
  <si>
    <t>Contratación de un (1) artista o agrupación de reconocimiento nacional o internacional en el género góspel para el acto central del festival. Duración mínima de la presentación: una (1) hora. La selección deberá ser aprobada por el Comité Técnico, considerando trayectoria artística, reconocimiento en el género e impacto esperado en la convocatoria de público.z a favor del proponente por el pago del estimulo sera del (5%) sobre el valor a entregar al ciudadano.</t>
  </si>
  <si>
    <t>ENSAMBLE MUSICAL DE APERTURA</t>
  </si>
  <si>
    <t>Contratación de músicos locales para la conformación del ensamble de apertura del festival. El ensamble integrará diferentes formatos instrumentales (cuerdas, percusión, vientos y/o voz) y tendrá una duración aproximada de treinta (30) minutos. El formato y la propuesta artística del ensamble deberán ser definidos por el operador y aprobados por el Comité Técnico previo al evento.</t>
  </si>
  <si>
    <t>PASADITAS LAS SIETE</t>
  </si>
  <si>
    <t>MIRLO NEGRO</t>
  </si>
  <si>
    <t>ESTÍMULOS EMPRENDEDORES</t>
  </si>
  <si>
    <t xml:space="preserve">$100.000 por cada emprendimiento (valor no ofertable)
Estímulo o apoyo económico para emprendedores locales del sector cultural, artesanal y gastronómico que participen en el sector de stands del festival. 
El gasto administrativo a favor del proponente por el pago del estimulo sera del (5%) sobre el valor a entregar al ciudadano 
Este valor por ser un estimulo en BONO es excluido de IVA al igual que de Retenciones La descripción del valor a ofertar es:
</t>
  </si>
  <si>
    <t>Botellas de 600 ml cada una (96 botellas en total), destinadas a artistas, personal técnico y logístico del festival.</t>
  </si>
  <si>
    <t xml:space="preserve">La estacion </t>
  </si>
  <si>
    <t xml:space="preserve">cruz verde </t>
  </si>
  <si>
    <t>Drogerias colsubsidio</t>
  </si>
  <si>
    <t>REFRIGERIOS PERSONAL Y ARTISTAS</t>
  </si>
  <si>
    <t>CINTA DE DEMARCACIÓN</t>
  </si>
  <si>
    <t>Cinta de demarcación para delimitar zonas del evento, áreas restringidas al público, accesos exclusivos de artistas y perímetros de seguridad. Cantidad según necesidad del espacio físico del evento.</t>
  </si>
  <si>
    <t>FALLABELA</t>
  </si>
  <si>
    <t>UNIVERSAL DE TORNILLOS</t>
  </si>
  <si>
    <t>DECORACIÓN TEMÁTICA</t>
  </si>
  <si>
    <t>Una bolsa económica con presupuesto contemplado para la decoración temática del festival, coherente con la identidad visual del género góspel y la imagen institucional del Fondo de Desarrollo Local de Engativá. La propuesta de decoración deberá ser presentada por el operador y aprobada por el Comité Técnico antes de su ejecución.</t>
  </si>
  <si>
    <t>Certificados de participación expedidos por el Fondo de Desarrollo Local de Engativá para todos los artistas y agrupaciones seleccionadas que participen en el festival. El diseño del certificado deberá contar con la aprobación de la supervisión del contrato.</t>
  </si>
  <si>
    <t>7.  FESTIVAL LETRAS VIVAS DE ENGATIVÁ (2 días)</t>
  </si>
  <si>
    <t>PRESENTADOR DEL EVENTO O MAESTRO DE CEREMONIA</t>
  </si>
  <si>
    <t>Técnico en comunicación o artes escénicas, Mínimo 1 año en conducción de eventos culturales o sociales, con fluidez en la palabra y entusiasta para el acompañamiento, activación de público y la presentación durante la jornada. Incluye los dos (2) días del festival</t>
  </si>
  <si>
    <t>TÉCNICO DE SONIDO</t>
  </si>
  <si>
    <t>Técnico en sonido con experiencia en eventos en vivo y prueba de sonido previa. Responsable del montaje, operación y desmontaje del sistema de sonido durante los dos días del festival, incluyendo la prueba de sonido previa a cada jornada y el soporte técnico durante el cierre musical.</t>
  </si>
  <si>
    <t>CARPAS, STANDS O ESPACIOS DELIMITADOS PARA EMPRENDIMIENTOS</t>
  </si>
  <si>
    <t>Alquiler de carpas con techo y laterales de 3 x 3 m, con iluminación LED, toma corriente. .</t>
  </si>
  <si>
    <t>MESAS PLÁSTICAS RECTANGULARES</t>
  </si>
  <si>
    <t>Alquiler de mesas para stands de emprendimientos. Dos (2) por stand.</t>
  </si>
  <si>
    <t>SILLAS PLÁSTICAS PARA STANDS</t>
  </si>
  <si>
    <t>Alquiler de sillas plásticas para stands de emprendimientos. Dos (2) por stand.</t>
  </si>
  <si>
    <t>SILLAS ADICIONALES PARA PÚBLICO</t>
  </si>
  <si>
    <t>Alquiler de sillas plásticas para zonas interactivas y área de emprendimientos.</t>
  </si>
  <si>
    <t>SEÑALÉTICA IMPRESA</t>
  </si>
  <si>
    <t>Zonas, baños, accesos, estación de café y espacios interactivos. Tamaño mínimo A2, a color.</t>
  </si>
  <si>
    <t>PAPEL KRAFT EN ROLLO</t>
  </si>
  <si>
    <t>Compra de un rollo de papel kraft Mínimo 5 m x 1 m por jornada.</t>
  </si>
  <si>
    <t xml:space="preserve">PANAMERICANA </t>
  </si>
  <si>
    <t>papelerialagran12</t>
  </si>
  <si>
    <t>sumimega</t>
  </si>
  <si>
    <t>NOTAS ADHESIVAS PARA EL MURO DE ESCRITURA</t>
  </si>
  <si>
    <t>Compra de Notas adhesivas tipo post-it de colores variados, para uso adicional en el muro de escritura colectiva como complemento al papel kraft. Facilitan la participación rápida del público que prefiere un formato más íntimo y portátil.</t>
  </si>
  <si>
    <t xml:space="preserve">grafitos </t>
  </si>
  <si>
    <t>multiexpress</t>
  </si>
  <si>
    <t>MARCADORES PARA MURO COLECTIVO</t>
  </si>
  <si>
    <t xml:space="preserve">Compra de marcadores a base de acrílico de 6 mm. Colores variados. </t>
  </si>
  <si>
    <t>garabatospapeleria</t>
  </si>
  <si>
    <t>cartelenlinea</t>
  </si>
  <si>
    <t xml:space="preserve">panamericana </t>
  </si>
  <si>
    <t>EXTENSIONES ELÉCTRICAS Y REGLETAS</t>
  </si>
  <si>
    <t>Alquiler de extensiones eléctricas mínimo 3 m, regleta de cuatro (4) tomas. Una (1) por stand.</t>
  </si>
  <si>
    <t>SERVICIO DE ESTACIÓN DE CAFÉ Y AGUA</t>
  </si>
  <si>
    <t>Alquiler de de dispensador de agua fría, termos de café y aromática, vasos desechables, servilletas, azúcar, endulzantes y palillos mezcladores. Activa 6 horas por jornada.</t>
  </si>
  <si>
    <t>EVENTO CAPITAL</t>
  </si>
  <si>
    <t>EL CAFETAL</t>
  </si>
  <si>
    <t>LA VITTORIA</t>
  </si>
  <si>
    <t>MESA PARA ESTACIÓN DE CAFÉ</t>
  </si>
  <si>
    <t xml:space="preserve">Alquiler Mesa Plegable Tipo Portafolio Plástica 180X70 Cm Blanca. </t>
  </si>
  <si>
    <t>MANTEL PARA ESTACIÓN DE CAFÉ</t>
  </si>
  <si>
    <t xml:space="preserve">Compra de mantel de Tela o plástico resistente de 180 x 70 cm. </t>
  </si>
  <si>
    <t xml:space="preserve">BODEGA EL CASTILLO </t>
  </si>
  <si>
    <t xml:space="preserve">OLIMPICA </t>
  </si>
  <si>
    <t xml:space="preserve">CARULLA </t>
  </si>
  <si>
    <t>Botellas de agua pet de 300 ml, paca x 24</t>
  </si>
  <si>
    <t>MODERADOR O MODERADORA DE LAS CHARLAS</t>
  </si>
  <si>
    <t>Profesional en comunicación, gestión cultural o literatura. Dos (2) años de experiencia. Contratado para los dos días del festival.</t>
  </si>
  <si>
    <t>ATRIL O PODIO DE LECTURA</t>
  </si>
  <si>
    <t>Alquiler de podio portátil con altura regulable. Para lecturas del concurso, micrófono abierto y maratón de escritura.</t>
  </si>
  <si>
    <t>D&amp;R PRODUCCIONES</t>
  </si>
  <si>
    <t>FOLLETOS</t>
  </si>
  <si>
    <t>Folletos impresos a color con el cronograma detallado de los dos días del festival, información de los conferencistas e invitados, descripción de los componentes y oferta cultural general del evento. Material: propalcote o papel bond de 115 g. Tamaño: media carta (22 x 14 cm), desplegable a carta o doble carta. Diseño aprobado por la Oficina de</t>
  </si>
  <si>
    <t>MACRODEPORTES</t>
  </si>
  <si>
    <t>FUNDACIÓN GESTIÓN SOCIAL CON PROPÓSITO</t>
  </si>
  <si>
    <t>COMPANY JBM</t>
  </si>
  <si>
    <t>DIPLOMAS DE RECONOCIMIENTO</t>
  </si>
  <si>
    <t>Papel 200g mínimo, a color, laminado, con datos del ganador y firmas institucionales. Para ganadores y finalistas de las cuatro (4) categorías (3 por cada una), adicional 3 para cada uno de los jurados (3)</t>
  </si>
  <si>
    <t xml:space="preserve">ANGARITA CASTING AGENCIA </t>
  </si>
  <si>
    <t>ENSAMBLE DE MÚSICA DE CÁMARA</t>
  </si>
  <si>
    <t>Formación clásica o académica. Dos (2) presentaciones, una por jornada. Repertorio aprobado por el comité técnico. Contratado por el operador.</t>
  </si>
  <si>
    <t>TAPETE O MANTA DE PISO</t>
  </si>
  <si>
    <t>Compra de tapete Mínimo 2 x 3 m, resistente y lavable. Para La Hora del Cuento.</t>
  </si>
  <si>
    <t xml:space="preserve">falabella </t>
  </si>
  <si>
    <t>luegopago</t>
  </si>
  <si>
    <t>HOMENCENTER</t>
  </si>
  <si>
    <t>COJINES DE PISO</t>
  </si>
  <si>
    <t>Compra de cojines de 15 pulgadas para piso de material durable,  resistentes y lavables para niños.</t>
  </si>
  <si>
    <t>SEÑALÉTICA ESPACIO INFANTIL</t>
  </si>
  <si>
    <t>A2, a color, con instrucciones y horarios. Para La Hora del Cuento.</t>
  </si>
  <si>
    <t>BOLSA A MONTO AGOTABLE</t>
  </si>
  <si>
    <t xml:space="preserve">Bolsa a monto agotable para el desarrollo del taller de literatura para público infantil y familiar. </t>
  </si>
  <si>
    <t>AFICHES DE DIVULGACIÓN DEL FESTIVAL</t>
  </si>
  <si>
    <t>Diseño e impresión de afiches para la divulgación del Festival de Literatura de Engativá. Material: propalcote. Dimensiones: 40 x 30 cm. Full color. El diseño deberá ser aprobado por la Oficina de Comunicaciones del Fondo de Desarrollo Local de Engativá previo a su impresión.</t>
  </si>
  <si>
    <t>ESTANTERÍA O MESAS PARA EL RINCÓN DE INTERCAMBIO</t>
  </si>
  <si>
    <t>Alquiler de estanteria para exhibición y organización de libros por sección (Infantil / Juvenil / Adulto).</t>
  </si>
  <si>
    <t>ESTÍMULOS ECONÓMICOS PARA EMPRENDEDORES</t>
  </si>
  <si>
    <t>$100.000 por cada emprendimiento (valor no ofertable)
Estímulo o apoyo económico para emprendedores locales del sector cultural, artesanal y gastronómico que participen en el sector de stands del festival.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</si>
  <si>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POESÍA. PRIMER PUESTO-</t>
  </si>
  <si>
    <t>$1.800.000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</si>
  <si>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 xml:space="preserve">ESTÍMULOSPARA GANADORES DEL CONCURSO LITERARIO
CATEGORÍA 
POESÍA. SEGUNDO PUESTO. </t>
  </si>
  <si>
    <t>$1.600.000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</si>
  <si>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POESÍA. TERCER PUESTO.</t>
  </si>
  <si>
    <t xml:space="preserve"> $1.400.000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</si>
  <si>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PRIMER PUESTO.</t>
  </si>
  <si>
    <t>1.º lugar: $1.800.000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</si>
  <si>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SEGUNDO PUESTO.</t>
  </si>
  <si>
    <t>2.º lugar $1.600.000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</si>
  <si>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TERCER PUESTO.</t>
  </si>
  <si>
    <t>3.º lugar: $1.400.000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</si>
  <si>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CRÓNICA O ENSAYO LITERARIO. PRIMER PUESTO.</t>
  </si>
  <si>
    <t xml:space="preserve">ESTÍMULOS PARA GANADORES DEL CONCURSO LITERARIO
CATEGORÍA
CRÓNICA O ENSAYO LITERARIO. SEGUNDO PUESTO. </t>
  </si>
  <si>
    <t xml:space="preserve">ESTÍMULOS PARA GANADORES DEL CONCURSO LITERARIO
CATEGORÍA
CRÓNICA O ENSAYO LITERARIO. TERCER PUESTO. </t>
  </si>
  <si>
    <t>ESTÍMULOS PARA GANADORES DEL CONCURSO LITERARIO
CATEGORÍA ESCRITURAS HÍBRIDAS O DIGITALES. PRIMER PUESTO.</t>
  </si>
  <si>
    <t xml:space="preserve">ESTÍMULOS PARA GANADORES DEL CONCURSO LITERARIO
CATEGORÍA ESCRITURAS HÍBRIDAS O DIGITALES. SEGUNDO PUESTO. </t>
  </si>
  <si>
    <t>ESTÍMULOS PARA GANADORES DEL CONCURSO LITERARIO
CATEGORÍA ESCRITURAS HÍBRIDAS O DIGITALES. TERCER PUESTO.</t>
  </si>
  <si>
    <t>TRANSPORTE DE INSTRUMENTOS DEL ENSAMBLE</t>
  </si>
  <si>
    <t>Alquiler de servicio de transporte de carga para el traslado de los instrumentos musicales del ensamble desde su lugar de origen hasta el auditorio y de regreso, por cada jornada de presentación. Coordinado por el operador con mínimo cuatro (4) días de anticipación. Debe tener: SOAT, Revisión Técnico- Mecánica, Tarjeta de Propiedad, Copia de revisión de último Mantenimiento.</t>
  </si>
  <si>
    <t>dia</t>
  </si>
  <si>
    <t>UNION TEMPORAL MARCO CST
ACUERDO MARCO DE TRANSPORTE</t>
  </si>
  <si>
    <t>ESTÍMULOS EQUIPO JUZGAMIENTO ESPECIALIZADO</t>
  </si>
  <si>
    <t>Tres (3) jurados externos que integrarán el panel evaluador del concurso literario. Con soporte de título profesional en literatura, estudios literarios, escritura creativa, licenciatura en educación con énfasis en lengua castellana y literatura, lingüística, comunicación social, filología o áreas afines. Asimismo, soporte de experiencia mínima de tres (3) años en producción literaria, docencia en escritura creativa, edición, crítica literaria o gestión cultural.
Valor del estímulo por cada jurado $1.600.000 (valor no ofertable)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</si>
  <si>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ILUMINACIÓN ESCÉNICA</t>
  </si>
  <si>
    <t>CARPAS EMPRENDIMIENTOS</t>
  </si>
  <si>
    <t>CARPAS BACKSTAGE</t>
  </si>
  <si>
    <t>Alquiler de sillas plásticas sin brazos para los asistentes. Incluye transporte, instalación y recolección.</t>
  </si>
  <si>
    <t>Alquiler de mesas plásticas de 80x80 cm. Incluye transporte, instalación y recolección.</t>
  </si>
  <si>
    <t>MESONES</t>
  </si>
  <si>
    <t>AMERICANA CORP</t>
  </si>
  <si>
    <t>AFICHES</t>
  </si>
  <si>
    <t>Diseño e impresión de afiches. Aprobados por la Oficina de Comunicaciones del Fondo de Desarrollo Local de Engativá. Tamaño tabloide (27,9 x 43,2 cm), papel couché brillante, full color.</t>
  </si>
  <si>
    <t>BOLSA MONTO AGOTABLE PARA ALQUILER DE ESPACIO CERRADO</t>
  </si>
  <si>
    <t>Los equipamientos culturales deberán cumplir con condiciones básicas, viables dentro del contexto local, que incluyan:
•	Área escénica delimitada o escenario mínimo de 5 x 3 metros.
•	Altura libre mínima de 2 metros (para teatro) y 5 metros para espectáculos de circo aéreo.
•	Sistema de iluminación escénica básica (mínimo 3 reflectores LED o convencionales con consola operativa).
•	Sistema de sonido con consola funcional, una (1) cabina activa mínimo 12” y mínimo dos (2) micrófonos (uno inalámbrico y uno con cable).
•	Punto eléctrico, con capacidad instalada adecuada y extensiones.
•	Camerino o espacio cerrado para preparación de artistas.
•	Baños disponibles.
•	Ventilación natural o mecánica.
•	Aforo controlado acorde al espacio.
•	Señalización básica de rutas de evacuación.
•	Cumplimiento mínimo de normas de gestión del riesgo.
Inlcuir: luminotécnico, operador de sonido, colchonetas de seguridad para actos circenses de mínimo 2 m x 2 m x 30 cm.</t>
  </si>
  <si>
    <t>BOLSA A MONTO AGOTABLE PARA ESCENARIOS ABIERTOS Y/O DE CALLE</t>
  </si>
  <si>
    <t>El operador deberá gestionar:
•	Permiso formal de uso del espacio público SUGA.
•	Concepto favorable de gestión del riesgo.
•	Articulación con autoridades locales.
•	Plan de contingencia.
•	Delimitación del espacio escénico y del área de público.
 Condiciones técnicas mínimas para espacio abierto:
•	Área escénica delimitada mínimo de 6 x 6 metros.
•	Zona técnica protegida para consola de sonido.
•	Alquiler de sistema de sonido amplificado acorde al espacio abierto (mínimo 2 cabinas activas de 15”).
•	Alquiler de planta eléctrica certificada en caso de no contar con punto eléctrico seguro.
•	Carpa técnica para protección de equipos (si aplica).
•	Carpa camerino para artistas (mínimo una por agrupación).
•	Punto de hidratación para artistas.
Alquiler e instalación de sistema de sonido profesional para espacios abiertos, compuesto como mínimo por consola digital de dieciséis (16) canales, dos (2) cabinas principales de mínimo 1.000 W RMS cada una, dos (2) monitores de piso, cuatro (4) micrófonos inalámbricos de mano, dos (2) micrófonos de diadema, bases para micrófonos, cableado, distribución eléctrica, computador para reproducción de audio, operador de sonido durante toda la jornada y prueba de sonido previa. Asimismo, se deberá contar con un (1) presentador(a) con experiencia en conducción de eventos culturales durante toda la programación.
Incluir: operador de sonido. Colchonetas de seguridad para actos circenses de mínimo 2 m x 2 m x 30 cm.</t>
  </si>
  <si>
    <t>Punto de primeros auxilios</t>
  </si>
  <si>
    <t xml:space="preserve">REFRIGERIO ARTISTAS </t>
  </si>
  <si>
    <t>Rigger profesional</t>
  </si>
  <si>
    <t>Profesional certificado para revisión de anclajes y supervisión de actos aéreos.</t>
  </si>
  <si>
    <t>Estructura aérea de circo</t>
  </si>
  <si>
    <t>Alquiler de pórtico o trípode certificado para actos aéreos de 4–7 m de altura.</t>
  </si>
  <si>
    <t>Refrigerios talleres</t>
  </si>
  <si>
    <t>Afiches impresos</t>
  </si>
  <si>
    <t>Afiches tamaño tabloide (27 x 43 cm) impresos en papel propalcote.</t>
  </si>
  <si>
    <t>D.O. NEITH</t>
  </si>
  <si>
    <t>Banners promocionales</t>
  </si>
  <si>
    <t>Banners en lona 1 m x 2 m con estructura tipo araña.</t>
  </si>
  <si>
    <t>Programas de mano</t>
  </si>
  <si>
    <t>Programas impresos con programación del festival tamaño media carta plegado.</t>
  </si>
  <si>
    <t>Camisetas equipo organizador</t>
  </si>
  <si>
    <t>Compra de camisetas tipo polo para adulto en algodón con impresión institucional.</t>
  </si>
  <si>
    <t>PROMI</t>
  </si>
  <si>
    <t>BRANDUU</t>
  </si>
  <si>
    <t>CIRCUS FIESTA</t>
  </si>
  <si>
    <t>Credenciales artistas</t>
  </si>
  <si>
    <t>Credenciales plastificadas con cordón para artistas.</t>
  </si>
  <si>
    <t>KOJAK GRAPHIC</t>
  </si>
  <si>
    <t>SUESCUN</t>
  </si>
  <si>
    <t>GRAFITOS</t>
  </si>
  <si>
    <t>Estímulos agrupaciones categoría A</t>
  </si>
  <si>
    <t>Agrupaciones de larga trayectoria (≥5 años) con obra de mínimo 45 min y al menos 6 funciones previas. Valor por agrupación: $4.000.000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</si>
  <si>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agrupaciones categoría B</t>
  </si>
  <si>
    <t>Agrupaciones de mediana trayectoria (3 a 4 años 11 meses) con obra de mínimo 45 min y al menos 3 funciones previas. Valor por agrupación: $3.000.000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</si>
  <si>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agrupaciones categoría C</t>
  </si>
  <si>
    <t>Agrupaciones emergentes con mínimo 1 año de trayectoria y propuesta escénica de 45 min susceptible de circulación. Valor por agrupación: $2.000.000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</si>
  <si>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Varieté de Circo</t>
  </si>
  <si>
    <t>Muestra escénica resultado del Taller de Circo, pago por artista de $350.000 (valor no ofertable) Los valores serán aprobados por el Comité Técnico.El operador deberá tener en cuenta la carga tributaria y entregar al participante la suma establecida.
El gasto administrativo a favor del proponente por el pago del estimulo sera del (5%) sobre el valor a entregar al ciudadano.</t>
  </si>
  <si>
    <t>Alquiler de carpa tipo kiosco de 3m x 3m con dos laterales para el área de inscripción y acreditación de los agrupaciones participantes. Estará equipada con una mesa y dos sillas plásticas blancas, e incluye montaje, desmontaje y transporte.</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</si>
  <si>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t>
  </si>
  <si>
    <t>VALLAS METÁLICAS</t>
  </si>
  <si>
    <t>Alquiler de Vallas de contención Metálicas de 2.0 m de largo x 1.40 m de alto, con soportes de apoyo amplios según especificaciones de del comité técnico, se ubicarán preferiblemente como parte del cerramiento de espacio físico del evento, cerramiento de vías, intersecciones, etc. según necesidad de aislamiento. Estas vallas son metálicas con bastidor en lámina lisa. Incluye transporte, montaje y desmontaje.</t>
  </si>
  <si>
    <t xml:space="preserve">BL EFECTOS Y PRODUCCIÓN DE EVENTOS SAS </t>
  </si>
  <si>
    <t xml:space="preserve"> NEXT</t>
  </si>
  <si>
    <t>Alquiler de carpas de 3m x 3m acondicionadas con sillas, espejos de cuerpo completo, luz, puntos de corriente y racks de vestuario.</t>
  </si>
  <si>
    <t>Alquiler de consolas de mezcla, altavoces y subwoofers con capacidad suficiente para cubrir todo el espacio del festival y asegurar la alta calidad del sonido durante las presentaciones en vivo. El sistema debe estar adaptado a las características de la música rock para ofrecer un rendimiento óptimo.</t>
  </si>
  <si>
    <t>Alquiler de equipos de luces móviles, focos y proyectores con sistemas de control digital para crear un entorno visual impactante que se adapte a cada actuación musical. Se deben programar diferentes configuraciones para destacar cada presentación.</t>
  </si>
  <si>
    <t>MONITORES DE ESCENARIO</t>
  </si>
  <si>
    <t>Alquiler de dispositivos de monitoreo distribuidos en el escenario para garantizar que las agrupaciones puedan escuchar claramente y mantener el control de la música durante sus presentaciones. Ajustados a las necesidades específicas de cada agrupación.</t>
  </si>
  <si>
    <t>Compra de Kit de camiseta cuello redondo para adulto, gorra para adulto y escarapela para el equipo organizador y los artistas.</t>
  </si>
  <si>
    <t>LA TIENDA PROMOCIONAL</t>
  </si>
  <si>
    <t>MARKADOS</t>
  </si>
  <si>
    <t>ESTÍMULOS A AGRUPACIONES DE LARGA TRAYECTORIA</t>
  </si>
  <si>
    <t xml:space="preserve">$4´000.000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</si>
  <si>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A AGRUPACIONES DE MEDIANA TRAYECTORIA</t>
  </si>
  <si>
    <t>$2´000.000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</si>
  <si>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AGRUPACIONES EMERGENTES</t>
  </si>
  <si>
    <t>A convenir.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</si>
  <si>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
El gasto administrativo a favor del proponente por el pago del estimulo sera del (5%) sobre el valor a entregar al ciudadano.
Este valor por ser un estimulo en BONO es excluido de IVA al igual que de Retenciones La descripción del valor a ofertar es:</t>
  </si>
  <si>
    <t>$100.000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</si>
  <si>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CARPAS PARA EMPRENDEDORES EQUIPADAS</t>
  </si>
  <si>
    <t>Alquiler de carpas de 3m x 3m, con laterales, acondicionadas con 2 sillas, 1 mesa, iluminación y puntos de corriente.</t>
  </si>
  <si>
    <t>Botellas de agua pet de 300 ml sin gas, paca x 24 unidades.
 Para artistas, jueces y emprendedores.</t>
  </si>
  <si>
    <t>ALQUILER TARIMA PRINCIPAL CON TECHO</t>
  </si>
  <si>
    <t>ALQUILER VALLAS METÁLICAS</t>
  </si>
  <si>
    <t>Alquiler de 2 carpas con cuatro (4) laterales y dimensiones de 4 x 4 m. Equipada con focos LED y toma corriente.</t>
  </si>
  <si>
    <t>Alquiler de sistema de sonido 5.000 vatios de potencia con medios altos Line Array, bajos, monitores tarima, rack procesos, kit de baterías y/o cajas directas, computador portátil con unidad de C.D. y/o DVD, consola digital de mínimo de 32 canales, cuatro (5)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para la operación técnica durante toda la jornada del festival. Cables, multitomas, extensiones 50 m. y conexiones. Incluye transporte, montaje y desmontaje.</t>
  </si>
  <si>
    <t>Alquiler de un equipo de seis (6) Par LED distribuidos en la tarima y cuatro (4) cabezales móviles para efectos de luz. Dos (2) máquinas de humo</t>
  </si>
  <si>
    <t>PANTALLAS LED ACORDES A LA TARIMA PARA LA PARTE DE ATRÁS Y LATERALES.</t>
  </si>
  <si>
    <t>Alquiler Pantalla central de 6x4 metros para proyección de contenido. 6 tótems de pantalla de 3 metros de alto x 50 cm de ancho para apoyo visual. 2 pantallas laterales de 4x3 metros.</t>
  </si>
  <si>
    <t>Botellas de agua pet de 300 ml sin gas, paca 24 unidades</t>
  </si>
  <si>
    <t>TOTE BAG EN LONA ALGODÓN DISEÑO EMBLEMÁTICO DEL FESTIVAL</t>
  </si>
  <si>
    <t>Bolsa tipo tote bag elaborada en lona 100% algodón, resistente y reutilizable, con diseño gráfico tipo ilustración, emblemático del festival. Sus dimensiones son 46 cm de ancho, 36 cm de alto y 17 cm de profundidad, lo que la hace funcional para el uso diario y el transporte de diversos elementos. El diseño deberá responder a criterios estéticos y conceptuales del festival y las juventudes y deberá ser aprobado por el Comité Técnico</t>
  </si>
  <si>
    <t>Terramarte</t>
  </si>
  <si>
    <t>Alquiler de carpas con laterales y dimensiones de 2 x 2 m. Cada carpa equipada con focos LED y toma corriente. Incluye transporte, montaje y desmontaje.</t>
  </si>
  <si>
    <t>MESAS PLASTICAS</t>
  </si>
  <si>
    <t>Alquiler de mesas plásticas de 80 x 80 cm, con transporte incluido, instalación y recolección, a donde se requieran los elementos.</t>
  </si>
  <si>
    <t>Alquiler de sillas plásticas sin brazos, con transporte incluido, instalación y recolección a donde se requieran los elementos.</t>
  </si>
  <si>
    <t>BOLSA MONTO AGOTABLE PARA LA ASAMBLEA LOCAL DE JUVENTUD</t>
  </si>
  <si>
    <t xml:space="preserve">Se contempla una bolsa económica destinada a adquirir, garantizar y facilitar la logística para la realización de la Asamblea Local de Juventud, en coordinación con las necesidades del Consejo Local de Juventud y el Referente Local de Juventud, para esta actividad.
Este monto podrá ser usado para:
Alquiler de carpa tipo hangar 12m x 6m, con transporte, montaje y desmontaje, con focos led y toma corrientes.
Alquiler de tres (3) horas, durante un día, de salón o estudio adecuado para la realización de la asamblea, con área libre mínima de (60m^2). Incluye uso de baños y mobiliario básico cuando aplique.
Mobiliario logístico como mesas y sillas.
Dispositivos de amplificación de sonido y micrófono.
Elementos de papelería como cartulinas, esferos, marcadores, notas adhesivas, etc. </t>
  </si>
  <si>
    <t>JURADO</t>
  </si>
  <si>
    <t>Equipo de juzgamiento conformado por tres (3) jurados, profesionales en cultura, música, danza y disciplinas relacionadas, quienes certifiquen experiencia previa en eventos culturales y procesos artísticos locales, distritales o nacionales.</t>
  </si>
  <si>
    <t>DJ PERTENENCIENTE A POBLACIÓN JUVENIL, DURANTE TODO EL EVENTO</t>
  </si>
  <si>
    <t xml:space="preserve">$1’000.000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es pago de servicio y es excluido de IVA pero no de Retenciones, La descripción del valor a ofertar es:
</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</si>
  <si>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t>
  </si>
  <si>
    <t>ESTIMULO EMPRENDIMIENTOS</t>
  </si>
  <si>
    <t>$100.000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</si>
  <si>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BATUCADA JUVENIL</t>
  </si>
  <si>
    <t>$1’200.000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</si>
  <si>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DANZA</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</si>
  <si>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</si>
  <si>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TEATRO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</si>
  <si>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Técnico.El gasto administrativo a favor del proponente por el pago del estimulo sera del (5%) sobre el valor a entregar al ciudadano.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</si>
  <si>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MÚSICA</t>
  </si>
  <si>
    <t xml:space="preserve">Seis (6) Par LED distribuidos en la tarima. Cuatro (4) cabezales móviles para efectos de luz. </t>
  </si>
  <si>
    <t>CARPAS</t>
  </si>
  <si>
    <t>Suministro, transporte, montaje y desmontaje de carpas modulares de 3 metros x 3 metros, con estructura metálica en aluminio o acero galvanizado, cubierta en lona impermeable. Deben incluir anclajes, contrapesos o sistemas de fijación adecuados según tipo de superficie (dura o blanda), nivelación del terreno cuando aplique, y estabilidad estructural certificada para eventos públicos. La carpa deberá entregarse en óptimas condiciones de limpieza y funcionamiento, e incluir, según destinación (emprendimientos, gastronomía, estaciones culturales), al menos una mesa rectangular y dos sillas por unidad cuando así se requiera. El proveedor deberá garantizar personal técnico para instalación y desmontaje, así como cumplimiento de normas de seguridad y gestión del riesgo vigentes.</t>
  </si>
  <si>
    <t>MESAS RECTÁNGULARES</t>
  </si>
  <si>
    <t>Alquiler de Mesas rectangulares plegables (mínimo 1.80 m) con mantel</t>
  </si>
  <si>
    <t xml:space="preserve">alquiler de Sillas plásticas sin brazos. </t>
  </si>
  <si>
    <t>CABLEADO CERTIFICADO Y DISTRIBUCIÓN ELÉCTRICA PARA PLANTAS</t>
  </si>
  <si>
    <t>Suministro, instalación, operación y retiro de red eléctrica temporal para garantizar energía en cada carpa/stand/estación del evento. Incluye: i) tablero(s) general(es) de distribución con protecciones (breaker) y dispositivo diferencial (RCD/GFCI) para protección de personas; ii) cableado encauchetado de uso industrial, calibre acorde a cargas, con conectores normalizados; iii) puntos eléctricos por carpa (mínimo 1 punto doble/toma múltiple por carpa) y/o multitomas industriales; iv) canalización y protección de cables mediante pasacables/canaletas y/o elevación cuando aplique, evitando tropiezos y exposición a humedad; v) puesta a tierra y verificación básica de continuidad/aislamiento; vi) extensiones certificadas y etiquetado de circuitos por zonas (emprendimientos, gastronomía, memoria, institucional); vii) operador/técnico electricista responsable durante montaje, evento y desmontaje; y viii) entrega de acta de instalación y verificación de funcionamiento previo a apertura al público. La instalación deberá contemplar separación de circuitos para gastronomía/equipos de mayor consumo, y dimensionamiento según número total de carpas y carga estimada del evento.</t>
  </si>
  <si>
    <t>PUNTO ECOLÓGICO</t>
  </si>
  <si>
    <t xml:space="preserve">Canecas adecuados para la correcta disposición de los residuos. </t>
  </si>
  <si>
    <t>FOTOGRAFO PROFESIONAL AVALADO POR LA INSTANCIA</t>
  </si>
  <si>
    <t>Servicio profesional de cobertura fotográfica integral de la Feria Raizal Engatisleña – Segunda Fase, prestado por fotógrafo con experiencia comprobable en eventos culturales comunitarios. Requisito obligatorio: el fotógrafo deberá contar con aval/validación de la instancia comunitaria correspondiente (ORFA o Comité Técnico) mediante acta, comunicación escrita o listado validado, garantizando enfoque diferencial y pertinencia cultural. El servicio incluye: i) reunión breve de alistamiento para definir guion de registro (momentos clave, personas a retratar, enfoque cultural); ii) cubrimiento completo de montaje, desarrollo y cierre del evento (escenario principal, ruta de memoria, laboratorio vivo, emprendimientos culturales, muestra gastronómica, participación del público e hitos institucionales); iii) mínimo 200 fotografías capturadas y selección/curaduría; iv) edición básica (color, exposición, recorte, nitidez) y entrega de un banco mínimo de 80–120 fotografías editadas en alta resolución; v) entrega en formato digital (JPG alta + versión optimizada para redes), organizadas por carpetas y con nomenclatura (fecha/componente); vi) registro de mínimo 15–20 retratos de artistas/sabedores/emprendedores (si aplica); vii) autorización y gestión de cesión de uso institucional del material a favor de la Alcaldía Local (según formatos), respetando derechos de autor y protección de datos; y viii) entrega de informe corto con listado de entregables, enlace de descarga y soportes de cumplimiento. Debe contar con equipo mínimo: cámara DSLR/Mirrorless, lentes para evento (gran angular + tele/estándar), flash (si aplica), baterías y tarjetas suficientes para jornada completa.</t>
  </si>
  <si>
    <t>Persona</t>
  </si>
  <si>
    <t xml:space="preserve"> THUNDER LIGHT S A S</t>
  </si>
  <si>
    <t>AGRUPACIONES MUSICALES DE TRAYECTORIA NACIONAL AVALADAS POR LA INSTANCIA</t>
  </si>
  <si>
    <t>Contratación de agrupaciones musicales con trayectoria nacional verificable (participación en festivales, giras, reconocimientos, circulación en escenarios regionales/nacionales o evidencias equivalentes), con repertorio y puesta en escena coherentes con el enfoque cultural del evento. Requisito obligatorio: cada agrupación deberá contar con aval/validación de la instancia comunitaria correspondiente (ORFA o Comité Técnico), mediante acta, comunicación escrita o listado validado, como garantía de pertinencia cultural y programática. El servicio incluye: i) presentación en vivo según guion de tarima; ii) prueba de sonido y coordinación técnica previa; iii) cumplimiento de tiempos y disposiciones de producción; iv) entrega de soportes de Presentación 3 experiencia (portafolio, reseña, certificaciones, enlaces); v) disponibilidad para registro fotográfico/audiovisual y cesión de uso institucional de imagen/registro (según formatos).</t>
  </si>
  <si>
    <t>AGRUPACIONES DE DANZA DE TRAYECTORIA NACIONAL AVALADAS POR LA INSTANCIA</t>
  </si>
  <si>
    <t>Contratación de grupo(s) de danza con trayectoria nacional verificable, con montaje coreográfico y propuesta escénica alineada al enfoque cultural del evento. Requisito obligatorio: el/los grupo(s) deberá(n) contar con aval/validación de la instancia comunitaria correspondiente (ORFA o Comité Técnico) mediante acta, comunicación escrita o listado validado. El servicio incluye: i) presentación(es) coreográfica(s) en escenario principal; ii) requerimientos mínimos de vestuario y utilería propios del montaje; iii) prueba de tarima/ensayo técnico breve si aplica; iv) coordinación con producción (entradas, salidas, tiempos); v) entrega de soportes de experiencia (portafolio, certificaciones, evidencias) y autorización para registro fotográfico/audiovisual y uso institucional (según formatos).</t>
  </si>
  <si>
    <t>MAESTROS DE CEREMONIA
AVALADOS POR LA INSTANCIA</t>
  </si>
  <si>
    <t xml:space="preserve">Servicio profesional de presentación y conducción del evento (animación/locución) para la Feria Raizal Engatisleña – Segunda Fase. Requisito obligatorio: el/la maestro(a) de ceremonia deberá contar con aval/validación de la instancia comunitaria correspondiente (ORFA o Comité Técnico) mediante acta, comunicación escrita o listado validado, garantizando pertinencia cultural, enfoque diferencial y respeto por los acuerdos comunitarios. Debe acreditar experiencia comprobable en eventos públicos y culturales. Funciones mínimas: i) conducción del guion general y de tarima (aperturas, transiciones, cierres, llamados al público); ii) presentación de artistas, sabedores/as, emprendimientos e intervenciones institucionales; iii) manejo de tiempos y protocolo en coordinación con producción y stage manager; iv) mensajes de convivencia, autocuidado, seguridad y orientación al público; v) apoyo en activaciones de la ruta de memoria y agenda general (cuando aplique); vi) articulación con el equipo técnico de sonido y revisión previa de guion. Incluye reunión de alistamiento (brief), disponibilidad para prueba de sonido y permanencia durante la jornada. </t>
  </si>
  <si>
    <t>SABEDORES/AS AVALADOS POR LA INSTANCIA</t>
  </si>
  <si>
    <t>Vinculación/contratación de sabedores(as) portadores(as) de conocimiento tradicional (prioridad comunidad raizal). Obligatorio: aval/validación de la instancia (ORFA o Comité Técnico) mediante acta, comunicación escrita o listado validado. Participan en ruta de memoria, tradición oral, conversatorios o actos simbólicos. Incluye brief previo, facilitación en sitio, coordinación con producción y autorización de registro (según formatos).</t>
  </si>
  <si>
    <t>SISTEMA DE AMPLIFICACIÓN PORTÁTIL</t>
  </si>
  <si>
    <t>Suministro y operación de sistemas portátiles para estaciones: cabina activa mínimo 12” (o equivalente), 1–2 micrófonos (ideal 1 inalámbrico), trípode, cableado, extensión eléctrica certificada, y operador de apoyo (si aplica). Debe permitir inteligibilidad de voz en estaciones de memoria/tradición oral.</t>
  </si>
  <si>
    <t>FUNDACION COLOMBIA UTIL</t>
  </si>
  <si>
    <t>TKPRODUCCIONES</t>
  </si>
  <si>
    <t>KIT DE JUEGOS TRADICIONALES (A CONCERTAR CON LA INSTANCIA)</t>
  </si>
  <si>
    <t>Suministro de kits para experiencias participativas, definidos y validados con ORFA/Comité Técnico. Deben incluir materiales completos y seguros para la práctica de juegos tradicionales de San Andrés (Marbles , Skit Lally, Kite Flying, Greasy Pole, London Bridge, Emmanuel Roa, Brown Girl in the Ring, Jox Boats; o el que determine la instancia)</t>
  </si>
  <si>
    <t>INCENTIVOS A EMPRENDIMIENTOS CULTURALES (BONO, ESTÍMULO OPERATIVO)</t>
  </si>
  <si>
    <t>Bono de Apoyo/fortalecimiento económico a 6 emprendimientos culturales tradicionales (preferiblemente raizales) seleccionadas y validadas por ORFA/Comité Técnico, por valor de $750.000 COP c/u (valor no ofertable), destinado a insumos, mise en place, utensilios menores o adecuación de oferta (no infraestructura). Entrega contra soporte (acta/recibo), participación efectiva y cumplimiento de lineamientos sanitarios y de operación de eventos. 
El gasto administrativo a favor del proponente por el pago del estimulo sera del (5%) sobre el valor a entregar al ciudadano.
Este valor por ser un estimulo en BONO es excluido de IVA al igual que de Retenciones La descripción del valor a ofertar es:</t>
  </si>
  <si>
    <t>ESTÍMULO PARA UNIDADES GASTRONÓMICAS</t>
  </si>
  <si>
    <t>bono de Apoyo/fortalecimiento económico a 6 unidades gastronómicas tradicionales (preferiblemente raizales) seleccionadas y validadas por ORFA/Comité Técnico, por valor de $750.000 COP c/u (valor no ofertable), destinado a insumos, mise en place, utensilios menores o adecuación de oferta (no infraestructura). Entrega contra soporte (acta/recibo), participación efectiva y cumplimiento de lineamientos sanitarios y de operación de eventos.
El gasto administrativo a favor del proponente por el pago del estimulo sera del (5%) sobre el valor a entregar al ciudadano.
Este valor por ser un estimulo en BONO es excluido de IVA al igual que de Retenciones La descripción del valor a ofertar es:</t>
  </si>
  <si>
    <t>Refrigerio étnico</t>
  </si>
  <si>
    <t>Suministro de refrigerio con enfoque étnico y pertinencia cultural, compuesto por preparaciones, bebidas o productos alimenticios representativos de las tradiciones gastronómicas afrocolombianas, priorizando sabores, ingredientes y presentaciones que reconozcan y visibilicen la identidad cultural de la población participante. Su entrega deberá garantizar condiciones adecuadas de manipulación, higiene, conservación y empaque, atendiendo criterios de calidad e inocuidad alimentaria. La composición específica del refrigerio será concertada previamente, procurando equilibrio nutricional, adecuada porción y coherencia con el enfoque diferencial de la actividad o evento.</t>
  </si>
  <si>
    <t>Bolsa agotable de insumos para armonización y apertura comunitaria (Compra)</t>
  </si>
  <si>
    <t>Bolsa agotable destinada al alistamiento y realización de la armonización cultural y espiritual de apertura, orientada a la conexión simbólica, la memoria y la disposición colectiva del espacio. La bolsa deberá incluir, como mínimo, telas y paños para altar/ambientación (manteles, pañoletas, cintas), flores frescas y pétalos, frutas para ofrenda/compartir (según disponibilidad), semillas, hojas y plantas medicinales para limpieza/“riego” (ramilletes y macerados), inciensos/sahumerios (varillas y/o resinas tipo copal, con incensarios/copaleras), velas y elementos de encendido (fósforos/encendedor), agua aromática/agua florida o equivalente tradicional para armonización, piedras u otros elementos naturales de disposición, recipientes (canastos, bandejas, cuencos, jarras), elementos de protección definidos por la comunidad (p. ej., sal, hierbas, amuletos/tótems), y consumibles de aseo y disposición final (bolsas, guantes, servilletas, limpieza básica). Los insumos deberán ser definidos y utilizados por las lideresas/sabedoras designadas por la comunidad, quienes deberán contar con aval escrito de la Comisión Consultiva, y el proveedor deberá garantizar entrega completa, oportuna y en buen estado, con relación de consumos al cierre.</t>
  </si>
  <si>
    <t>Libreta/agenda argollada personalizada</t>
  </si>
  <si>
    <t>Libreta o agenda argollada personalizada, elaborada en papel reciclado, con hojas internas rayadas e impresión de membrete con fechas y nombre del programa de la Alcaldía. Contará con portada y contraportada rígidas, ambas personalizadas, en tamaño medio octavo, pasta dura y con un contenido total de 80 a 100 páginas. Incluye 8 insertos impresos a full color. El diseño será realizado por el operador, con base en la información, lineamientos y contenidos suministrados por el referente étnico afro de la Alcaldía Local.</t>
  </si>
  <si>
    <t>DOTACO</t>
  </si>
  <si>
    <t xml:space="preserve">PROMOHIT </t>
  </si>
  <si>
    <t xml:space="preserve">ZOOM CREATIVO </t>
  </si>
  <si>
    <t>Botella de aluminio 550 ml personalizada</t>
  </si>
  <si>
    <t>Botella de aluminio con capacidad de 550 ml, fabricada en cuerpo metálico resistente y disponible en diferentes colores. Incluye tapa de acero con sistema de rosca para cierre seguro. Personalización mediante grabado láser, garantizando una marcación durable, sobria y de alta calidad.</t>
  </si>
  <si>
    <t>TIENDA PROMOCIONAL</t>
  </si>
  <si>
    <t>Tote bag en lona algodón diseño afrocentrado</t>
  </si>
  <si>
    <t>Bolsa tipo tote bag elaborada en lona 100% algodón, resistente y reutilizable, con diseño gráfico tipo ilustración afrocentrada. Sus dimensiones son 46 cm de ancho, 36 cm de alto y 17 cm de profundidad, lo que la hace funcional para el uso diario y el transporte de diversos elementos. El diseño deberá responder a criterios estéticos y conceptuales acordes con el enfoque étnico y cultural de la estrategia.</t>
  </si>
  <si>
    <t>Paraguas tipo golf personalizado</t>
  </si>
  <si>
    <t>Paraguas tipo golf con mango recto color negro, sistema de apertura automática y cierre manual. Estructura con costillas y acabados en color negro, diseñada para brindar resistencia, practicidad y amplia cobertura. Ideal para actividades institucionales, promocionales o de dotación.</t>
  </si>
  <si>
    <t>PUBLICITAR</t>
  </si>
  <si>
    <t>PODER PROMOCIONAL</t>
  </si>
  <si>
    <t>PROMALL</t>
  </si>
  <si>
    <t>Bolígrafo CARTOON</t>
  </si>
  <si>
    <t>Bolígrafo tipo CARTOON, de diseño práctico y llamativo, adecuado para uso cotidiano e institucional. Elaborado en material resistente, liviano y funcional, ideal para actividades de promoción, recordación de marca o entrega en eventos. Puede personalizarse conforme a la identidad gráfica definida para la estrategia o programa.</t>
  </si>
  <si>
    <t>COMPONENTE I: CONVERSATORIO Y MUESTRA FOTOGRÁFICA</t>
  </si>
  <si>
    <t>MODERADOR/A</t>
  </si>
  <si>
    <t>Perfil profesional, perteneciente a los sectores sociales LGBTI, que cuente con enfoque diferencial, manejo de lenguaje incluyente y experiencia comprobada en espacios comunitarios y culturales.</t>
  </si>
  <si>
    <t>CURADOR PARA MUESTRA FOTOGRÁFICA</t>
  </si>
  <si>
    <t>Profesional en fotografía o áreas afines encargado de la curaduría de la muestra fotográfica de memoria local y distrital de ls acciones LGBTI.</t>
  </si>
  <si>
    <t>Alquiler 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t>
  </si>
  <si>
    <t xml:space="preserve">Compra de Diploma y/o Certificados para los artistas, agrupaciones y/o colectivos artísticos. Impresos en papel opalina de 240 gr, tamaño carta, full color, diseño según Oficina de Prensa de Alcaldía Local de Engativá. </t>
  </si>
  <si>
    <t>RECORDATORIOS</t>
  </si>
  <si>
    <t xml:space="preserve">Compra de Abanicos con forma troquelada y fabricado en cartón con impresión a todo color con el diseño que se envíe, con medidas: 26.5 x 14.6 cm.
</t>
  </si>
  <si>
    <t>Botellas de agua pet de 300 ml  SIN GAS. Paca x 24 unidades</t>
  </si>
  <si>
    <t>COMPONENTE II: JORNADA RECREODEPORTIVA</t>
  </si>
  <si>
    <t>INSTRUCTOR DE BAILE O ACTIVIDAD FÍSICA</t>
  </si>
  <si>
    <t>Perfil profesional en actividad física con manejo de lenguaje incluyente y experiencia en espacios comunitarios y culturales.</t>
  </si>
  <si>
    <t>$2.500.000
Bolsa a monto agotable para la realización de actividad de integración ejemplo olla comunitaria, chocolatada etc a solicitud de la instancia de participación</t>
  </si>
  <si>
    <t>COCINERO/A</t>
  </si>
  <si>
    <t>Profesional de la cocina con experiencia en eventos de mediana complejidad.  Debe contar con carnet de manipulación de alimentos vigente, elementos de bioseguridad y demás elementos requeridos para la preparación de alimentos.</t>
  </si>
  <si>
    <t>AUXILIAR DE COCINA</t>
  </si>
  <si>
    <t xml:space="preserve">Auxiliar la cocina con experiencia en eventos de mediana complejidad. Debe contar con carnet de manipulación de alimentos vigente, elementos de bioseguridad y demás elementos requeridos para la preparación de alimentos  </t>
  </si>
  <si>
    <t>Alquiler Sistema de sonido 5.000 vatios de potencia con medios altos Line Array, bajos, monitores tarima, rack procesos, kit de baterías y/o cajas directas, computador portátil con unidad de C.D. y/o DVD, consola digital de mínimo de 32 canales, cuatro (4)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cables, multitomas, extensiones 50 m. y conexiones. Incluye transporte, montaje y desmontaje.</t>
  </si>
  <si>
    <t xml:space="preserve">Compra Abanicos con forma troquelada y fabricado en cartón con impresión a todo color con el diseño que se envíe, con medidas: 26.5 x 14.6 cm.
</t>
  </si>
  <si>
    <t>Botellas de agua pet de 300 ml.  SIN GAS. Paca x 24 unidades</t>
  </si>
  <si>
    <t>KIT DE ALIMENTACIÓN</t>
  </si>
  <si>
    <t xml:space="preserve">Compra Kit de alimentación compuesto de: 1 cuchara, 1 tenedor, 1 cuchillo, 1 plato hondo, 1 vaso, 2 servilletas. 
El material de los elementos anteriormente mencionados debe ser biodegradable. 
</t>
  </si>
  <si>
    <t>UMAN</t>
  </si>
  <si>
    <t xml:space="preserve">BIODEGRADABLES </t>
  </si>
  <si>
    <t>ECO</t>
  </si>
  <si>
    <t>COMPONENTE III: EVENTO CENTRAL "FESTIVAL ENGATIVÁ EN MARCHA DE LO DIVERSO"</t>
  </si>
  <si>
    <t xml:space="preserve">Alquiler Seis (6) Par LED distribuidos en la tarima. Cuatro (4) cabezales móviles para efectos de luz. </t>
  </si>
  <si>
    <t>DJ PERTENENCIENTE AL SECTOR SOCIAL LGBTIQ+ DURANTE TODO EL EVENTO</t>
  </si>
  <si>
    <t>Profesional laboral DJ, productor musical, pertenecientes al sector social LGBTIQ+, residente de la localidad., que ambientara permanentemente todo el evento.</t>
  </si>
  <si>
    <t>CRISTIAN SANTIAGO VELOZA GARCIA</t>
  </si>
  <si>
    <t>CRISTIAN DAIVIC</t>
  </si>
  <si>
    <t>ANGARITA CASTING AGENCY</t>
  </si>
  <si>
    <t>DJ PERTENENCIENTE AL SECTOR SOCIAL LGBTIQ+ INVITADO ESPECIAL</t>
  </si>
  <si>
    <t>Profesional laboral DJ, productor musical, pertenecientes al sector social LGBTIQ+, distrital o local., que realice una presentación de aproximadamente 1 hora</t>
  </si>
  <si>
    <t>SEBASTIAN FELIPE PINTO SOTELO</t>
  </si>
  <si>
    <t>CRISTINA FONSECA</t>
  </si>
  <si>
    <t xml:space="preserve">ESTIMULO PARA AGRUPACIONES DE DANZA </t>
  </si>
  <si>
    <t>Estimulo para Agrupaciones de danza pertenecientes al sector LGBTIQ+, residente de la localidad por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</si>
  <si>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BATUCADA</t>
  </si>
  <si>
    <t>Estimulo para 1 grupo de batucada perteneciente al sector LGBTIQ+, residente de la localidad por un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</si>
  <si>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AGRUPACIONES DE TEATRO</t>
  </si>
  <si>
    <t>Estimulo para Agrupaciones de teatro pertenecientes al sector LGBTIQ+, residente de la localidad. Para este evento de un día, el grupo tendrá que ofrecer una obra breve, con temática en DDHH, estudios de género y/o LGBTIQ+ diseñada para espacios abiertos o cerrados, con un montaje ágil, elenco reducido y alto impacto visual y actoral por un valor de $4.000.000.
El gasto administrativo a favor del proponente por el pago del estimulo sera del (5%) sobre el valor a entregar al ciudadano.
Este valor por ser un estimulo en BONO es excluido de IVA al igual que de Retenciones La descripción del valor a ofertar es:</t>
  </si>
  <si>
    <t>ESTIMULO PARA ARTISTAS PERFORMANCE</t>
  </si>
  <si>
    <t>Estimulo para Propuestas de performance pertenecientes al sector LGBTIQ+, residentes de la localidad por un valor de $1,000,000
El gasto administrativo a favor del proponente por el pago del estimulo sera del (5%) sobre el valor a entregar al ciudadano.
Este valor por ser un estimulo en BONO es excluido de IVA al igual que de Retenciones La descripción del valor a ofertar es:</t>
  </si>
  <si>
    <t>ESTIMULO PARA ARTISTAS INVITADOS</t>
  </si>
  <si>
    <t>Estimulos para Artistas invitados no deben ser necesariamente residentes de la localidad. (Estos pueden ser grupales e individuales de danza,PERFO teatro, música, performance o cualquier tipo de acto artístico o cultural) por un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</si>
  <si>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CANTANTES</t>
  </si>
  <si>
    <t>$1’000.000 (valor no ofertable)
Propuestas de Canto pertenecientes al sector LGBTIQ+, residentes de la localidad.
El gasto administrativo a favor del proponente por el pago del estimulo sera del (5%) sobre el valor a entregar al ciudadano.
Este valor por ser un estimulo en BONO es excluido de IVA al igual que de Retenciones La descripción del valor a ofertar es:</t>
  </si>
  <si>
    <t>ESTIMULOS PRIMER PUESTO MUJER T</t>
  </si>
  <si>
    <t>$2´500.000 (valor no ofertable)
Estímulo económico para el primer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</si>
  <si>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ESTIMULOS SEGUNDO PUESTO MUJER T</t>
  </si>
  <si>
    <t>$1’500.000 (valor no ofertable)
Estímulo económico para el segundo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</si>
  <si>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ESTIMULOS TERCER PUESTO MUJER T</t>
  </si>
  <si>
    <t>$1’000.000 (valor no ofertable)
Estímulo económico para el tercer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</si>
  <si>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JURADOS</t>
  </si>
  <si>
    <t>Equipo de juzgamiento conformado por cinco (5) jueces quienes certifiquen experiencia previa en eventos locales, distritales o nacionales, según corresponda a la modalidad.</t>
  </si>
  <si>
    <t>PRESENTADORES/MAESTROS DE CEREMONIA</t>
  </si>
  <si>
    <t>Profesional en comunicación o artes escénicas o que avale Mínimo 3 año en conducción de eventos culturales o sociales, con fluidez en la palabra y entusiasta para el acompañamiento, activación de público y la presentación durante la jornada. La persona debe pertenecer a los sectores sociales LGBTI, con lenguaje incluyente y enfoque diferencial</t>
  </si>
  <si>
    <t>PLAN DE CONTIGENCIA</t>
  </si>
  <si>
    <t>Plan de contingencia para espacio abierto de acuerdo con el Decreto Distrital 599 de 2013, que asegura el cumplimiento de medidas de seguridad y normativas locales según el Sistema Único de Gestión de Aglomeraciones. Aforo 1.000 personas. Incluye permisos trámites y tarifas por alquiler de escenarios deportivos a los que haya lugar; en caso de ser necesario por el espacio donde se desarrolle el evento.</t>
  </si>
  <si>
    <t>KIT PARTICIPANTES MUJER T</t>
  </si>
  <si>
    <t>Compra de kit que estará compuesto por un (1) secador de cabello con: 1875 Watts de Potencia y 3 Ajustes de Temperatura 2 Velocidades y una (1) plancha de cabello con Temperatura máxima de 230°C y Cable Giratorio de 1,8 metros nivel profesional, el cual será entregado a las participantes del evento.</t>
  </si>
  <si>
    <t xml:space="preserve">Homcenter </t>
  </si>
  <si>
    <t>emingtoncolombia.</t>
  </si>
  <si>
    <t xml:space="preserve">olimpica </t>
  </si>
  <si>
    <t>ALMUERZOS EQUIPO ORGANIZADOR</t>
  </si>
  <si>
    <t>Proteína 120–150 g cocidosCarbohidrato 100–120 g cocidosVerdura 80–100 gBebida jugo 200 mlPostre 60–80 gDeberá incluir cuchara, cuchillo, tenedores, así como empaque todos de cartón ecológico, y un mínimo 2 servilletas.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 incluye transporte de entrega</t>
  </si>
  <si>
    <t>PENDONES</t>
  </si>
  <si>
    <t>Compra de Pendones, Tipo de estructura: Soporte tipo araña en forma de “X”, portátil, liviano, plegable, de fácil armado y transporte. Tamaño estándar: 60 cm × 160 cm (ancho × alto). También se aceptan versiones de 80 cm × 180 cm según necesidades visuales. Material del banner impreso: Lona vinílica mate o brillante de alta resistencia (material tipo PVC de 13 oz o más), impermeable y lavable. También puede usarse tela banner con recubrimiento de poliéster. Impresión: Full color (CMYK), resolución mínima de 1200 dpi, impresión digital UV o ecosolvente (para mayor durabilidad en exteriores o alta exposición). Diseño gráfico: a convenir. Estructura del soporte: Brazos flexibles de fibra de vidrio, base plástica con gomas antideslizantes. Incluye estuche o maletín para almacenamiento.</t>
  </si>
  <si>
    <t>LLAVEROS</t>
  </si>
  <si>
    <t>Compra Llaveros con el logo del evento y la bandera LGBTI.</t>
  </si>
  <si>
    <t>CAMISETAS</t>
  </si>
  <si>
    <t>Compra de camiseas cuello redondo, unisex de diferentes tallas en poliéster y sublimadas con el logo y frase del evento de color blanco. Estas serán entregadas únicamente a las personas que hagan parte del equipo organizador.</t>
  </si>
  <si>
    <t>B2 ESTRATEGIAS Y SOLUCIONES INTEGRALES 2025</t>
  </si>
  <si>
    <t>CORPORACIÓN RECREATIVA CULTURAL 2025</t>
  </si>
  <si>
    <t>GORRAS</t>
  </si>
  <si>
    <t>Compra de gorras en poliéster y sublimadas con el logo y frase del evento color por definir. Estas serán entregadas únicamente a las personas que hagan parte del equipo organizador.</t>
  </si>
  <si>
    <t>MARKMELO</t>
  </si>
  <si>
    <t>CARPA CAMERINO DE 4X4</t>
  </si>
  <si>
    <t>Alquiler de 4 carpas con cuatro (4) laterales y dimensiones de 4 x 4 m. Equipada con focos LED y toma corriente.</t>
  </si>
  <si>
    <t>CARPAS EMPREDIMIENTOS</t>
  </si>
  <si>
    <t xml:space="preserve">Alquiler de carpas con laterales y dimensiones de 4 x 4 m. Cada carpa equipada con focos LED y toma corriente. </t>
  </si>
  <si>
    <t>SILLAS PLASTICAS</t>
  </si>
  <si>
    <t>Alquiler de mesas plásticas de 80 x 80 cm, con transporte incluido, instalación y recolección.</t>
  </si>
  <si>
    <t xml:space="preserve">Compra Diploma y/o certificados para los artistas, agrupaciones y/o colectivos artísticos. Impresos en papel opalina de 240 gr, tamaño carta, full color, diseño según Oficina de Prensa de Alcaldía Local de Engativá. </t>
  </si>
  <si>
    <t xml:space="preserve">Alquiler de mesas plásticas de 80 x 80 cm, con transporte incluido, instalación y recolección. Las mesas serán destinadas para los camerinos, talleres, zona de sabores locales, emprendedores y artesanos. </t>
  </si>
  <si>
    <t>Alquiler de carpas; Incluye transporte, montaje y desmontaje. Techo: Tipo hangar a dos (2) aguas montado en estructura truss con anclaje o contrapeso. Debe tener telas indlfugas blackout negras para bloquear por completo el fondo y dos (2) laterales. Dimensión: 2 X 2 m X (1.5 m. de alto). Las mesas serán destinadas para los camerinos y emprendedores.</t>
  </si>
  <si>
    <t>INFLABLE MODULAR INFANTIL</t>
  </si>
  <si>
    <t xml:space="preserve">Alquiler de un inflable modular de obstáculos con las siguientes medidas: 7 mt de ancho; 14 mt de largo; 6 mt de alto, con 2 motores. </t>
  </si>
  <si>
    <t>DREAM</t>
  </si>
  <si>
    <t>Alquiler de un equipo de seis (6) Par LED distribuidos en la tarima y cuatro (4) cabezales móviles para efectos de luz.</t>
  </si>
  <si>
    <t>Sistema de sonido 5.000 vatios de potencia con medios altos Line Array, bajos, monitores tarima, rack procesos, kit de baterías y/o cajas directas, computador portátil con unidad de C.D. y/o DVD, consola digital de mínimo de 32 canales, cuatro (4)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cables, multitomas, extensiones 50 m. y conexiones. Incluye transporte, montaje y desmontaje.</t>
  </si>
  <si>
    <t>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 "</t>
  </si>
  <si>
    <t>ESTÍMULOS PARA ARTISTAS, AGRUPACIONES Y/O COLECTIVOS ARTÍSTICOS LOCALES-CIRCO</t>
  </si>
  <si>
    <t>$800.000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Categorías: 1 artista o agrupación circense presentación tarima; 1 artista o agrupación circense presentación calle.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</si>
  <si>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AGRUPACIONES Y/O COLECTIVOS ARTÍSTICOS LOCALES-TEATRO PARA LAS INFANCIAS</t>
  </si>
  <si>
    <t>$1´000.000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 1 agrupación de teatro para las infancias.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</si>
  <si>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AGRUPACIONES Y/O COLECTIVOS ARTÍSTICOS LOCALES-MÚSICA PARA LAS INFANCIAS</t>
  </si>
  <si>
    <t>$1´000.000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Categorías: 1 artista o agrupación circense presentación tarima; 1 artista o agrupación circense presentación calle; 1 artista o agrupación de teatro; 1 artista o agrupación musical infantil local.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</si>
  <si>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PARTICIPANTES DEL CONCURSO DE ECODISFRACES (BONO)</t>
  </si>
  <si>
    <t>$100.000 (valor no ofertable)
En cumplimiento del Código de la Infancia y la Adolescencia (Ley 1098 de 2006) y el Artículo 32 de la Convención sobre los Derechos del Niño, el concurso de ecodisfraces otorgará premios exclusivamente en especie a las niñas y niños participantes (incentivos no monetarios).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</si>
  <si>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PARTICIPANTES DE LA MUESTRA DE TALENTOS ARTÍSTICOS  (BONO)</t>
  </si>
  <si>
    <t>$100.000 (valor no ofertable)
En cumplimiento del Código de la Infancia y la Adolescencia (Ley 1098 de 2006) y el Artículo 32 de la Convención sobre los Derechos del Niño, la muestra de talentos otorgará premios exclusivamente en especie a las niñas y niños participantes (incentivos no monetarios).
El gasto administrativo a favor del proponente por el pago del estimulo sera del (5%) sobre el valor a entregar al ciudadano.
Este valor por ser un estimulo en BONO es excluido de IVA al igual que de Retenciones La descripción del valor a ofertar es:</t>
  </si>
  <si>
    <t>ARTISTA O AGRUPACIÓN INVITADA EXTERNA (DISTRITAL O NACIONAL)</t>
  </si>
  <si>
    <t xml:space="preserve">La agrupación o artista podrá ser de trayectoria distrital o nacional, con reconocimiento comprobable, experiencia certificada en presentaciones en vivo y capacidad para convocar público infantil y familiar. Deberá contar con propuesta artística integral en géneros musicales/ escénicos acordes con el carácter infantil y familiar. El perfil requerido contempla:
Experiencia mínima demostrable en escenarios públicos, festivales, celebraciones institucionales o eventos de mediana escala.
Trayectoria artística verificable mediante portafolio, registros audiovisuales o certificaciones contractuales.
Capacidad técnica y logística para adaptarse a escenarios con producción de complejidad media (backline, rider técnico, pruebas de sonido, coordinación con producción).
Cumplimiento de requisitos legales y contractuales vigentes para presentaciones públicas.
</t>
  </si>
  <si>
    <t>ESTÍMULO PARA EMPRENDEDORES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</si>
  <si>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El gasto administrativo a favor del proponente por el pago del estimulo sera del (5%) sobre el valor a entregar al ciudadano
Este valor por ser un estimulo en BONO es excluido de IVA al igual que de Retenciones La descripción del valor a ofertar es:</t>
  </si>
  <si>
    <t xml:space="preserve">CERTIFICADO DE PARTICIPACIÓN </t>
  </si>
  <si>
    <t xml:space="preserve">Diploma y/o Certificados para los artistas, agrupaciones y/o colectivos artísticos. Impresos en papel opalina de 240 gr, tamaño carta, full color, diseño según Oficina de Prensa de Alcaldía Local de Engativá. </t>
  </si>
  <si>
    <t>APOYO LOGÍSTICO INSCRIPCIONES</t>
  </si>
  <si>
    <t>Bachiller con experiencia en puntos de inscripción, recepción y manejo de herramientas de oficina. Se priorizará la vinculación de mujeres en su diversidad para la atención de los puntos itinerantes.</t>
  </si>
  <si>
    <t>Bachiller con 2 años de experiencia certificada en proyectos culturales; o estudiante de mínimo 6° semestre en gestión cultural, educación artística o artes escénicas; o profesional con experiencia mínima de 1 año en proyectos artísticos y culturales. Deberá demostrar dominio conceptual de las tres categorías del evento: danza, música y teatro.</t>
  </si>
  <si>
    <t>Personal de apoyo para montaje, desmontaje y acompañamiento al desarrollo del evento. Formación mínima: bachiller. Sin experiencia requerida o hasta 35 meses de experiencia certificada.</t>
  </si>
  <si>
    <t>EQUIPO DE JUZGAMIENTO</t>
  </si>
  <si>
    <t>Equipo multidisciplinario de 3 jueces: 1 externos residentes de Bogotá (no de Engativá) y 2 locales residentes de Engativá. Deben certificar conocimiento y experiencia en danza, música y teatro. Seleccionados mediante convocatoria abierta. Todos mayores de edad.</t>
  </si>
  <si>
    <t>MAESTRO DE CEREMONIA</t>
  </si>
  <si>
    <t>Técnico en comunicación o artes escénicas. Animador con experiencia en cultura festiva y comparsas, con fluidez en la palabra y capacidad de activación de público. Mayor de edad.</t>
  </si>
  <si>
    <t>DJ</t>
  </si>
  <si>
    <t>Técnico laboral DJ productor musical. Responsable de la ambientación sonora entre presentaciones y durante el desfile de comparsas. Mayor de edad.</t>
  </si>
  <si>
    <t>Plan de contingencia para espacio abierto conforme al Decreto Distrital 599 de 2013. Aforo: 300 personas. Incluye permisos, trámites y tarifas por alquiler de escenarios artísticos y culturales.</t>
  </si>
  <si>
    <t>Alquiler de sillas plásticas sin brazos. Incluye transporte, instalación y recolección.</t>
  </si>
  <si>
    <t>CORPORACIONLATINOAMERICANA</t>
  </si>
  <si>
    <t>Alquiler de mesones en madera de 200x80 cm. Incluye transporte, montaje y desmontaje.</t>
  </si>
  <si>
    <t>Sistema de 5.000 vatios mínimo. Line Array, bajos, monitores, rack de procesos, consola digital mínimo 32 canales. 4 micrófonos inalámbricos, 6 de pedestal, 2 para instrumentos, 2 monitores de piso cantantes, 2 monitores músicos. Computador portátil, 2 técnicos de sonido, cables, multitomas, extensiones 50 m. Incluye transporte, montaje, operación y desmontaje.</t>
  </si>
  <si>
    <t>Proyectores, luces móviles y focos con sistemas de control digital para ambientes adaptados a cada momento de la jornada. Incluye efectos de luz y técnico de iluminación durante toda la jornada. Incluye transporte, montaje, operación y desmontaje.</t>
  </si>
  <si>
    <t>CARPAS PARA EMPRENDIMIENTOS</t>
  </si>
  <si>
    <t>Alquiler de carpas con laterales de 3x3 m. Cada carpa equipada con focos LED, 1 mesa plástica, 2 sillas plásticas y toma corriente. Incluye transporte, montaje y desmontaje.</t>
  </si>
  <si>
    <t>Alquiler de 6 carpas de 4x4 m con cuatro laterales, focos LED y toma corriente. Distribuidas para: músicos del concierto de cámara, agrupaciones artísticas locales y equipo técnico del evento. Cada carpa incluye sillas y mesas para vestuario e hidratación. Incluye transporte, montaje y desmontaje.</t>
  </si>
  <si>
    <t>TRANSPORTE CONCIERTO DE CÁMARA</t>
  </si>
  <si>
    <t>Servicio de transporte para los músicos del concierto de cámara de apertura, incluyendo el traslado de instrumentos de gran formato (piano, violonchelos, contrabajos, arpa u otros según la formación aprobada). Vehículo con SOAT vigente, revisión técnico-mecánica al día, seguro de responsabilidad civil y conductor con licencia habilitada. Incluye traslado desde punto de origen hasta el lugar del evento y retorno.</t>
  </si>
  <si>
    <t>FAROLES CON VELA</t>
  </si>
  <si>
    <t>Faroles y velas para ser distribuidos entre los asistentes mayores de 14 años durante el momento central del encendido. Cada farol incluye su respectiva vela.</t>
  </si>
  <si>
    <t>compraloencasa.</t>
  </si>
  <si>
    <t xml:space="preserve">carrulla </t>
  </si>
  <si>
    <t xml:space="preserve">Exito </t>
  </si>
  <si>
    <t>ENCENDEDORES</t>
  </si>
  <si>
    <t>Encendedores manuales para el encendido de las velitas durante el acto central.</t>
  </si>
  <si>
    <t>VELAS LED</t>
  </si>
  <si>
    <t>Velas LED para asistentes menores de 14 años, entregadas durante el momento central como alternativa segura a las velas de llama viva.</t>
  </si>
  <si>
    <t>CASIOPEA</t>
  </si>
  <si>
    <t>VERTIHOME</t>
  </si>
  <si>
    <t xml:space="preserve">FARAON EVENTOS </t>
  </si>
  <si>
    <t>AMBIENTACIÓN Y DECORACIÓN NAVIDEÑA</t>
  </si>
  <si>
    <t>Adornos navideños: guirnaldas, luces y figuras tradicionales de temporada (estrellas, ángeles, etc.) para el escenario, área de actividades y espacios públicos del entorno. Luces LED y adornos para calles cercanas, incluyendo cortinas de luces y figuras decorativas con motivos navideños.
MONTO AGOTABLE</t>
  </si>
  <si>
    <t>ESTIMULOS AGRUPACIONES MUSICALES</t>
  </si>
  <si>
    <t>$1'000.000 (valor no ofertable)
Coros de navidad: agrupaciones corales, ensambles vocales y/o coros de cámara locales, conformados por 8 a 20 integrantes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</si>
  <si>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Agrupaciones locales de música decembrina y/o parrandera entre 4 a 10 miembros, u orquesta pequeña con 10 a 15 integrantes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</si>
  <si>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ESTIMULOS AGRUPACIONES DE DANZA</t>
  </si>
  <si>
    <t>$1'000.000 (valor no ofertable)
Agrupaciones locales de danza consolidada (10 años o más de experiencia certificable)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</si>
  <si>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Agrupaciones locales de danza mediana trayectoria (5 a 9 años de experiencia certificable)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</si>
  <si>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AGRUPACIÓN DE TEATRO</t>
  </si>
  <si>
    <t>$1'000.000 (valor no ofertable)
Agrupación local de arte dramático con mediana o larga trayectoria, conformada por 6 a 10 actores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</si>
  <si>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</si>
  <si>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SIN GAS. Paca x 24 unidades
Destinadas a agrupaciones artísticas, músicos del concierto de cámara y emprendedores. Incluye transporte de entrega.</t>
  </si>
  <si>
    <t>CINTA DE ENMARCACIÓN</t>
  </si>
  <si>
    <t>Rollo de cinta amarilla de 500 m x 5 cm de ancho, para delimitar zonas del evento, áreas restringidas y accesos de artistas.</t>
  </si>
  <si>
    <t>Diseño e impresión de afiches para la divulgación del evento. Diseño aprobado por la Oficina de Comunicaciones de la Alcaldía Local. Tamaño tabloide (27,9 x 43,2 cm), papel couché brillante o semibrillante, full color.</t>
  </si>
  <si>
    <t xml:space="preserve">SISTEMA DE SONIDO </t>
  </si>
  <si>
    <t>ILUMINACIÓN ESCÉNICA PARA NOVENAS PRINCIPALES</t>
  </si>
  <si>
    <t>Dias</t>
  </si>
  <si>
    <t>PLANTA ELÉCTRICO</t>
  </si>
  <si>
    <t>Alquiler de planta eléctrica de mínimo 50 KVA para funcionamiento autónomo de todos los equipos. Incluye cubrecables tipo yellow jacket para todo el cableado expuesto. Incluye transporte, montaje, operación y desmontaje.</t>
  </si>
  <si>
    <t xml:space="preserve">CARRO TARIMA </t>
  </si>
  <si>
    <t>"1 presentador – animador y productor de campo, 2 promotoras – logísticas o gestores de cada área, 1 conductor (lo coloca el contratista del camión), Branding, merchandaising, material POP y BTL, pantalla interactiva.
EQUIPOS TÉCNICOS:
•        2 módulos con conexión 110V para computadores portátiles.
•        Impresora con conectividad a computadores portátiles de los funcionarios.
•        Internet Satelital de alta conectividad con WiFi inalámbrico hasta para 8 dispositivos.
EQUIPOS DE SERVICIO: 
•        Cafetera para estación de servicio y café del público o colaboradores.
•        Horno Microondas para almuerzos de funcionarios.
MOBILIARIO LOGÍSTICO:
•        2 escritorios modernos con corriente 110V.
•        2 sillas para asesores y/o funcionarios.
•        4 sillas para atención al público.
EQUIPOS TÉCNICOS DEL CAMIÓN:
•        Sistema de sonido profesional de alta tecnología amplificado para perifoneo rodante y actividades públicas para 500 personas en campo abierto.
•        Sistema de micrófonos alámbricos e inalámbricos para eventos.
•        Sistema de Bluetooth y conexión de internet para pistas musicales.
•        Televisor interno para videos e imágenes institucionales o para actividades de BTL.
•        Antena con señal TDT para el televisor de la móvil.
•        Tarima hidráulica con techo en vidrio.
•        Planta eléctrica de 5 KVA.
•        Aire acondicionado de 12.000 BTU.
•        Equipos mimetizados e instalados en la carrocería interna del vehículo.
PÓLIZAS Y SEGUROS:
•        Seguro de rodamiento incluidos en la propuesta.
•        Daños a terceros y póliza todo riesgo incluidos en la propuesta.
ADECUACIÓN:
•        Branding interno y externo 360 diseñado por comunicaciones de la Alcaldía Local de Engativá.
•        Limpieza: Limpieza diaria interna y externa de toda la móvil."
NOTA 1: VEHÍCULO: Debe contar con Documentación y cumplimiento, Licencia de tránsito vigente, Seguro Obligatorio de Accidentes de Tránsito (SOAT) y Certificado de Revisión Técnico-Mecánica y de Gases.
CONDUCTORES: Conductor principal: Profesional con más de 15 años de experiencia y licencia C2 vigente y Conductor relevo: Conductor con 15 años de experiencia y licencia C2 vigente.
NOTA 2: El valor orfertado debe ir incluido el combustible por el tiempo requerido.</t>
  </si>
  <si>
    <t>ESTÍMULOS PARA AGRUPACIONES LOCALES DE DANZA</t>
  </si>
  <si>
    <t>$1'000.000 (valor no ofertable)
Agrupación de danza local seleccionada mediante convocatoria abierta. Mínimo 80% de integrantes residentes en Engativá.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</si>
  <si>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LOCALES DE MÚSICA</t>
  </si>
  <si>
    <t>$2'000.000 (valor no ofertable)
Agrupación musical local seleccionada mediante convocatoria abierta. Repertorio adecuado para contexto navideño comunitario.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</si>
  <si>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LOCALES DE TEATRO</t>
  </si>
  <si>
    <t>$1'000.000 (valor no ofertable)
Agrupación de teatro local seleccionada mediante convocatoria abierta. Propuesta adaptable a espacios abiertos. Incluye rider técnico.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</si>
  <si>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EMPRENDEDORES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</si>
  <si>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Cada estímulo será de $100.000 para cada emprendimiento. Cada día se contará con 10 emprendedores.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</si>
  <si>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CARPAS PARA EMPENDIMIENTOS</t>
  </si>
  <si>
    <t>Alquiler de 15 carpas de 3x3 m con laterales. Cada una equipada con focos LED, 2 mesas plásticas, 2 sillas plásticas y toma corriente. Incluye transporte, montaje y desmontaje.</t>
  </si>
  <si>
    <t>Alquiler de 2 carpas de 4x4 m con cuatro laterales, focos LED y toma corriente, destinadas al uso exclusivo de los artistas: una (1) para preparación y vestuario, y una (1) como zona de descanso e hidratación. Cada carpa incluye sillas y mesas. Incluye transporte, montaje y desmontaje.</t>
  </si>
  <si>
    <t>Refrigerio navideño compuesto por: 2 buñuelos, 1 porción de natilla y 1 avena. Productos higiénicamente empacados en empaque individual conforme a las normas sanitarias vigentes. Entrega a un mínimo de 250 personas por jornada.</t>
  </si>
  <si>
    <t>Botellas de agua PET de 600 ml sin gas, destinadas a los artistas y al personal logístico y técnico del evento. Incluye transporte de entrega.</t>
  </si>
  <si>
    <t>DECORACIÓN NAVIDEÑA</t>
  </si>
  <si>
    <t xml:space="preserve">Bolsa presupuestal destinada a la adquisición de elementos  para decoración navideña del espacio del evento: guirnaldas, luces LED, figuras y adornos tradicionales de temporada. Propuesta aprobada por el Comité Técnico. 
Nota: La decoración adquirida será usada para todos los días de los eventos (8); el operador debe garantizar el traslado de los elementos a los diferentes lugares de los eventos (8), adicionalmente su montaje y desmontaje.  </t>
  </si>
  <si>
    <t>Diseño e impresión de afiches para la divulgación de las novenas. Aprobados por la Oficina de Comunicaciones de la Alcaldía Local. Tamaño tabloide (27,9 x 43,2 cm), papel couché brillante, full color.</t>
  </si>
  <si>
    <t xml:space="preserve">Día </t>
  </si>
  <si>
    <t xml:space="preserve">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 </t>
  </si>
  <si>
    <t>Plan de contingencia para espacio abierto conforme al Decreto Distrital 599 de 2013. Incluye protocolo de control de aforo, gestión de accesos y medidas de seguridad por jornada.</t>
  </si>
  <si>
    <t>TOTAL DE EVENTOS PROMEDIO</t>
  </si>
  <si>
    <t>TOTAL DE EVENTOS MEDIANA</t>
  </si>
  <si>
    <t>PROYECTO 2381 INDUSTRIA CULTURAL PARA ENGATIVÁ
META 62: 23811 - Intervenir 1 Equipamiento(s) culturales con acciones de construcción, adecuación y/o dotación.
53873 – TLL Adecuación y dotación de la Biblioteca Pública de Las Ferias (Cra 69J # 73 – 29)</t>
  </si>
  <si>
    <t>SILLA ADULTO PLEGABLE</t>
  </si>
  <si>
    <t>Silla para adulto plegable con asiento y respaldo en Polipropileno de alta densidad Estructura: Tubo de acero. Calibre de la lámina metálica: Calibre 18 para la estructura metálica. Pintura: Pintura electrostática en polvo, resistente al desgaste y rayones. Bloqueo de silla: Mecanismos de bloqueo para asegurar la silla en posición abierta.COMPRA</t>
  </si>
  <si>
    <t>ALKOMPRAR</t>
  </si>
  <si>
    <t>ALKOSTO</t>
  </si>
  <si>
    <t xml:space="preserve">PRICESMART </t>
  </si>
  <si>
    <t>MESA PLEGABLE</t>
  </si>
  <si>
    <t xml:space="preserve">Mesa de plástico plegable banquetera. Medidas según la mesa abierta: 70 cm de ancho; 180 cm de largo; 3.5 cm de grosor y 74 cm de alto.  </t>
  </si>
  <si>
    <t>SHADDI EVENTS</t>
  </si>
  <si>
    <t>CAJA FORZADA</t>
  </si>
  <si>
    <t>DYR PRODUCCIONES</t>
  </si>
  <si>
    <t>GABINETE AEREO METÁLICO CON ENCHAPE</t>
  </si>
  <si>
    <t>Gabinete aéreo metálico con enchape, fabricado en lámina Cold Rolled (calibres 22-24) con acabado en pintura electrostática y puertas en fórmica o MDF.  Incorpora cerraduras de seguridad. Medidas: 80 cm de ancho; 31 cm de largo; 33 cm de alto. Con resistencia para 5 Kg.</t>
  </si>
  <si>
    <t>MAGRU SAS</t>
  </si>
  <si>
    <t>METALDISEÑOS</t>
  </si>
  <si>
    <t>CORTINA BLACKOUT</t>
  </si>
  <si>
    <t xml:space="preserve">Cortina tipo blackout opaca. Material: Tela técnica 100% poliéster con recubrimiento térmico (PVC o acrílico). Medidas: según requerimiento (alto y ancho personalizables). Color: a elección del referente de la biblioteca pública. Bloqueo de luz: 100% opacidad. Uso: Interior. Mantenimiento: Fácil (limpieza con paño húmedo, no lavable a máquina). </t>
  </si>
  <si>
    <t>SILLA PARA ADULTO</t>
  </si>
  <si>
    <t>Silla para oficina con las siguientes características: espalda larga; tela micro perforada tipo malla; marco en polipropileno negro. Dimensiones: 46 cm de ancho x 46 cm de alto. Apoyo lumbar ajustable en altura y profundidad. Asiento: Tela micro perforada tipo malla. Componentes: Parte interna en madera (triplex 12 mm). Espuma: Poliuretano. Espesor: 50 mm. Dimensiones: 48 cm de ancho x 51 cm de profundidad. Cabecero en tela micro perforada tipo malla, ajustable en altura y basculante. Brazos: Ajustables en altura en polipropileno color negro. Disponible opción de brazos 3D. Movimiento basculante en espalda cuando no está en posición fija. Cilindro neumático: Ajuste de altura del asiento con elevación de gas. Material: Acero. Color: Negro. COMPRA</t>
  </si>
  <si>
    <t>RELAN</t>
  </si>
  <si>
    <t>SIILLA COM</t>
  </si>
  <si>
    <t xml:space="preserve">TRANCA LIBROS </t>
  </si>
  <si>
    <t xml:space="preserve">Trancalibro metálico mediano. Fabricado en lámina de coll rolled calibre 18. Pintura negra electrostática. Medidas: 15 cm x 15 cms  </t>
  </si>
  <si>
    <t>CARTELERA ACRÍLICA</t>
  </si>
  <si>
    <t xml:space="preserve">Una cartelera de acrílico transparente de tamaño de 110 cm de ancho x 85 cm de alto (medidas totales de borde a borde) con capacidad para 8 hojas tamaño carta. </t>
  </si>
  <si>
    <t xml:space="preserve">DIACRILICOS </t>
  </si>
  <si>
    <t xml:space="preserve">IMMVICORP SAS </t>
  </si>
  <si>
    <t>COMERCIALIZADORA ACRIABASTECE SAS</t>
  </si>
  <si>
    <t>BUZÓN PSQR</t>
  </si>
  <si>
    <t>Buzón de sugerencias. Urna de acrílico de poliestireno transparente con las siguientes medidas: 20 x 16 x 12 cm, 7,86 x 6,29 x 4,72 pulgadas.</t>
  </si>
  <si>
    <t>ACRILICOS Y AVISOS S&amp;F</t>
  </si>
  <si>
    <t>CAJA DE HERRAMIENTAS BÁSICA</t>
  </si>
  <si>
    <t xml:space="preserve">Kit de herramientas con las siguientes piezas: 
28 Dados: (12) 4 a 13 mm, (2) 14 y 16 mm, (12) 5/32" a 1/2", (2) 9/16" y 5/8"
1 Dado para puntas
1 Matraca
1 Disco giratorio
12 Puntas de cruz: PH0 a PH3
12 Puntas allen: 3/32" a 1/4"
8 Puntas planas: 5/32" a 9/32"
8 Puntas cuadradas: S1 a S3
14 Puntas torx: T10 a T40
6 Puntas pozidriv: PZ1 a PZ3
1 Desarmador
2 Desarmadores de cruz para joyero: PH0 y PH1
4 Desarmadores planos para joyero: 1.4 a 3 mm
1 Adaptador 3/8" x 1/4"
1 Extensión: 3"
22 Llaves allen: (11) 1.27 a 6 mm, (11) 1/20" a 1/4"
5 Llaves combinadas: 1/4" a 1/2"
1 Pinza de electricista: 6" (150 mm)
1 Pinza de punta y corte: 6" (150 mm)
1 Martillo uña curva: 7 oz
1 Flexómetro: 3 m
1 Cutter: 6" (150 mm)
1 Juego de pinzas de fijación
</t>
  </si>
  <si>
    <t xml:space="preserve">COT VARIAS </t>
  </si>
  <si>
    <t>BLOCK DE PAPEL IRIS</t>
  </si>
  <si>
    <t>Block iris de 40 hojas en tamaño carta y colores surtidos cada uno.</t>
  </si>
  <si>
    <t>exito</t>
  </si>
  <si>
    <t>papyser</t>
  </si>
  <si>
    <t>garabatos company sas</t>
  </si>
  <si>
    <t>BLOCK DE PAPEL ORIGAMI</t>
  </si>
  <si>
    <t>Block de papel origami de 50 hojas en tamaño 15x15 cm, gramaje de 70 g/m² y diseños variados cada uno.</t>
  </si>
  <si>
    <t>garabatos companusas</t>
  </si>
  <si>
    <t>marin papeleria</t>
  </si>
  <si>
    <t>papeleria cervantes</t>
  </si>
  <si>
    <t>PINTURAS ACRÍLICAS</t>
  </si>
  <si>
    <t>Pinturas acrílicas a base de agua. Colores variados. Presentación en 60 cc.</t>
  </si>
  <si>
    <t>FUSIONCOLOR</t>
  </si>
  <si>
    <t>JONAN</t>
  </si>
  <si>
    <t>LA GRAN PAPELERIA</t>
  </si>
  <si>
    <t>CARTULINAS IRIS</t>
  </si>
  <si>
    <t>Paquete de cartulina iris tamaño 1/8, colores variados con gramaje de 65 g a 240 g.</t>
  </si>
  <si>
    <t>PANAMERICANA</t>
  </si>
  <si>
    <t>EXITO</t>
  </si>
  <si>
    <t>CARTULINAS FLUORESCENTES</t>
  </si>
  <si>
    <t>Paquete de cartulina fluorescente tamaño 1/8, colores variados con gramaje de 65 g a 240 g.</t>
  </si>
  <si>
    <t>PLASTILINA DE COLORES.</t>
  </si>
  <si>
    <t>Plastilina escolar, no tóxica, de colores surtidos, 150 g.</t>
  </si>
  <si>
    <t>GARABATOS COMPANY</t>
  </si>
  <si>
    <t>COMERCIAL PAPAELERE</t>
  </si>
  <si>
    <t>PORCELANICRÓN DE COLORES.</t>
  </si>
  <si>
    <t>Porcelanicrón escolar, no tóxico, de colores surtidos, 500 g.</t>
  </si>
  <si>
    <t>CONSULTORES DE ESTRATEGIAS</t>
  </si>
  <si>
    <t>CELESTE</t>
  </si>
  <si>
    <t>PORTISUR</t>
  </si>
  <si>
    <t>CARTULINA OPALINA</t>
  </si>
  <si>
    <t>Paquete de cartulina opalina tamaño 1/8, colores fluorescentes variados con gramaje de 220 g.</t>
  </si>
  <si>
    <t>LA CALI</t>
  </si>
  <si>
    <t>MERCACOLEGIOS</t>
  </si>
  <si>
    <t>CAJA DE COLORES</t>
  </si>
  <si>
    <t>Caja x 12 lápices largos en madera de colores surtidos, intensos, suaves</t>
  </si>
  <si>
    <t>PUNTOS COLOMBIA</t>
  </si>
  <si>
    <t>JUGANDO Y EDUCANDO</t>
  </si>
  <si>
    <t>IRREAL</t>
  </si>
  <si>
    <t>TIJERAS PARA ZURDOS</t>
  </si>
  <si>
    <t>Tijeras para zurdos de acero inoxidable de oficina. Seguridad simple.</t>
  </si>
  <si>
    <t>LAMINA</t>
  </si>
  <si>
    <t>PEGANTE PARA PAPEL</t>
  </si>
  <si>
    <t>Pegante escolar líquido en presentación de 1 kilo.</t>
  </si>
  <si>
    <t>COMERCIALPAPELERA</t>
  </si>
  <si>
    <t>KAIZENCOLOMBIA</t>
  </si>
  <si>
    <t>SILICONA LÍQUIDA</t>
  </si>
  <si>
    <t>Silicona escolar líquida en presentación de 50 ML.</t>
  </si>
  <si>
    <t>TAURO</t>
  </si>
  <si>
    <t>PAPELERIA MODELO</t>
  </si>
  <si>
    <t>JUMBO</t>
  </si>
  <si>
    <t>PISTOLA DE SILICONA DELGADA</t>
  </si>
  <si>
    <t>Pistola de silicona pequeña. Voltaje de trabajo: 120V AC. Potencia: 10W. Compatible con barras de silicona de 7mm de grosor.</t>
  </si>
  <si>
    <t xml:space="preserve">PAPELERIA ONLINE </t>
  </si>
  <si>
    <t>ZAMUELECTRONICA</t>
  </si>
  <si>
    <t>PISTOLA DE SILICONA GRUESA</t>
  </si>
  <si>
    <t>Pistola de silicona pequeña. Voltaje de trabajo: 120V AC. Potencia: 40W. Compatible con barras de silicona de 11 mm de grosor.</t>
  </si>
  <si>
    <t>PRODUCTOS Y SUMINISTROS</t>
  </si>
  <si>
    <t>CASA ANDINA</t>
  </si>
  <si>
    <t>BARRA DE SILICONA DELGADA.</t>
  </si>
  <si>
    <t>Barra de silicona de 7mm de grosor. Paquete x 60</t>
  </si>
  <si>
    <t>paquetes</t>
  </si>
  <si>
    <t>BARRA DE SILICONA GRUESA</t>
  </si>
  <si>
    <t>Barra de silicona de 11 mm de grosor.</t>
  </si>
  <si>
    <t>LA GRANPAPELERIA</t>
  </si>
  <si>
    <t>ELECTRICOS MONTES</t>
  </si>
  <si>
    <t>FERRETRONICA</t>
  </si>
  <si>
    <t>CHELINES</t>
  </si>
  <si>
    <t>Paquete de 100 piezas de chelines o limpiapipas de colores surtidos.</t>
  </si>
  <si>
    <t>GARABATOS COMPANY SAS</t>
  </si>
  <si>
    <t>GRAN CENTRAL SAN VICTORINO</t>
  </si>
  <si>
    <t>COSER EN LINEA</t>
  </si>
  <si>
    <t>PIRÓGRAFO ELÉCTRICO</t>
  </si>
  <si>
    <t>Pirógrafo eléctrico con voltaje 110 V, frecuencia de 50 Hz, compatible con papel, cuero y madera, 10 puntas, 3 temperaturas regulables.</t>
  </si>
  <si>
    <t xml:space="preserve">MI LUPITA </t>
  </si>
  <si>
    <t>MÁQUINA TROQUELADORA</t>
  </si>
  <si>
    <t>Máquina troqueladora para troquelado y estampado manual A4. Debe incluir: 2 piezas de troqueles, 1 juego de sellos transparentes, 2 piezas de carpeta de estampado (tamaño A4 y 5*7 pulgadas), 2 piezas de placa de 3 mm, 1 pieza de placa de 2 mm, 1 pieza de placa de 13 mm.</t>
  </si>
  <si>
    <t xml:space="preserve">SIMARO </t>
  </si>
  <si>
    <t>ENCARGUELO</t>
  </si>
  <si>
    <t>TROQUELES DE CORTE</t>
  </si>
  <si>
    <t>Paquete de troqueles de corte compatibles con la máquina troqueladora. Plantillas de diseños surtidos (alfabeto, números, formas geométricas, formas florales) de metal (acero al carbono) diseñadas para cortar, estampar o repujar en papel, cartulina, vitela y otros materiales finos.</t>
  </si>
  <si>
    <t>ZHIRAF</t>
  </si>
  <si>
    <t>MARCADORES DOBLE PUNTA</t>
  </si>
  <si>
    <t>Un kit de marcadores doble punta, incluye 262 plumones de colores surtidos, tinta a base de alcohol, seca rápido y un estuche.</t>
  </si>
  <si>
    <t>VINILOS DE PVC</t>
  </si>
  <si>
    <t>Vinilos resistentes al agua a base de PVC. Resistentes a la humedad en presentación de 3785 ml. Colores surtidos.</t>
  </si>
  <si>
    <t xml:space="preserve">Unidad </t>
  </si>
  <si>
    <t>SOELCO</t>
  </si>
  <si>
    <t>BARNIZ ACRÍLICO</t>
  </si>
  <si>
    <t>Barniz acrílico transparente brillante en presentación de 200 CC.</t>
  </si>
  <si>
    <t>papeleria editorial zapata</t>
  </si>
  <si>
    <t xml:space="preserve">SON GENIALES </t>
  </si>
  <si>
    <t>PLANTILLA DE PULSERA</t>
  </si>
  <si>
    <t>Plantilla de madera ajustable para hacer pulseras, con clip de paracord y marco en forma de “U”.</t>
  </si>
  <si>
    <t>LA MINA</t>
  </si>
  <si>
    <t>CAROL SHOP</t>
  </si>
  <si>
    <t>SANTORINI BISUTERIA</t>
  </si>
  <si>
    <t>PIEDRAS PARA BISUTERÍA</t>
  </si>
  <si>
    <t>Paquete de 500 piedras acrílicas con agujeros en tamaño amaños de 4, 6, 8, 10, 12 mm, formas y colores surtidos.</t>
  </si>
  <si>
    <t>HILO ENCERADO</t>
  </si>
  <si>
    <t>Rollo x 90 mt de hilo encerado de 1 mm de grosos para elaboración de pulseras. Colores surtidos.</t>
  </si>
  <si>
    <t xml:space="preserve">PERLAS Y HERRAJES </t>
  </si>
  <si>
    <t>NYLON TRANSPARENTE</t>
  </si>
  <si>
    <t>Rollo x 90 mt de nylon transparente, elástico y de 0.7 mm de grosor.</t>
  </si>
  <si>
    <t>LILI BISUTERIA</t>
  </si>
  <si>
    <t xml:space="preserve">PELGY TE INSPIRA </t>
  </si>
  <si>
    <t>AGUJAS PARA BISUTERÍA</t>
  </si>
  <si>
    <t>Set de 7 agujas de largos variados 8.2, 8.4, 10.3, 13, 13.2, y 13.9 cm para bisutería.</t>
  </si>
  <si>
    <t>LANA PARA AMIGURUMI</t>
  </si>
  <si>
    <t>Ovillo de lana 80% algodón, 100 gramos, 180 metros para aguja de crochet de 2-5 mm. Colores surtidos.</t>
  </si>
  <si>
    <t>MACA  BORDADOS</t>
  </si>
  <si>
    <t>LANA PARA BUFANDAS</t>
  </si>
  <si>
    <t>Ovillo de lana 100% acrílico, 100 gramos, 65 metros para 2 agujas de 9 mm. Colores surtidos.</t>
  </si>
  <si>
    <t>DESENLACE</t>
  </si>
  <si>
    <t>ENTRELANAS</t>
  </si>
  <si>
    <t>HILOS PARA COSER</t>
  </si>
  <si>
    <t>Set de hilos de coser de 39 de colores. Cada bobina tiene 182.88 mt. Fibra de poliéster.</t>
  </si>
  <si>
    <t>BARNIZ VITRAL</t>
  </si>
  <si>
    <t>Barniz vitral en presentación de 37 ml. Colores surtidos.</t>
  </si>
  <si>
    <t>MOUSE PARA ZURDOS</t>
  </si>
  <si>
    <t>Mouse inalámbrico de 2,4G para zurdos, ergonómico, Vertical, para juegos de ordenador, óptico USB, 1600 DPI, 5D, para PC y portátil.</t>
  </si>
  <si>
    <t>KTRONIX</t>
  </si>
  <si>
    <t>CONSOLA DE VIDEOJUEGOS</t>
  </si>
  <si>
    <t>Consola de sobremesa de alto rendimiento, caracterizada por un SSD de ultra alta velocidad de 825 GB (o 1TB); GPU AMD RDNA 2 capaz de Ray Tracing y resolución 4K/8K; control DualSense con retroalimentación háptica avanzada. Con soporte de tasas de refresco de hasta 120 Hz, audio 3D y retrocompatible con juegos de PS4. Procesador (CPU): AMD Ryzen™ Zen 2 de 8 núcleos/16 hilos, frecuencia variable hasta 3.5GHz. Gráficos (GPU): Motor basado en AMD Radeon™ RDNA 2, aceleración de Ray Tracing y frecuencia variable hasta 2.23 GHz (10.3 teraflops). Memoria (RAM): 16GB GDDR6 con ancho de banda de 448GB/s. Almacenamiento: SSD de 825 GB (modelo original) con velocidad de lectura de 5.5GB/s, ampliable mediante slot NVMe SSD. Video: Soporte para televisores 4K y 8K, VRR (Variable Refresh Rate) a través de HDMI 2.1. Audio: Motor "Tempest" 3D AudioTech para sonido inmersivo. Debe incluir 2 controles compatibles con la consola.</t>
  </si>
  <si>
    <t>TECHINN</t>
  </si>
  <si>
    <t>AUDIOCOLOR</t>
  </si>
  <si>
    <t>COLOMBIAN UP</t>
  </si>
  <si>
    <t>JUEGO DE MESA “POLILLA TRAMPOSA”</t>
  </si>
  <si>
    <t>Juego para el desarrollo de la astucia y la estrategia. El juego incluye: 
- 20 cartas de acción
- 43 cartas de números
- 8 cartas de polillas tramposas
- 1 chinche guardián
- Reglamento</t>
  </si>
  <si>
    <t>TOKEN</t>
  </si>
  <si>
    <t>LA CASA DEL LIBRO</t>
  </si>
  <si>
    <t>JUEGO DE MESA “EXPLODING KITTENS”</t>
  </si>
  <si>
    <t>Juego para el desarrollo de la astucia y la estrategia. El juego incluye: 
-56 cartas 
-Manual de instrucciones</t>
  </si>
  <si>
    <t>EL MUNDO DEL MEEPLE</t>
  </si>
  <si>
    <t>SONGENIALES</t>
  </si>
  <si>
    <t>JUEGO DE MESA ABUELA CO. CON MÁS SABOR.</t>
  </si>
  <si>
    <t>Juego de velocidad para el acercamiento a platos típicos colombianos. 
El juego incluye:
-1 manual
-4 cartas de estufa
-1 carta de estufa comunitaria 
-3 cartas de orden de cocina 
-4 cartas de ayuda 
-85 cartas de ingredientes (60 ingredientes básicos,17 ingredientes especiales,8 ingredientes de interacción) 
-23 cartas de procesados 
-12 cartas doble</t>
  </si>
  <si>
    <t>URBAN POP</t>
  </si>
  <si>
    <t>JUEGO DE MESA “ART SOCIETY”</t>
  </si>
  <si>
    <t>Juego de estrategia para el acercamiento a la historia del arte. 
El juego incluye:
-1 tablero de museo
-4 tableros de jugador (galerías)
-116 losetas de cuadros
-108 losetas de decoración
-80 cartas de puja
-4 cartas de ayuda
-fichas de puntuación/prestigio</t>
  </si>
  <si>
    <t>PALO DE AGUA</t>
  </si>
  <si>
    <t>Palo de lluvia grande hecho en madera de guadua u otra madera de alta resistencia. Diámetro: 5 cm. Largo: 30 cm.</t>
  </si>
  <si>
    <t xml:space="preserve">mafeco </t>
  </si>
  <si>
    <t xml:space="preserve">Sysdidacticos </t>
  </si>
  <si>
    <t>uraniasas</t>
  </si>
  <si>
    <t>TAMBOR DE TRUENO</t>
  </si>
  <si>
    <t>Tambor de resorte de 4 pulgadas, tambor de PVC, cavidad, tubo de trueno, instrumento de efecto sonoro, tambor de imitación, instrumento de percusión.</t>
  </si>
  <si>
    <t>MAQUILLAJE ARTÍSTICO</t>
  </si>
  <si>
    <t>Paleta de maquillaje artístico de 42 colores resistentes al agua,10 pinceles, 2 aplicadores de esponja y un sellador de maquillaje.</t>
  </si>
  <si>
    <t>COLECCION MANGA JUJUTSU KAISEN</t>
  </si>
  <si>
    <t>Serie escrita de 30 volúmenes recopilatorios.</t>
  </si>
  <si>
    <t>PANINI</t>
  </si>
  <si>
    <t>COLECCIÓN NOVELA GRAFICA SANDMAN</t>
  </si>
  <si>
    <t xml:space="preserve">Saga completa de la novela gráfica de Sandman. Tapa dura. </t>
  </si>
  <si>
    <t>BESTIARIO MUYSCA</t>
  </si>
  <si>
    <t>Libro Físico. Tapa blanda. Dimensiones: 24cm x 17cm</t>
  </si>
  <si>
    <t>HERBARIO MUYSCA</t>
  </si>
  <si>
    <t>Libro de botánica tradicional. Libro físico. Tapa blanda. Dimensiones: 24cm x 17cm</t>
  </si>
  <si>
    <t>LAKAO. EL DESPERTAR DE LOS ESPANTOS.</t>
  </si>
  <si>
    <t>Libro físico. Tapa blanda. Dimensiones: 24cm x 17cm</t>
  </si>
  <si>
    <t>INICIATIVAS PRIORIZADAS
PRESUPUESTOS PARTICIPATIVOS 2025</t>
  </si>
  <si>
    <t xml:space="preserve">PROYECTO 2339 ENGATIVÁ ACTIVA EL ARTE Y LA CULTURA
META 40:  23393 Beneficiar 5 organizaciones artísticas y culturales con elementos entregados. </t>
  </si>
  <si>
    <t>EQUIPO DE JUZGAMIENTO Y ACOMPAÑAMIENTO ESPECIALIZADO: COMPONENTE I</t>
  </si>
  <si>
    <r>
      <t>Experto (a) en gestión cultural y artes
Profesional en áreas de las artes, gestión cultural o licenciaturas afines.</t>
    </r>
    <r>
      <rPr>
        <sz val="12"/>
        <rFont val="Calibri"/>
        <family val="2"/>
      </rPr>
      <t xml:space="preserve">
EXPERIENCIA PROFESIONAL: Contar con experiencia mínima de 5 años certificados a partir de la fecha de grado en el acompañamiento y evaluación de procesos de formación artística con enfoque comunitario y social y con conocimiento de las dinámicas territoriales de la localidad de Engativá.  </t>
    </r>
    <r>
      <rPr>
        <b/>
        <sz val="12"/>
        <rFont val="Calibri"/>
        <family val="2"/>
      </rPr>
      <t xml:space="preserve">
Experto (a) en enfoque social, género y territorio.</t>
    </r>
    <r>
      <rPr>
        <sz val="12"/>
        <rFont val="Calibri"/>
        <family val="2"/>
      </rPr>
      <t xml:space="preserve">
Profesional en ciencias sociales (sociología, trabajo social o áreas afines).
EXPERIENCIA PROFESIONAL: Contar con experiencia mínima de 5 años certificados a partir de la fecha de grado en procesos de participación ciudadana, enfoques diferenciales y trabajo con comunidad preferiblemente del sector artístico y cultural.</t>
    </r>
  </si>
  <si>
    <t>ITEM NO OFERTABLE</t>
  </si>
  <si>
    <t>INCENTIVOS EN ESPECIE PARA LAS ORGANIZACIONES ARTÍSTICA SELECCIONADAS</t>
  </si>
  <si>
    <t>Los incentivos en especie para las cinco (5) organizaciones seleccionadas se ejecutarán mediante una bolsa agotable e individual por beneficiario, lo que constituye un tope máximo de gasto y no una obligación de ejecución total.
Estos recursos se destinarán únicamente a la adquisición y entrega de los elementos relacionados en el anexo técnico, según las necesidades de cada organización. La ejecución estará sujeta a la validación del operador, la aprobación de la supervisión y la disponibilidad presupuestal, garantizando la transparencia y correcta destinación de los recursos públicos.</t>
  </si>
  <si>
    <t xml:space="preserve">PROYECTO 2376
META 40:  23761 Financiar 40 proyectos del sector cultural y creativo. </t>
  </si>
  <si>
    <t>EQUIPO DE JUZGAMIENTO Y ACOMPAÑAMIENTO ESPECIALIZADO: COMPONENTE II</t>
  </si>
  <si>
    <r>
      <t>Experto (a) en gestión cultural y artes
Profesional en áreas de las artes, gestión cultural o licenciaturas afines.</t>
    </r>
    <r>
      <rPr>
        <sz val="12"/>
        <rFont val="Calibri"/>
        <family val="2"/>
      </rPr>
      <t xml:space="preserve">
EXPERIENCIA PROFESIONAL: Contar con experiencia mínima de 5 años certificados a partir de la fecha de grado en el acompañamiento y evaluación de procesos de formación artística con enfoque comunitario y social y con conocimiento de las dinámicas territoriales de la localidad de Engativá.  </t>
    </r>
    <r>
      <rPr>
        <b/>
        <sz val="12"/>
        <rFont val="Calibri"/>
        <family val="2"/>
      </rPr>
      <t xml:space="preserve">
Experto (a) en emprendimiento creativo y sostenibilidad
Profesional en administración de empresas, economía, marketing o áreas afines, con especialidad en economía creativa o industrias culturales.</t>
    </r>
    <r>
      <rPr>
        <sz val="12"/>
        <rFont val="Calibri"/>
        <family val="2"/>
      </rPr>
      <t xml:space="preserve">
EXPERIENCIA PROFESIONAL: Contar con experiencia mínima de 5 años certificados a partir de la fecha de grado en el fortalecimiento de modelos de negocio y comercialización de bienes y servicios culturales.</t>
    </r>
  </si>
  <si>
    <t>BAÑOS PORTÁTILES</t>
  </si>
  <si>
    <t>Alquiler de baños portátiles debidamente aseados y dotado con implementos de aseo necesarios para uso, identificados para su uso por hombres y mujeres: 2 baños para hombres, 2 baños para mujeres, 1 baños para personas con discapacidad.</t>
  </si>
  <si>
    <t>BAMACOL</t>
  </si>
  <si>
    <t>CONTICONTRICCIONY INGENIERIA</t>
  </si>
  <si>
    <t>BAÑOMOVIL</t>
  </si>
  <si>
    <t>Alquiler de tarima con carpa tipo hangar a dos aguas en estructura truss con anclaje o contrapeso. Telas ignífugas blackout negras en fondo y dos laterales. Dimensiones: 6x6 m x 1,5 m de alto. Incluye faldón, escalera lateral y barandales de seguridad. Concepto técnico de estabilidad requerido previo al montaje. Incluye transporte, montaje, operación y desmontaje.</t>
  </si>
  <si>
    <t>CARPAS PARA STANDS DE EMPRENDEDORES</t>
  </si>
  <si>
    <t>Alquiler de quince (10) carpas de 3x3 m, cada una equipada con focos LED y toma corriente, destinadas a los emprendedores locales del sector cultural, artesanal y gastronómico. Incluye transporte, montaje y desmontaje.</t>
  </si>
  <si>
    <t>TARIMA CON CARPA Y PASARELA</t>
  </si>
  <si>
    <t>Alquiler de tarima con carpa; Incluye transporte, montaje y desmontaje. Techo: Tipo hangar a dos (2) aguas montado en estructura truss con anclaje o contrapeso. Debe tener telas indlfugas blackout negras para bloquear por completo el fondo y dos (2) laterales. Dimensión: 6 X 6 m X (1.5 m. de alto). Pasarela: mínimo de 1, 20 mt de ancho, entre 3 mt a 6 mt de largo, la altura debe ser la misma de la tarima. Incluye: techo, faldón tarima principal, faldón pasarela y escalera lateral y barandas de seguridad.</t>
  </si>
  <si>
    <t>TARIMA PRINCIPAL CON TECHO Y PASARELA</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</si>
  <si>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 y pasarela.</t>
  </si>
  <si>
    <t>SONIDO PROFESIONAL</t>
  </si>
  <si>
    <t>Servicio integral de sonido para evento público: suministro, transporte, instalación, operación y desmontaje. Incluye consola digital mínimo 24 canales, PA (cabinas principales) acorde a aforo, subwoofers, monitores de tarima, microfonía inalámbrica y cableada (mínimo 4 inalámbricos + 6 cableados), pies de micrófono, DI boxes, cableado balanceado, snake, accesorios, pruebas de sonido y operación durante toda la jornada. Debe incluir ingeniero de sonido y técnico(s) de apoyo.</t>
  </si>
  <si>
    <t>INCENTIVO PARA LA FINANCIACIÓN DE ACTORES ARTÍSTICOS Y CULTURALES</t>
  </si>
  <si>
    <t>Los recursos para los diez (10) actores seleccionados se otorgarán mediante un bono por proyecto. Los bonos se destinarán únicamente a la adquisición de los elementos relacionados en el anexo técnico y deben alinearse con las metas del Plan de Desarrollo Local, bajo las condiciones que establezca el Comité Técnico.
Cualquier desvío de los recursos o incumplimiento de los fines propuestos dará lugar a la suspensión de los desembolsos, reintegro de los fondos y las sanciones legales correspondientes.</t>
  </si>
  <si>
    <t xml:space="preserve">PROYECTO 2339:
 META: CAPACITAR 200 PERSONAS EN LOS CAMPOS ARTÍSTICOS, INTERCULTURALES, CULTURALES Y/O PATRIMONIALES. </t>
  </si>
  <si>
    <t>BOLSA A MONTO AGOTABLE PARA LAS INICIATIVAS DE P.P N° 45282 - 51666 - 45279</t>
  </si>
  <si>
    <t>Bolsa de Monto agotable:
Se contempla una bolsa económica destinada a adquirir aquellos elementos, insumos o requerimientos que resulten necesarios para garantizar el adecuado desarrollo de la actividad. La utilización de estos recursos se realizará previa justificación técnica y aprobación  del Comité Técnico  y de la supervisión  correspondiente, garantizando transparencia y trazabilidad en su ejecución. Elementos tales como:
Faldones de ensayo para danza tipo Folklor color blanco en talla unica;  
Parlante minimo de 8  Watts, con conectividad Bluetooth de minimo 10 mts, Batería Recargable Interna, con Entrada de Micrófono, Entrada Tarjeta Micro SD, Puerto Auxiliar de Audio, Puerto USB  
Micrófono inalámbrico de diadema (sonido de alta calidad con cancelación de ruido, batería de larga duración, fácil de emparejar con otros dispositivos, dimensiones: 15 x 5 x 2 cm, peso: 150 g, plástico ABS de alta resistencia, frecuencia de operación: 2.4 GHz, que incluya accesorios como: cargador USB, adaptador de audio 3.5mm, manual de usuario y funda de transporte)
Pintura acrílica
Acuarelas
Blocs de dibujo
Cajas de lápices de dibujo (diferente grosor)
Canvas para pintura
Óleos
Temperas antialérgicas
Trementina
Aceite de linaza
Bastidores
Espátulas 
Pinceles punta redonda
Pinceles punta plana
Cinta de enmascarar
Recipientes de plástico de diferentes tamaños
Caja de marcadores de colores
Delantales plásticos para adultos
Rollo de papel Kraft 
Rollo de papel periódico 
Resma de papel tamaño oficio
Maquillaje corporal antialérgico
Pañitos húmedos
Jabón de manos
Toallas de manos
Trusas enterizas negras de algodón
Trusas enterizas blancas de algodón
Video beam
Agendas personalizadas
Mochilas personalizadas
Cartuchera que incluya: lápices, borradores, tajalápices, esferos, corrector, resaltadores, caja de colores. 
Indumentaria para teatro: pelucas, coronas, gafas, collares, tutús, batas blancas, narices de payaso, máscaras de animales y otros personajes
Cajas de plastilinas de colores
Arcilla de secado al aire
Slime de colores
Refrigerios compuestos por: un producto fresco de panadería (mantecada, pastel de pollo, torta, etc), una bebida de mínimo 250ml (jugo, bebida láctea o malta) y una fruta fresca. Debe incluir transporte de entrega a donde se requiera.
Guitarra eléctrica con amplificador de 5W: Cuerpo de madera maciza laqueada con formato clásico y liviano; mástil de arce y diapasón de madera de alta densidad; escala de 648 mm y 22 trastes para un rango completo; 3 micrófonos simples; dimensiones: 99,5 x 32,5 x 6,3 cm; peso: 2,7 kg. Incluye: funda de poliéster 600D, cable, amplificador MA-5, palanca de trémolo, correa, 2 llaves allen, 3 púas y juego extra de cuerdas.
Bajo eléctrico: 4 cuerdas; acabado del cuerpo: barnizado; cuerpo de aliso; mástil de maple con forma en C; dos micrófonos con ecualización activa para versatilidad tonal; 24 trastes; puente ajustable.
Teclado de 61 teclas sensibles a la velocidad; iluminación LED para cada tecla; compatible con MIDI; función de grabación y reproducción integrada.
Xilófono de 25 notas con estuche duro de madera; teclas en aluminio; con dos baquetas.
Maracas de madera.
Huevos musicales de plástico; dimensiones de 15.19 x 5.11 x 5.11 cm.; peso de 95 gramos.
Claves musicales en madera; con estuche; dimensiones: largo 23 cm x 2.5 cm ancho</t>
  </si>
  <si>
    <t>GLOBAL</t>
  </si>
  <si>
    <r>
      <rPr>
        <b/>
        <sz val="10"/>
        <color theme="1"/>
        <rFont val="Arial Narrow"/>
        <family val="2"/>
      </rPr>
      <t>NOTA:</t>
    </r>
    <r>
      <rPr>
        <sz val="10"/>
        <color theme="1"/>
        <rFont val="Arial Narrow"/>
        <family val="2"/>
      </rPr>
      <t xml:space="preserve"> Se informa a los proponentes que todos los elementos e insumos cotizados deben cumplir estrictamente con el 100% de las especificaciones técnicas detalladas en el presente requerimiento. El incumplimiento de cualquier parámetro técnico será tenido en cuenta como ítem no entregado.
* El valor cotizado de los elementos e insumos debe incluir obligatoriamente el servicio de transporte, cargue y descargue hasta el lugar de entrega final designado por la Alcaldía Local de Engativá, garantizando la entrega en sitio.
* Todas las cotizaciones presentadas deben contemplar el flete y traslado de los insumos. El proveedor será responsable de la entrega física de los elementos en el punto de destino solicitado sin costos adicionales.
* Todo elemento o insumo que presente imperfectos, averías o no cumpla con las especificaciones técnicas, deberá ser repuesto por el operador en un plazo no mayor a tres (3) días hábiles, sin costo adicional para la Alcaldía Local de Engativá.</t>
    </r>
  </si>
  <si>
    <t>COT</t>
  </si>
  <si>
    <t>SubTotal</t>
  </si>
  <si>
    <t>Estimulos</t>
  </si>
  <si>
    <t>Iva</t>
  </si>
  <si>
    <t>Total</t>
  </si>
  <si>
    <t>PROYECTO 2381</t>
  </si>
  <si>
    <t>DOTACIÓN BIBLIOTECA</t>
  </si>
  <si>
    <t>+FC[-1]*FC[-11]</t>
  </si>
  <si>
    <t>+FC[-1]*FC[-13]*FC[-15]</t>
  </si>
  <si>
    <t>TOTAL EVENTOS</t>
  </si>
  <si>
    <t>BOLSA MONTO AGOTABLE PLAN DE MEDIOS</t>
  </si>
  <si>
    <t>PLAN DE MEDIOS</t>
  </si>
  <si>
    <t>Pago a OSA por la autorización/licencia de reproducción musical durante los  eventos., catidad de beneficiarios 2500 paersonas,  La organización del evento garantizará el pleno cumplimiento de la Ley 23 de 1982 y la Ley 44 de 1993, mediante el pago oportuno de los derechos de ejecución pública de música a SAYCO &amp; ACINPRO. El recaudo correspondiente asegura la protección de la propiedad intelectual de los autores, intérpretes y productores fonográficos que forman parte de la ambientación sonora del recinto. (56 dias de eventos)</t>
  </si>
  <si>
    <t>BOLSA A MONTO AGOTABLE PARA ADQUISICIÓN DE JUGUETES NAVIDEÑOS</t>
  </si>
  <si>
    <t>Se contempla una bolsa a monto agotable destinada a la adquisición y entrega de juguetes para niñas y niños asistentes a las ocho (8) jornadas de Novenas Navideñas, como parte de las actividades de integración y celebración desarrolladas en los diferentes barrios de la localidad de Engativá.
Los juguetes deberán ser nuevos, seguros, aptos para la edad de la población beneficiaria, de buena calidad y cumplir con la normatividad aplicable en materia de seguridad de productos para niños. La selección de los elementos deberá procurar variedad de acuerdo con los rangos de edad definidos para cada jornada, evitando elementos que puedan representar riesgos para las niñas y los niños.</t>
  </si>
  <si>
    <t>NEXT ENTERTAINMENT</t>
  </si>
  <si>
    <t>8.  FESTIVAL LOCAL DE ARTES VIVAS DE ENGATIVÁ-FLAVE (8 días)</t>
  </si>
  <si>
    <t>9.  FESTIVAL DE ROCK EN ENGATIVÁ (1 día)</t>
  </si>
  <si>
    <t>10.  FESTIVAL ENGATIVÁ ES JOVEN (1 dia)</t>
  </si>
  <si>
    <t>11. Ddif Étnico – II Festival Engatisleño (1 día)</t>
  </si>
  <si>
    <t>12. Ddif LGBTIQ – II Festival “Engativá en marcha de lo diverso” (3 días)</t>
  </si>
  <si>
    <t>13- Día dulce para las infancias Engativeñas (1 día)</t>
  </si>
  <si>
    <t>14.Esplendor navideño de Engativá: Inicio de la Navidad (1 día)</t>
  </si>
  <si>
    <t>15.Novenas Navideñas (8 días)</t>
  </si>
  <si>
    <t>NEXT ENTERTEINMENT</t>
  </si>
  <si>
    <t>UNION TEMPORAL SRD TRANSPORTE PASAJERO DE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</si>
</sst>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4" formatCode="_-&quot;$&quot;\ * #,##0.00_-;\-&quot;$&quot;\ * #,##0.00_-;_-&quot;$&quot;\ * &quot;-&quot;??_-;_-@_-"/>
    <numFmt numFmtId="164" formatCode="_-&quot;$&quot;* #,##0_-;\-&quot;$&quot;* #,##0_-;_-&quot;$&quot;* &quot;-&quot;_-;_-@_-"/>
    <numFmt numFmtId="165" formatCode="_-[$$-240A]\ * #,##0_-;\-[$$-240A]\ * #,##0_-;_-[$$-240A]\ * &quot;-&quot;??_-;_-@_-"/>
    <numFmt numFmtId="166" formatCode="_-&quot;$&quot;\ * #,##0_-;\-&quot;$&quot;\ * #,##0_-;_-&quot;$&quot;\ * &quot;-&quot;??_-;_-@_-"/>
    <numFmt numFmtId="167" formatCode="_-&quot;$&quot;\ * #,##0_-;\-&quot;$&quot;\ * #,##0_-;_-&quot;$&quot;\ * &quot;-&quot;_-;_-@"/>
    <numFmt numFmtId="168" formatCode="_-&quot;$&quot;\ * #,##0.0_-;\-&quot;$&quot;\ * #,##0.0_-;_-&quot;$&quot;\ * &quot;-&quot;??_-;_-@_-"/>
    <numFmt numFmtId="169" formatCode="_-* #,##0\ &quot;€&quot;_-;\-* #,##0\ &quot;€&quot;_-;_-* &quot;-&quot;\ &quot;€&quot;_-;_-@_-"/>
    <numFmt numFmtId="170" formatCode="_-[$$-240A]\ * #,##0_-;\-[$$-240A]\ * #,##0_-;_-[$$-240A]\ * &quot;-&quot;_-;_-@_-"/>
    <numFmt numFmtId="171" formatCode="_-[$$-409]* #,##0_ ;_-[$$-409]* \-#,##0\ ;_-[$$-409]* &quot;-&quot;??_ ;_-@_ "/>
    <numFmt numFmtId="172" formatCode="_-[$$-240A]\ * #,##0.00_-;\-[$$-240A]\ * #,##0.00_-;_-[$$-240A]\ * &quot;-&quot;??_-;_-@_-"/>
    <numFmt numFmtId="173" formatCode="_-&quot;$&quot;\ * #,##0.0_-;\-&quot;$&quot;\ * #,##0.0_-;_-&quot;$&quot;\ * &quot;-&quot;?_-;_-@_-"/>
  </numFmts>
  <fonts count="39" x14ac:knownFonts="1">
    <font>
      <sz val="12"/>
      <color theme="1"/>
      <name val="Calibri"/>
      <scheme val="minor"/>
    </font>
    <font>
      <sz val="11"/>
      <color theme="1"/>
      <name val="Calibri"/>
      <family val="2"/>
      <scheme val="minor"/>
    </font>
    <font>
      <b/>
      <sz val="12"/>
      <color theme="1"/>
      <name val="Calibri"/>
      <family val="2"/>
      <scheme val="minor"/>
    </font>
    <font>
      <sz val="12"/>
      <color theme="1"/>
      <name val="Calibri"/>
      <family val="2"/>
      <scheme val="minor"/>
    </font>
    <font>
      <b/>
      <sz val="10"/>
      <color theme="1"/>
      <name val="Arial Narrow"/>
      <family val="2"/>
    </font>
    <font>
      <b/>
      <sz val="12"/>
      <color theme="0"/>
      <name val="Calibri"/>
      <family val="2"/>
      <scheme val="minor"/>
    </font>
    <font>
      <sz val="10"/>
      <color theme="1"/>
      <name val="Calibri"/>
      <family val="2"/>
      <scheme val="minor"/>
    </font>
    <font>
      <b/>
      <sz val="12"/>
      <color rgb="FF000000"/>
      <name val="Calibri"/>
      <family val="2"/>
    </font>
    <font>
      <b/>
      <sz val="12"/>
      <name val="Calibri"/>
      <family val="2"/>
    </font>
    <font>
      <sz val="12"/>
      <name val="Calibri"/>
      <family val="2"/>
    </font>
    <font>
      <sz val="12"/>
      <color rgb="FF000000"/>
      <name val="Calibri"/>
      <family val="2"/>
    </font>
    <font>
      <sz val="12"/>
      <color theme="1"/>
      <name val="Calibri"/>
      <family val="2"/>
    </font>
    <font>
      <sz val="10"/>
      <color theme="1"/>
      <name val="Calibri"/>
      <family val="2"/>
    </font>
    <font>
      <b/>
      <sz val="12"/>
      <color theme="1"/>
      <name val="Calibri"/>
      <family val="2"/>
    </font>
    <font>
      <sz val="12"/>
      <color rgb="FF000000"/>
      <name val="Calibri"/>
      <family val="2"/>
      <scheme val="minor"/>
    </font>
    <font>
      <sz val="12"/>
      <color rgb="FFFF0000"/>
      <name val="Calibri"/>
      <family val="2"/>
    </font>
    <font>
      <b/>
      <sz val="14"/>
      <color theme="1"/>
      <name val="Calibri"/>
      <family val="2"/>
    </font>
    <font>
      <sz val="12"/>
      <color rgb="FFFF0000"/>
      <name val="Calibri"/>
      <family val="2"/>
      <scheme val="minor"/>
    </font>
    <font>
      <b/>
      <sz val="12"/>
      <color rgb="FF000000"/>
      <name val="Calibri"/>
      <family val="2"/>
      <scheme val="minor"/>
    </font>
    <font>
      <sz val="10"/>
      <color rgb="FF000000"/>
      <name val="Calibri"/>
      <family val="2"/>
      <scheme val="minor"/>
    </font>
    <font>
      <sz val="11"/>
      <color rgb="FF242424"/>
      <name val="Aptos Narrow"/>
      <family val="2"/>
    </font>
    <font>
      <b/>
      <sz val="12"/>
      <color rgb="FFFFFFFF"/>
      <name val="Calibri"/>
      <family val="2"/>
    </font>
    <font>
      <sz val="12"/>
      <name val="Calibri"/>
      <family val="2"/>
      <scheme val="minor"/>
    </font>
    <font>
      <sz val="12"/>
      <name val="Arial Narrow"/>
      <family val="2"/>
    </font>
    <font>
      <sz val="12"/>
      <color theme="1"/>
      <name val="Arial Narrow"/>
      <family val="2"/>
    </font>
    <font>
      <b/>
      <sz val="12"/>
      <color theme="0"/>
      <name val="Calibri"/>
      <family val="2"/>
    </font>
    <font>
      <sz val="12"/>
      <color rgb="FF000000"/>
      <name val="Arial Narrow"/>
      <family val="2"/>
    </font>
    <font>
      <sz val="11"/>
      <color theme="1"/>
      <name val="Arial Narrow"/>
      <family val="2"/>
    </font>
    <font>
      <u/>
      <sz val="12"/>
      <color rgb="FF0563C1"/>
      <name val="Calibri"/>
      <family val="2"/>
    </font>
    <font>
      <b/>
      <sz val="11"/>
      <color theme="2"/>
      <name val="Calibri"/>
      <family val="2"/>
    </font>
    <font>
      <sz val="12"/>
      <color theme="1"/>
      <name val="'Arial Narrow'"/>
    </font>
    <font>
      <b/>
      <sz val="13"/>
      <color rgb="FFFFFFFF"/>
      <name val="Calibri"/>
      <family val="2"/>
    </font>
    <font>
      <u/>
      <sz val="12"/>
      <color theme="10"/>
      <name val="Calibri"/>
      <family val="2"/>
      <scheme val="minor"/>
    </font>
    <font>
      <u/>
      <sz val="12"/>
      <color rgb="FF0563C1"/>
      <name val="Calibri"/>
      <family val="2"/>
      <scheme val="minor"/>
    </font>
    <font>
      <sz val="10"/>
      <color theme="1"/>
      <name val="Arial Narrow"/>
      <family val="2"/>
    </font>
    <font>
      <b/>
      <sz val="12"/>
      <color rgb="FF00B050"/>
      <name val="Calibri"/>
      <family val="2"/>
    </font>
    <font>
      <b/>
      <sz val="18"/>
      <color rgb="FFFFFF00"/>
      <name val="Arial Narrow"/>
      <family val="2"/>
    </font>
    <font>
      <b/>
      <sz val="18"/>
      <color theme="1"/>
      <name val="Arial Narrow"/>
      <family val="2"/>
    </font>
    <font>
      <sz val="12"/>
      <color theme="0"/>
      <name val="Calibri"/>
      <family val="2"/>
    </font>
  </fonts>
  <fills count="48">
    <fill>
      <patternFill patternType="none"/>
    </fill>
    <fill>
      <patternFill patternType="gray125"/>
    </fill>
    <fill>
      <patternFill patternType="solid">
        <fgColor theme="8"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rgb="FF7030A0"/>
        <bgColor indexed="64"/>
      </patternFill>
    </fill>
    <fill>
      <patternFill patternType="solid">
        <fgColor theme="7"/>
        <bgColor indexed="64"/>
      </patternFill>
    </fill>
    <fill>
      <patternFill patternType="solid">
        <fgColor theme="3" tint="0.34998626667073579"/>
        <bgColor indexed="64"/>
      </patternFill>
    </fill>
    <fill>
      <patternFill patternType="solid">
        <fgColor theme="9" tint="0.59999389629810485"/>
        <bgColor indexed="64"/>
      </patternFill>
    </fill>
    <fill>
      <patternFill patternType="solid">
        <fgColor theme="0"/>
        <bgColor indexed="64"/>
      </patternFill>
    </fill>
    <fill>
      <patternFill patternType="solid">
        <fgColor rgb="FFFFFFFF"/>
        <bgColor rgb="FFFF0000"/>
      </patternFill>
    </fill>
    <fill>
      <patternFill patternType="solid">
        <fgColor theme="0"/>
        <bgColor rgb="FFFF0000"/>
      </patternFill>
    </fill>
    <fill>
      <patternFill patternType="solid">
        <fgColor theme="0"/>
        <bgColor theme="0"/>
      </patternFill>
    </fill>
    <fill>
      <patternFill patternType="solid">
        <fgColor rgb="FFD9E2F3"/>
        <bgColor rgb="FFD9E2F3"/>
      </patternFill>
    </fill>
    <fill>
      <patternFill patternType="solid">
        <fgColor theme="0"/>
        <bgColor rgb="FFD9E2F3"/>
      </patternFill>
    </fill>
    <fill>
      <patternFill patternType="solid">
        <fgColor theme="2" tint="-4.9989318521683403E-2"/>
        <bgColor indexed="64"/>
      </patternFill>
    </fill>
    <fill>
      <patternFill patternType="solid">
        <fgColor rgb="FF92D050"/>
        <bgColor indexed="64"/>
      </patternFill>
    </fill>
    <fill>
      <patternFill patternType="solid">
        <fgColor rgb="FFFFFFFF"/>
        <bgColor rgb="FFFFFFFF"/>
      </patternFill>
    </fill>
    <fill>
      <patternFill patternType="solid">
        <fgColor theme="0"/>
        <bgColor rgb="FF000000"/>
      </patternFill>
    </fill>
    <fill>
      <patternFill patternType="solid">
        <fgColor theme="0"/>
        <bgColor rgb="FFFFFFFF"/>
      </patternFill>
    </fill>
    <fill>
      <patternFill patternType="solid">
        <fgColor theme="9" tint="-0.249977111117893"/>
        <bgColor indexed="64"/>
      </patternFill>
    </fill>
    <fill>
      <patternFill patternType="solid">
        <fgColor rgb="FFFFFFFF"/>
        <bgColor rgb="FFD9E2F3"/>
      </patternFill>
    </fill>
    <fill>
      <patternFill patternType="solid">
        <fgColor rgb="FFFFFFFF"/>
        <bgColor rgb="FF000000"/>
      </patternFill>
    </fill>
    <fill>
      <patternFill patternType="solid">
        <fgColor rgb="FFFFFF00"/>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rgb="FF8EAADB"/>
        <bgColor rgb="FF8EAADB"/>
      </patternFill>
    </fill>
    <fill>
      <patternFill patternType="solid">
        <fgColor rgb="FFF8CBAD"/>
        <bgColor rgb="FF000000"/>
      </patternFill>
    </fill>
    <fill>
      <patternFill patternType="solid">
        <fgColor theme="8" tint="0.39997558519241921"/>
        <bgColor rgb="FF8EAADB"/>
      </patternFill>
    </fill>
    <fill>
      <patternFill patternType="solid">
        <fgColor theme="4" tint="0.39997558519241921"/>
        <bgColor indexed="64"/>
      </patternFill>
    </fill>
    <fill>
      <patternFill patternType="solid">
        <fgColor theme="4" tint="-0.249977111117893"/>
        <bgColor rgb="FF2F5496"/>
      </patternFill>
    </fill>
    <fill>
      <patternFill patternType="solid">
        <fgColor theme="0"/>
        <bgColor rgb="FFFFFF00"/>
      </patternFill>
    </fill>
    <fill>
      <patternFill patternType="solid">
        <fgColor theme="9" tint="0.59999389629810485"/>
        <bgColor rgb="FF000000"/>
      </patternFill>
    </fill>
    <fill>
      <patternFill patternType="solid">
        <fgColor theme="9" tint="0.59999389629810485"/>
        <bgColor rgb="FFFFFFFF"/>
      </patternFill>
    </fill>
    <fill>
      <patternFill patternType="solid">
        <fgColor rgb="FFFFFF00"/>
        <bgColor rgb="FFFFFFFF"/>
      </patternFill>
    </fill>
    <fill>
      <patternFill patternType="solid">
        <fgColor theme="9" tint="-0.249977111117893"/>
        <bgColor rgb="FF2F5496"/>
      </patternFill>
    </fill>
    <fill>
      <patternFill patternType="solid">
        <fgColor theme="9" tint="0.39997558519241921"/>
        <bgColor rgb="FF2F5496"/>
      </patternFill>
    </fill>
    <fill>
      <patternFill patternType="solid">
        <fgColor theme="4" tint="-0.249977111117893"/>
        <bgColor rgb="FF8EAADB"/>
      </patternFill>
    </fill>
    <fill>
      <patternFill patternType="solid">
        <fgColor theme="8" tint="0.79998168889431442"/>
        <bgColor indexed="64"/>
      </patternFill>
    </fill>
    <fill>
      <patternFill patternType="solid">
        <fgColor theme="1"/>
        <bgColor indexed="64"/>
      </patternFill>
    </fill>
    <fill>
      <patternFill patternType="solid">
        <fgColor theme="1" tint="4.9989318521683403E-2"/>
        <bgColor indexed="64"/>
      </patternFill>
    </fill>
    <fill>
      <patternFill patternType="solid">
        <fgColor rgb="FFFAC9FF"/>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FF00"/>
        <bgColor rgb="FFFF0000"/>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right/>
      <top style="thin">
        <color rgb="FF000000"/>
      </top>
      <bottom style="thin">
        <color rgb="FF000000"/>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top style="thin">
        <color rgb="FF000000"/>
      </top>
      <bottom/>
      <diagonal/>
    </border>
    <border>
      <left/>
      <right/>
      <top style="thin">
        <color indexed="64"/>
      </top>
      <bottom style="thin">
        <color indexed="64"/>
      </bottom>
      <diagonal/>
    </border>
    <border>
      <left/>
      <right/>
      <top/>
      <bottom style="thin">
        <color rgb="FF000000"/>
      </bottom>
      <diagonal/>
    </border>
    <border>
      <left/>
      <right style="thin">
        <color rgb="FF000000"/>
      </right>
      <top/>
      <bottom/>
      <diagonal/>
    </border>
    <border>
      <left style="thin">
        <color indexed="64"/>
      </left>
      <right/>
      <top/>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44" fontId="3"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0" fontId="32" fillId="0" borderId="0" applyNumberFormat="0" applyFill="0" applyBorder="0" applyAlignment="0" applyProtection="0"/>
    <xf numFmtId="0" fontId="1" fillId="0" borderId="0"/>
  </cellStyleXfs>
  <cellXfs count="704">
    <xf numFmtId="0" fontId="0" fillId="0" borderId="0" xfId="0"/>
    <xf numFmtId="0" fontId="2" fillId="2" borderId="0" xfId="0" applyFont="1" applyFill="1" applyAlignment="1">
      <alignment vertical="center"/>
    </xf>
    <xf numFmtId="0" fontId="2" fillId="2" borderId="0" xfId="0" applyFont="1" applyFill="1" applyAlignment="1">
      <alignment vertical="center" wrapText="1"/>
    </xf>
    <xf numFmtId="165" fontId="3" fillId="3" borderId="1" xfId="0" applyNumberFormat="1" applyFont="1" applyFill="1" applyBorder="1"/>
    <xf numFmtId="165" fontId="3" fillId="3" borderId="1" xfId="0" applyNumberFormat="1" applyFont="1" applyFill="1" applyBorder="1" applyAlignment="1">
      <alignment horizontal="center"/>
    </xf>
    <xf numFmtId="165" fontId="3" fillId="4" borderId="1" xfId="0" applyNumberFormat="1" applyFont="1" applyFill="1" applyBorder="1"/>
    <xf numFmtId="165" fontId="3" fillId="5" borderId="1" xfId="0" applyNumberFormat="1" applyFont="1" applyFill="1" applyBorder="1"/>
    <xf numFmtId="0" fontId="3" fillId="0" borderId="0" xfId="0" applyFont="1"/>
    <xf numFmtId="0" fontId="2" fillId="2" borderId="3" xfId="0" applyFont="1" applyFill="1" applyBorder="1" applyAlignment="1">
      <alignment vertical="center"/>
    </xf>
    <xf numFmtId="0" fontId="2" fillId="2" borderId="3" xfId="0" applyFont="1" applyFill="1" applyBorder="1" applyAlignment="1">
      <alignment vertical="center" wrapText="1"/>
    </xf>
    <xf numFmtId="165" fontId="2" fillId="10" borderId="1" xfId="0" applyNumberFormat="1" applyFont="1" applyFill="1" applyBorder="1" applyAlignment="1">
      <alignment horizontal="center" vertical="center" wrapText="1"/>
    </xf>
    <xf numFmtId="165" fontId="2" fillId="0" borderId="1" xfId="0" applyNumberFormat="1" applyFont="1" applyBorder="1" applyAlignment="1">
      <alignment horizontal="center" vertical="center" wrapText="1"/>
    </xf>
    <xf numFmtId="165" fontId="2" fillId="0" borderId="2" xfId="0" applyNumberFormat="1" applyFont="1" applyBorder="1" applyAlignment="1">
      <alignment horizontal="center" vertical="center" wrapText="1"/>
    </xf>
    <xf numFmtId="0" fontId="6" fillId="11" borderId="1"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8" fillId="12" borderId="1" xfId="0" applyFont="1" applyFill="1" applyBorder="1" applyAlignment="1">
      <alignment horizontal="center" vertical="center" wrapText="1"/>
    </xf>
    <xf numFmtId="0" fontId="9" fillId="13" borderId="1" xfId="0" applyFont="1" applyFill="1" applyBorder="1" applyAlignment="1">
      <alignment horizontal="left" vertical="center" wrapText="1"/>
    </xf>
    <xf numFmtId="0" fontId="10" fillId="11" borderId="1" xfId="0" applyFont="1" applyFill="1" applyBorder="1" applyAlignment="1">
      <alignment horizontal="center" vertical="center" wrapText="1"/>
    </xf>
    <xf numFmtId="165" fontId="9" fillId="11" borderId="1" xfId="0" applyNumberFormat="1" applyFont="1" applyFill="1" applyBorder="1" applyAlignment="1">
      <alignment horizontal="center" vertical="center"/>
    </xf>
    <xf numFmtId="165" fontId="9" fillId="11" borderId="2" xfId="0" applyNumberFormat="1" applyFont="1" applyFill="1" applyBorder="1"/>
    <xf numFmtId="165" fontId="9" fillId="11" borderId="6" xfId="0" applyNumberFormat="1" applyFont="1" applyFill="1" applyBorder="1"/>
    <xf numFmtId="165" fontId="11" fillId="11" borderId="2" xfId="0" applyNumberFormat="1" applyFont="1" applyFill="1" applyBorder="1"/>
    <xf numFmtId="166" fontId="12" fillId="0" borderId="1" xfId="5" applyNumberFormat="1" applyFont="1" applyBorder="1" applyAlignment="1">
      <alignment horizontal="center" vertical="center"/>
    </xf>
    <xf numFmtId="165" fontId="11" fillId="0" borderId="2" xfId="0" applyNumberFormat="1" applyFont="1" applyBorder="1" applyAlignment="1">
      <alignment horizontal="center" vertical="center"/>
    </xf>
    <xf numFmtId="9" fontId="11" fillId="0" borderId="2" xfId="3" applyFont="1" applyBorder="1" applyAlignment="1">
      <alignment horizontal="center" vertical="center"/>
    </xf>
    <xf numFmtId="0" fontId="11" fillId="0" borderId="1" xfId="0" applyFont="1" applyBorder="1" applyAlignment="1">
      <alignment horizontal="center" vertical="center" wrapText="1"/>
    </xf>
    <xf numFmtId="0" fontId="9" fillId="0" borderId="1" xfId="0" applyFont="1" applyBorder="1"/>
    <xf numFmtId="0" fontId="11" fillId="0" borderId="1" xfId="0" applyFont="1" applyBorder="1" applyAlignment="1">
      <alignment vertical="center" wrapText="1"/>
    </xf>
    <xf numFmtId="0" fontId="11" fillId="0" borderId="0" xfId="0" applyFont="1" applyAlignment="1">
      <alignment vertical="center" wrapText="1"/>
    </xf>
    <xf numFmtId="0" fontId="13" fillId="14" borderId="7" xfId="0" applyFont="1" applyFill="1" applyBorder="1" applyAlignment="1">
      <alignment horizontal="center" vertical="center" wrapText="1"/>
    </xf>
    <xf numFmtId="0" fontId="7" fillId="0" borderId="8" xfId="0" applyFont="1" applyBorder="1" applyAlignment="1">
      <alignment horizontal="center" vertical="center" wrapText="1"/>
    </xf>
    <xf numFmtId="0" fontId="10" fillId="0" borderId="8" xfId="0" applyFont="1" applyBorder="1" applyAlignment="1">
      <alignment vertical="center" wrapText="1"/>
    </xf>
    <xf numFmtId="0" fontId="11" fillId="15" borderId="8" xfId="0" applyFont="1" applyFill="1" applyBorder="1" applyAlignment="1">
      <alignment horizontal="center" vertical="center" wrapText="1"/>
    </xf>
    <xf numFmtId="0" fontId="11" fillId="0" borderId="8" xfId="0" applyFont="1" applyBorder="1" applyAlignment="1">
      <alignment horizontal="center" vertical="center" wrapText="1"/>
    </xf>
    <xf numFmtId="165" fontId="11" fillId="11" borderId="8" xfId="0" applyNumberFormat="1" applyFont="1" applyFill="1" applyBorder="1" applyAlignment="1">
      <alignment horizontal="center" vertical="center" wrapText="1"/>
    </xf>
    <xf numFmtId="165" fontId="11" fillId="11" borderId="1" xfId="0" applyNumberFormat="1" applyFont="1" applyFill="1" applyBorder="1" applyAlignment="1">
      <alignment horizontal="center" vertical="center" wrapText="1"/>
    </xf>
    <xf numFmtId="166" fontId="12" fillId="11" borderId="1" xfId="5" applyNumberFormat="1" applyFont="1" applyFill="1" applyBorder="1" applyAlignment="1">
      <alignment horizontal="center" vertical="center"/>
    </xf>
    <xf numFmtId="167" fontId="11" fillId="0" borderId="1"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9" fillId="0" borderId="1" xfId="0" applyFont="1" applyBorder="1" applyAlignment="1">
      <alignment vertical="center" wrapText="1"/>
    </xf>
    <xf numFmtId="165" fontId="11" fillId="11" borderId="10" xfId="0" applyNumberFormat="1" applyFont="1" applyFill="1" applyBorder="1" applyAlignment="1">
      <alignment horizontal="center" vertical="center" wrapText="1"/>
    </xf>
    <xf numFmtId="165" fontId="11" fillId="0" borderId="1" xfId="0" applyNumberFormat="1" applyFont="1" applyBorder="1" applyAlignment="1">
      <alignment horizontal="center" vertical="center" wrapText="1"/>
    </xf>
    <xf numFmtId="0" fontId="13" fillId="14" borderId="9" xfId="0" applyFont="1" applyFill="1" applyBorder="1" applyAlignment="1">
      <alignment horizontal="center" vertical="center" wrapText="1"/>
    </xf>
    <xf numFmtId="165" fontId="11" fillId="11" borderId="11" xfId="0" applyNumberFormat="1" applyFont="1" applyFill="1" applyBorder="1" applyAlignment="1">
      <alignment horizontal="center" vertical="center" wrapText="1"/>
    </xf>
    <xf numFmtId="165" fontId="11" fillId="11" borderId="12" xfId="0" applyNumberFormat="1" applyFont="1" applyFill="1" applyBorder="1" applyAlignment="1">
      <alignment horizontal="center" vertical="center" wrapText="1"/>
    </xf>
    <xf numFmtId="165" fontId="9" fillId="11" borderId="8" xfId="0" applyNumberFormat="1" applyFont="1" applyFill="1" applyBorder="1" applyAlignment="1">
      <alignment horizontal="center" vertical="center" wrapText="1"/>
    </xf>
    <xf numFmtId="165" fontId="9" fillId="11" borderId="10" xfId="0" applyNumberFormat="1"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4" xfId="0" applyFont="1" applyBorder="1" applyAlignment="1">
      <alignment vertical="center" wrapText="1"/>
    </xf>
    <xf numFmtId="0" fontId="7" fillId="11" borderId="8" xfId="0" applyFont="1" applyFill="1" applyBorder="1" applyAlignment="1">
      <alignment horizontal="center" vertical="center" wrapText="1"/>
    </xf>
    <xf numFmtId="0" fontId="10" fillId="11" borderId="8" xfId="0" applyFont="1" applyFill="1" applyBorder="1" applyAlignment="1">
      <alignment vertical="center" wrapText="1"/>
    </xf>
    <xf numFmtId="0" fontId="11" fillId="16" borderId="8"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14" fillId="0" borderId="1" xfId="0" applyFont="1" applyBorder="1" applyAlignment="1">
      <alignment vertical="center" wrapText="1"/>
    </xf>
    <xf numFmtId="0" fontId="7" fillId="0" borderId="13" xfId="0" applyFont="1" applyBorder="1" applyAlignment="1">
      <alignment horizontal="center" vertical="center" wrapText="1"/>
    </xf>
    <xf numFmtId="0" fontId="10" fillId="0" borderId="13" xfId="0" applyFont="1" applyBorder="1" applyAlignment="1">
      <alignment vertical="center" wrapText="1"/>
    </xf>
    <xf numFmtId="0" fontId="11" fillId="15" borderId="13" xfId="0" applyFont="1" applyFill="1" applyBorder="1" applyAlignment="1">
      <alignment horizontal="center" vertical="center" wrapText="1"/>
    </xf>
    <xf numFmtId="0" fontId="11" fillId="0" borderId="13" xfId="0" applyFont="1" applyBorder="1" applyAlignment="1">
      <alignment horizontal="center" vertical="center" wrapText="1"/>
    </xf>
    <xf numFmtId="165" fontId="11" fillId="11" borderId="13" xfId="0" applyNumberFormat="1" applyFont="1" applyFill="1" applyBorder="1" applyAlignment="1">
      <alignment horizontal="center" vertical="center" wrapText="1"/>
    </xf>
    <xf numFmtId="165" fontId="11" fillId="11" borderId="14" xfId="0" applyNumberFormat="1" applyFont="1" applyFill="1" applyBorder="1" applyAlignment="1">
      <alignment horizontal="center" vertical="center" wrapText="1"/>
    </xf>
    <xf numFmtId="166" fontId="11" fillId="0" borderId="1" xfId="5" applyNumberFormat="1" applyFont="1" applyBorder="1" applyAlignment="1">
      <alignment horizontal="center" vertical="center"/>
    </xf>
    <xf numFmtId="0" fontId="13" fillId="0" borderId="8" xfId="0" applyFont="1" applyBorder="1" applyAlignment="1">
      <alignment vertical="center" wrapText="1"/>
    </xf>
    <xf numFmtId="0" fontId="7" fillId="0" borderId="13" xfId="0" applyFont="1" applyBorder="1" applyAlignment="1">
      <alignment horizontal="left" vertical="center" wrapText="1"/>
    </xf>
    <xf numFmtId="0" fontId="10" fillId="15" borderId="13" xfId="0" applyFont="1" applyFill="1" applyBorder="1" applyAlignment="1">
      <alignment horizontal="center" vertical="center" wrapText="1"/>
    </xf>
    <xf numFmtId="165" fontId="11" fillId="0" borderId="8" xfId="0" applyNumberFormat="1" applyFont="1" applyBorder="1" applyAlignment="1">
      <alignment horizontal="center" vertical="center" wrapText="1"/>
    </xf>
    <xf numFmtId="0" fontId="7" fillId="0" borderId="8" xfId="0" applyFont="1" applyBorder="1" applyAlignment="1">
      <alignment horizontal="left" vertical="center" wrapText="1"/>
    </xf>
    <xf numFmtId="0" fontId="10" fillId="15" borderId="8" xfId="0" applyFont="1" applyFill="1" applyBorder="1" applyAlignment="1">
      <alignment horizontal="center" vertical="center" wrapText="1"/>
    </xf>
    <xf numFmtId="164" fontId="11" fillId="11" borderId="8" xfId="0" applyNumberFormat="1" applyFont="1" applyFill="1" applyBorder="1" applyAlignment="1">
      <alignment horizontal="right" vertical="center" wrapText="1"/>
    </xf>
    <xf numFmtId="165" fontId="3" fillId="0" borderId="1" xfId="0" applyNumberFormat="1" applyFont="1" applyBorder="1" applyAlignment="1">
      <alignment horizontal="center" vertical="center"/>
    </xf>
    <xf numFmtId="9" fontId="3" fillId="0" borderId="1" xfId="3" applyFont="1" applyBorder="1" applyAlignment="1">
      <alignment horizontal="center" vertical="center"/>
    </xf>
    <xf numFmtId="0" fontId="11" fillId="11" borderId="4" xfId="0" applyFont="1" applyFill="1" applyBorder="1" applyAlignment="1">
      <alignment horizontal="center" vertical="center" wrapText="1"/>
    </xf>
    <xf numFmtId="0" fontId="11" fillId="11" borderId="4" xfId="0" applyFont="1" applyFill="1" applyBorder="1" applyAlignment="1">
      <alignment vertical="center" wrapText="1"/>
    </xf>
    <xf numFmtId="0" fontId="11" fillId="17" borderId="1" xfId="0" applyFont="1" applyFill="1" applyBorder="1" applyAlignment="1">
      <alignment horizontal="center" vertical="center" wrapText="1"/>
    </xf>
    <xf numFmtId="0" fontId="11" fillId="17" borderId="1" xfId="0" applyFont="1" applyFill="1" applyBorder="1" applyAlignment="1">
      <alignment vertical="center" wrapText="1"/>
    </xf>
    <xf numFmtId="0" fontId="7" fillId="0" borderId="11" xfId="0" applyFont="1" applyBorder="1" applyAlignment="1">
      <alignment horizontal="center" vertical="center" wrapText="1"/>
    </xf>
    <xf numFmtId="0" fontId="10" fillId="0" borderId="11" xfId="0" applyFont="1" applyBorder="1" applyAlignment="1">
      <alignment vertical="center" wrapText="1"/>
    </xf>
    <xf numFmtId="0" fontId="11" fillId="15" borderId="11"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5" xfId="0" applyFont="1" applyBorder="1" applyAlignment="1">
      <alignment vertical="center" wrapText="1"/>
    </xf>
    <xf numFmtId="6" fontId="14" fillId="11" borderId="8" xfId="0" applyNumberFormat="1" applyFont="1" applyFill="1" applyBorder="1" applyAlignment="1">
      <alignment horizontal="center" vertical="center" wrapText="1"/>
    </xf>
    <xf numFmtId="0" fontId="11" fillId="11" borderId="1" xfId="0" applyFont="1" applyFill="1" applyBorder="1" applyAlignment="1">
      <alignment vertical="center" wrapText="1"/>
    </xf>
    <xf numFmtId="165" fontId="15" fillId="11" borderId="13" xfId="0" applyNumberFormat="1" applyFont="1" applyFill="1" applyBorder="1" applyAlignment="1">
      <alignment horizontal="center" vertical="center" wrapText="1"/>
    </xf>
    <xf numFmtId="6" fontId="14" fillId="11" borderId="1" xfId="0" applyNumberFormat="1"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1" borderId="4" xfId="0" applyFont="1" applyFill="1" applyBorder="1" applyAlignment="1">
      <alignment vertical="center" wrapText="1"/>
    </xf>
    <xf numFmtId="0" fontId="14" fillId="0" borderId="1" xfId="0" applyFont="1" applyBorder="1" applyAlignment="1">
      <alignment horizontal="center" vertical="center" wrapText="1"/>
    </xf>
    <xf numFmtId="0" fontId="7" fillId="0" borderId="8" xfId="0" applyFont="1" applyBorder="1" applyAlignment="1">
      <alignment vertical="center" wrapText="1"/>
    </xf>
    <xf numFmtId="0" fontId="11" fillId="0" borderId="2" xfId="0" applyFont="1" applyBorder="1" applyAlignment="1">
      <alignment horizontal="center" vertical="center" wrapText="1"/>
    </xf>
    <xf numFmtId="0" fontId="11" fillId="0" borderId="2" xfId="0" applyFont="1" applyBorder="1" applyAlignment="1">
      <alignment vertical="center" wrapText="1"/>
    </xf>
    <xf numFmtId="0" fontId="6" fillId="0" borderId="1" xfId="0" applyFont="1" applyBorder="1" applyAlignment="1">
      <alignment horizontal="center" vertical="center" wrapText="1"/>
    </xf>
    <xf numFmtId="0" fontId="10" fillId="0" borderId="8" xfId="0" applyFont="1" applyBorder="1" applyAlignment="1">
      <alignment horizontal="center" vertical="center" wrapText="1"/>
    </xf>
    <xf numFmtId="0" fontId="6" fillId="0" borderId="2" xfId="0" applyFont="1" applyBorder="1" applyAlignment="1">
      <alignment horizontal="center" vertical="center" wrapText="1"/>
    </xf>
    <xf numFmtId="0" fontId="7" fillId="0" borderId="11" xfId="0" applyFont="1" applyBorder="1" applyAlignment="1">
      <alignment horizontal="left" vertical="center" wrapText="1"/>
    </xf>
    <xf numFmtId="0" fontId="10" fillId="0" borderId="11" xfId="0" applyFont="1" applyBorder="1" applyAlignment="1">
      <alignment horizontal="center" vertical="center" wrapText="1"/>
    </xf>
    <xf numFmtId="0" fontId="13" fillId="0" borderId="0" xfId="0" applyFont="1" applyAlignment="1">
      <alignment horizontal="center" vertical="center" wrapText="1"/>
    </xf>
    <xf numFmtId="0" fontId="7" fillId="0" borderId="13" xfId="0" applyFont="1" applyBorder="1" applyAlignment="1">
      <alignment wrapText="1"/>
    </xf>
    <xf numFmtId="0" fontId="10" fillId="0" borderId="7" xfId="0" applyFont="1" applyBorder="1" applyAlignment="1">
      <alignment wrapText="1"/>
    </xf>
    <xf numFmtId="0" fontId="10" fillId="15" borderId="7" xfId="0" applyFont="1" applyFill="1" applyBorder="1" applyAlignment="1">
      <alignment horizontal="center" vertical="center" wrapText="1"/>
    </xf>
    <xf numFmtId="0" fontId="10" fillId="0" borderId="7" xfId="0" applyFont="1" applyBorder="1" applyAlignment="1">
      <alignment horizontal="center" vertical="center" wrapText="1"/>
    </xf>
    <xf numFmtId="0" fontId="0" fillId="0" borderId="1" xfId="0" applyBorder="1"/>
    <xf numFmtId="0" fontId="0" fillId="0" borderId="4" xfId="0" applyBorder="1"/>
    <xf numFmtId="0" fontId="16" fillId="19" borderId="5" xfId="0" applyFont="1" applyFill="1" applyBorder="1" applyAlignment="1">
      <alignment horizontal="center" vertical="center" wrapText="1"/>
    </xf>
    <xf numFmtId="0" fontId="13" fillId="11" borderId="1" xfId="0" applyFont="1" applyFill="1" applyBorder="1" applyAlignment="1">
      <alignment horizontal="left" vertical="center" wrapText="1"/>
    </xf>
    <xf numFmtId="0" fontId="11" fillId="19" borderId="4" xfId="0" applyFont="1" applyFill="1" applyBorder="1" applyAlignment="1">
      <alignment horizontal="left" vertical="center" wrapText="1"/>
    </xf>
    <xf numFmtId="0" fontId="11" fillId="15" borderId="4" xfId="0" applyFont="1" applyFill="1" applyBorder="1" applyAlignment="1">
      <alignment horizontal="center" vertical="center" wrapText="1"/>
    </xf>
    <xf numFmtId="0" fontId="11" fillId="19" borderId="4" xfId="0" applyFont="1" applyFill="1" applyBorder="1" applyAlignment="1">
      <alignment horizontal="center" vertical="center" wrapText="1"/>
    </xf>
    <xf numFmtId="165" fontId="11" fillId="11" borderId="4" xfId="0" applyNumberFormat="1" applyFont="1" applyFill="1" applyBorder="1" applyAlignment="1">
      <alignment horizontal="center" vertical="center" wrapText="1"/>
    </xf>
    <xf numFmtId="165" fontId="11" fillId="11" borderId="17" xfId="0" applyNumberFormat="1" applyFont="1" applyFill="1" applyBorder="1" applyAlignment="1">
      <alignment horizontal="center" vertical="center" wrapText="1"/>
    </xf>
    <xf numFmtId="166" fontId="12" fillId="0" borderId="4" xfId="5" applyNumberFormat="1" applyFont="1" applyBorder="1" applyAlignment="1">
      <alignment horizontal="center" vertical="center"/>
    </xf>
    <xf numFmtId="165" fontId="11" fillId="0" borderId="15" xfId="0" applyNumberFormat="1" applyFont="1" applyBorder="1" applyAlignment="1">
      <alignment horizontal="center" vertical="center"/>
    </xf>
    <xf numFmtId="9" fontId="11" fillId="0" borderId="15" xfId="3" applyFont="1" applyBorder="1" applyAlignment="1">
      <alignment horizontal="center" vertical="center"/>
    </xf>
    <xf numFmtId="0" fontId="11" fillId="19" borderId="1" xfId="0" applyFont="1" applyFill="1" applyBorder="1" applyAlignment="1">
      <alignment horizontal="left" vertical="center" wrapText="1"/>
    </xf>
    <xf numFmtId="0" fontId="11" fillId="15" borderId="1" xfId="0" applyFont="1" applyFill="1" applyBorder="1" applyAlignment="1">
      <alignment horizontal="center" vertical="center" wrapText="1"/>
    </xf>
    <xf numFmtId="0" fontId="11" fillId="19" borderId="1" xfId="0" applyFont="1" applyFill="1" applyBorder="1" applyAlignment="1">
      <alignment horizontal="center" vertical="center" wrapText="1"/>
    </xf>
    <xf numFmtId="165" fontId="11" fillId="11" borderId="18" xfId="0" applyNumberFormat="1" applyFont="1" applyFill="1" applyBorder="1" applyAlignment="1">
      <alignment horizontal="center" vertical="center" wrapText="1"/>
    </xf>
    <xf numFmtId="0" fontId="13" fillId="19" borderId="8" xfId="0" applyFont="1" applyFill="1" applyBorder="1" applyAlignment="1">
      <alignment horizontal="left" vertical="center" wrapText="1"/>
    </xf>
    <xf numFmtId="0" fontId="11" fillId="19" borderId="8" xfId="0" applyFont="1" applyFill="1" applyBorder="1" applyAlignment="1">
      <alignment horizontal="left" vertical="center" wrapText="1"/>
    </xf>
    <xf numFmtId="0" fontId="11" fillId="19" borderId="8" xfId="0" applyFont="1" applyFill="1" applyBorder="1" applyAlignment="1">
      <alignment horizontal="center" vertical="center" wrapText="1"/>
    </xf>
    <xf numFmtId="6" fontId="17" fillId="20" borderId="8" xfId="0" applyNumberFormat="1" applyFont="1" applyFill="1" applyBorder="1" applyAlignment="1">
      <alignment horizontal="center" vertical="center" wrapText="1"/>
    </xf>
    <xf numFmtId="165" fontId="15" fillId="11" borderId="10" xfId="0" applyNumberFormat="1" applyFont="1" applyFill="1" applyBorder="1" applyAlignment="1">
      <alignment horizontal="center" vertical="center" wrapText="1"/>
    </xf>
    <xf numFmtId="6" fontId="17" fillId="20" borderId="1" xfId="0" applyNumberFormat="1" applyFont="1" applyFill="1" applyBorder="1" applyAlignment="1">
      <alignment horizontal="center" vertical="center" wrapText="1"/>
    </xf>
    <xf numFmtId="165" fontId="15" fillId="11" borderId="1" xfId="0" applyNumberFormat="1" applyFont="1" applyFill="1" applyBorder="1" applyAlignment="1">
      <alignment horizontal="center" vertical="center" wrapText="1"/>
    </xf>
    <xf numFmtId="0" fontId="18" fillId="19" borderId="2" xfId="0" applyFont="1" applyFill="1" applyBorder="1" applyAlignment="1">
      <alignment horizontal="center" vertical="center" wrapText="1"/>
    </xf>
    <xf numFmtId="0" fontId="14" fillId="0" borderId="2" xfId="0" applyFont="1" applyBorder="1" applyAlignment="1">
      <alignment vertical="center" wrapText="1"/>
    </xf>
    <xf numFmtId="0" fontId="9" fillId="16" borderId="1" xfId="0" applyFont="1" applyFill="1" applyBorder="1" applyAlignment="1">
      <alignment horizontal="center" vertical="center" wrapText="1"/>
    </xf>
    <xf numFmtId="0" fontId="8" fillId="21" borderId="1" xfId="0" applyFont="1" applyFill="1" applyBorder="1" applyAlignment="1">
      <alignment horizontal="center" vertical="center" wrapText="1"/>
    </xf>
    <xf numFmtId="0" fontId="13" fillId="19" borderId="1" xfId="0" applyFont="1" applyFill="1" applyBorder="1" applyAlignment="1">
      <alignment horizontal="center" vertical="center" wrapText="1"/>
    </xf>
    <xf numFmtId="0" fontId="16" fillId="14" borderId="9" xfId="0" applyFont="1" applyFill="1" applyBorder="1" applyAlignment="1">
      <alignment horizontal="center" vertical="center" wrapText="1"/>
    </xf>
    <xf numFmtId="0" fontId="7" fillId="14" borderId="8" xfId="0" applyFont="1" applyFill="1" applyBorder="1" applyAlignment="1">
      <alignment horizontal="left" vertical="center" wrapText="1"/>
    </xf>
    <xf numFmtId="0" fontId="10" fillId="14" borderId="8" xfId="0" applyFont="1" applyFill="1" applyBorder="1" applyAlignment="1">
      <alignment horizontal="left" vertical="center" wrapText="1"/>
    </xf>
    <xf numFmtId="167" fontId="11" fillId="0" borderId="1" xfId="0" applyNumberFormat="1" applyFont="1" applyBorder="1" applyAlignment="1">
      <alignment horizontal="left" vertical="center" wrapText="1"/>
    </xf>
    <xf numFmtId="166" fontId="11" fillId="11" borderId="1" xfId="1" applyNumberFormat="1" applyFont="1" applyFill="1" applyBorder="1" applyAlignment="1">
      <alignment horizontal="center" vertical="center" wrapText="1"/>
    </xf>
    <xf numFmtId="166" fontId="12" fillId="11" borderId="2" xfId="2" applyNumberFormat="1" applyFont="1" applyFill="1" applyBorder="1" applyAlignment="1">
      <alignment horizontal="center" vertical="center" wrapText="1"/>
    </xf>
    <xf numFmtId="166" fontId="12" fillId="11" borderId="18" xfId="2" applyNumberFormat="1" applyFont="1" applyFill="1" applyBorder="1" applyAlignment="1">
      <alignment horizontal="center" vertical="center" wrapText="1"/>
    </xf>
    <xf numFmtId="0" fontId="19" fillId="0" borderId="1" xfId="0" applyFont="1" applyBorder="1" applyAlignment="1">
      <alignment horizontal="center" vertical="center" wrapText="1"/>
    </xf>
    <xf numFmtId="0" fontId="19" fillId="11" borderId="1" xfId="0" applyFont="1" applyFill="1" applyBorder="1" applyAlignment="1">
      <alignment horizontal="center" vertical="center" wrapText="1"/>
    </xf>
    <xf numFmtId="167" fontId="11" fillId="0" borderId="2" xfId="0" applyNumberFormat="1" applyFont="1" applyBorder="1" applyAlignment="1">
      <alignment horizontal="left" vertical="center" wrapText="1"/>
    </xf>
    <xf numFmtId="0" fontId="7" fillId="14" borderId="11" xfId="0" applyFont="1" applyFill="1" applyBorder="1" applyAlignment="1">
      <alignment horizontal="left" vertical="center" wrapText="1"/>
    </xf>
    <xf numFmtId="0" fontId="10" fillId="14" borderId="11" xfId="0" applyFont="1" applyFill="1" applyBorder="1" applyAlignment="1">
      <alignment horizontal="left" vertical="center" wrapText="1"/>
    </xf>
    <xf numFmtId="0" fontId="7" fillId="14" borderId="10" xfId="0" applyFont="1" applyFill="1" applyBorder="1" applyAlignment="1">
      <alignment horizontal="left" vertical="center" wrapText="1"/>
    </xf>
    <xf numFmtId="0" fontId="10" fillId="14" borderId="1" xfId="0" applyFont="1" applyFill="1" applyBorder="1" applyAlignment="1">
      <alignment horizontal="left" vertical="center" wrapText="1"/>
    </xf>
    <xf numFmtId="166" fontId="11" fillId="11" borderId="1" xfId="2" applyNumberFormat="1" applyFont="1" applyFill="1" applyBorder="1" applyAlignment="1">
      <alignment horizontal="center" vertical="center" wrapText="1"/>
    </xf>
    <xf numFmtId="167" fontId="11" fillId="0" borderId="13" xfId="0" applyNumberFormat="1" applyFont="1" applyBorder="1" applyAlignment="1">
      <alignment horizontal="left" vertical="center" wrapText="1"/>
    </xf>
    <xf numFmtId="0" fontId="7" fillId="14" borderId="13" xfId="0" applyFont="1" applyFill="1" applyBorder="1" applyAlignment="1">
      <alignment horizontal="left" vertical="center" wrapText="1"/>
    </xf>
    <xf numFmtId="0" fontId="10" fillId="14" borderId="13" xfId="0" applyFont="1" applyFill="1" applyBorder="1" applyAlignment="1">
      <alignment horizontal="left" vertical="center" wrapText="1"/>
    </xf>
    <xf numFmtId="167" fontId="11" fillId="0" borderId="4" xfId="0" applyNumberFormat="1" applyFont="1" applyBorder="1" applyAlignment="1">
      <alignment horizontal="left" vertical="center" wrapText="1"/>
    </xf>
    <xf numFmtId="165" fontId="11" fillId="11" borderId="19" xfId="0" applyNumberFormat="1" applyFont="1" applyFill="1" applyBorder="1" applyAlignment="1">
      <alignment horizontal="center" vertical="center" wrapText="1"/>
    </xf>
    <xf numFmtId="165" fontId="11" fillId="11" borderId="20" xfId="0" applyNumberFormat="1" applyFont="1" applyFill="1" applyBorder="1" applyAlignment="1">
      <alignment horizontal="center" vertical="center" wrapText="1"/>
    </xf>
    <xf numFmtId="0" fontId="13" fillId="14" borderId="11" xfId="0" applyFont="1" applyFill="1" applyBorder="1" applyAlignment="1">
      <alignment vertical="center" wrapText="1"/>
    </xf>
    <xf numFmtId="0" fontId="10" fillId="0" borderId="0" xfId="0" applyFont="1" applyAlignment="1">
      <alignment vertical="center" wrapText="1"/>
    </xf>
    <xf numFmtId="0" fontId="16" fillId="0" borderId="9" xfId="0" applyFont="1" applyBorder="1" applyAlignment="1">
      <alignment horizontal="center" vertical="center" wrapText="1"/>
    </xf>
    <xf numFmtId="0" fontId="11" fillId="0" borderId="8" xfId="0" applyFont="1" applyBorder="1" applyAlignment="1">
      <alignment horizontal="left" vertical="center" wrapText="1"/>
    </xf>
    <xf numFmtId="0" fontId="6" fillId="11" borderId="2" xfId="0" applyFont="1" applyFill="1" applyBorder="1" applyAlignment="1">
      <alignment horizontal="center" vertical="center" wrapText="1"/>
    </xf>
    <xf numFmtId="0" fontId="13" fillId="0" borderId="11" xfId="0" applyFont="1" applyBorder="1" applyAlignment="1">
      <alignment vertical="center" wrapText="1"/>
    </xf>
    <xf numFmtId="0" fontId="11" fillId="0" borderId="11" xfId="0" applyFont="1" applyBorder="1" applyAlignment="1">
      <alignment horizontal="left" vertical="center" wrapText="1"/>
    </xf>
    <xf numFmtId="165" fontId="11" fillId="0" borderId="2" xfId="0" applyNumberFormat="1" applyFont="1" applyBorder="1" applyAlignment="1">
      <alignment horizontal="center" vertical="center" wrapText="1"/>
    </xf>
    <xf numFmtId="166" fontId="12" fillId="0" borderId="2" xfId="5" applyNumberFormat="1" applyFont="1" applyBorder="1" applyAlignment="1">
      <alignment horizontal="center" vertical="center"/>
    </xf>
    <xf numFmtId="0" fontId="11" fillId="14" borderId="2" xfId="0" applyFont="1" applyFill="1" applyBorder="1" applyAlignment="1">
      <alignment vertical="center" wrapText="1"/>
    </xf>
    <xf numFmtId="0" fontId="13"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0" fillId="11" borderId="1" xfId="0" applyFont="1" applyFill="1" applyBorder="1" applyAlignment="1">
      <alignment vertical="center" wrapText="1"/>
    </xf>
    <xf numFmtId="170" fontId="7" fillId="11" borderId="1" xfId="0" applyNumberFormat="1" applyFont="1" applyFill="1" applyBorder="1" applyAlignment="1">
      <alignment horizontal="center" vertical="center" wrapText="1"/>
    </xf>
    <xf numFmtId="165" fontId="3" fillId="11" borderId="1" xfId="0" applyNumberFormat="1" applyFont="1" applyFill="1" applyBorder="1" applyAlignment="1">
      <alignment horizontal="center" vertical="center"/>
    </xf>
    <xf numFmtId="165" fontId="11" fillId="11" borderId="1" xfId="0" applyNumberFormat="1" applyFont="1" applyFill="1" applyBorder="1" applyAlignment="1">
      <alignment horizontal="center" vertical="center"/>
    </xf>
    <xf numFmtId="9" fontId="11" fillId="11" borderId="1" xfId="3" applyFont="1" applyFill="1" applyBorder="1" applyAlignment="1">
      <alignment horizontal="center" vertical="center"/>
    </xf>
    <xf numFmtId="0" fontId="11" fillId="11" borderId="1" xfId="0" applyFont="1" applyFill="1" applyBorder="1" applyAlignment="1">
      <alignment horizontal="center" vertical="center" wrapText="1"/>
    </xf>
    <xf numFmtId="0" fontId="0" fillId="11" borderId="1" xfId="0" applyFill="1" applyBorder="1"/>
    <xf numFmtId="0" fontId="6" fillId="11" borderId="4" xfId="0" applyFont="1" applyFill="1" applyBorder="1" applyAlignment="1">
      <alignment horizontal="center" vertical="center" wrapText="1"/>
    </xf>
    <xf numFmtId="0" fontId="13" fillId="11" borderId="7" xfId="0" applyFont="1" applyFill="1" applyBorder="1" applyAlignment="1">
      <alignment horizontal="center" vertical="center" wrapText="1"/>
    </xf>
    <xf numFmtId="0" fontId="13" fillId="11" borderId="13" xfId="0" applyFont="1" applyFill="1" applyBorder="1" applyAlignment="1">
      <alignment vertical="center" wrapText="1"/>
    </xf>
    <xf numFmtId="0" fontId="10" fillId="11" borderId="13" xfId="0" applyFont="1" applyFill="1" applyBorder="1" applyAlignment="1">
      <alignment vertical="center" wrapText="1"/>
    </xf>
    <xf numFmtId="0" fontId="11" fillId="16" borderId="13" xfId="0" applyFont="1" applyFill="1" applyBorder="1" applyAlignment="1">
      <alignment horizontal="center" vertical="center" wrapText="1"/>
    </xf>
    <xf numFmtId="0" fontId="11" fillId="11" borderId="13" xfId="0" applyFont="1" applyFill="1" applyBorder="1" applyAlignment="1">
      <alignment horizontal="center" vertical="center" wrapText="1"/>
    </xf>
    <xf numFmtId="6" fontId="14" fillId="11" borderId="13" xfId="0" applyNumberFormat="1" applyFont="1" applyFill="1" applyBorder="1" applyAlignment="1">
      <alignment horizontal="center" vertical="center" wrapText="1"/>
    </xf>
    <xf numFmtId="165" fontId="3" fillId="11" borderId="4" xfId="0" applyNumberFormat="1" applyFont="1" applyFill="1" applyBorder="1" applyAlignment="1">
      <alignment horizontal="center" vertical="center"/>
    </xf>
    <xf numFmtId="9" fontId="3" fillId="11" borderId="4" xfId="3" applyFont="1" applyFill="1" applyBorder="1" applyAlignment="1">
      <alignment horizontal="center" vertical="center"/>
    </xf>
    <xf numFmtId="0" fontId="11" fillId="11" borderId="14" xfId="0" applyFont="1" applyFill="1" applyBorder="1" applyAlignment="1">
      <alignment horizontal="center" vertical="center" wrapText="1"/>
    </xf>
    <xf numFmtId="0" fontId="14" fillId="11" borderId="13" xfId="0" applyFont="1" applyFill="1" applyBorder="1" applyAlignment="1">
      <alignment vertical="center" wrapText="1"/>
    </xf>
    <xf numFmtId="0" fontId="11" fillId="11" borderId="0" xfId="0" applyFont="1" applyFill="1" applyAlignment="1">
      <alignment vertical="center" wrapText="1"/>
    </xf>
    <xf numFmtId="0" fontId="0" fillId="11" borderId="0" xfId="0" applyFill="1"/>
    <xf numFmtId="0" fontId="13" fillId="11" borderId="8" xfId="0" applyFont="1" applyFill="1" applyBorder="1" applyAlignment="1">
      <alignment vertical="center" wrapText="1"/>
    </xf>
    <xf numFmtId="165" fontId="9" fillId="11" borderId="1" xfId="0" applyNumberFormat="1" applyFont="1" applyFill="1" applyBorder="1" applyAlignment="1">
      <alignment horizontal="center" vertical="center" wrapText="1"/>
    </xf>
    <xf numFmtId="9" fontId="3" fillId="11" borderId="1" xfId="3" applyFont="1" applyFill="1" applyBorder="1" applyAlignment="1">
      <alignment horizontal="center" vertical="center"/>
    </xf>
    <xf numFmtId="0" fontId="11" fillId="22" borderId="4" xfId="0" applyFont="1" applyFill="1" applyBorder="1" applyAlignment="1">
      <alignment vertical="center" wrapText="1"/>
    </xf>
    <xf numFmtId="0" fontId="8" fillId="11" borderId="1" xfId="0" applyFont="1" applyFill="1" applyBorder="1" applyAlignment="1">
      <alignment horizontal="center" vertical="center" wrapText="1"/>
    </xf>
    <xf numFmtId="0" fontId="3" fillId="0" borderId="1" xfId="0" applyFont="1" applyBorder="1" applyAlignment="1">
      <alignment wrapText="1"/>
    </xf>
    <xf numFmtId="0" fontId="9" fillId="23" borderId="1" xfId="0" applyFont="1" applyFill="1" applyBorder="1" applyAlignment="1">
      <alignment horizontal="center" vertical="center" wrapText="1"/>
    </xf>
    <xf numFmtId="0" fontId="9" fillId="20" borderId="1" xfId="0" applyFont="1" applyFill="1" applyBorder="1" applyAlignment="1">
      <alignment horizontal="center" vertical="center" wrapText="1"/>
    </xf>
    <xf numFmtId="165" fontId="0" fillId="11" borderId="1" xfId="0" applyNumberFormat="1" applyFill="1" applyBorder="1" applyAlignment="1">
      <alignment horizontal="center" vertical="center"/>
    </xf>
    <xf numFmtId="0" fontId="8" fillId="24" borderId="2" xfId="0" applyFont="1" applyFill="1" applyBorder="1" applyAlignment="1">
      <alignment horizontal="center" vertical="center" wrapText="1"/>
    </xf>
    <xf numFmtId="0" fontId="9" fillId="24" borderId="2" xfId="0" applyFont="1" applyFill="1" applyBorder="1" applyAlignment="1">
      <alignment wrapText="1"/>
    </xf>
    <xf numFmtId="0" fontId="9" fillId="23" borderId="2" xfId="0" applyFont="1" applyFill="1" applyBorder="1" applyAlignment="1">
      <alignment horizontal="center" vertical="center" wrapText="1"/>
    </xf>
    <xf numFmtId="0" fontId="9" fillId="20" borderId="2" xfId="0" applyFont="1" applyFill="1" applyBorder="1" applyAlignment="1">
      <alignment horizontal="center" vertical="center" wrapText="1"/>
    </xf>
    <xf numFmtId="165" fontId="9" fillId="11" borderId="2" xfId="0" applyNumberFormat="1" applyFont="1" applyFill="1" applyBorder="1" applyAlignment="1">
      <alignment horizontal="center" vertical="center" wrapText="1"/>
    </xf>
    <xf numFmtId="165" fontId="9" fillId="11" borderId="6" xfId="0" applyNumberFormat="1" applyFont="1" applyFill="1" applyBorder="1" applyAlignment="1">
      <alignment horizontal="center" vertical="center"/>
    </xf>
    <xf numFmtId="165" fontId="11" fillId="11" borderId="2" xfId="0" applyNumberFormat="1" applyFont="1" applyFill="1" applyBorder="1" applyAlignment="1">
      <alignment horizontal="center" vertical="center" wrapText="1"/>
    </xf>
    <xf numFmtId="165" fontId="3" fillId="0" borderId="2" xfId="0" applyNumberFormat="1" applyFont="1" applyBorder="1" applyAlignment="1">
      <alignment horizontal="center" vertical="center"/>
    </xf>
    <xf numFmtId="9" fontId="3" fillId="0" borderId="2" xfId="3" applyFont="1" applyBorder="1" applyAlignment="1">
      <alignment horizontal="center" vertical="center"/>
    </xf>
    <xf numFmtId="0" fontId="20" fillId="0" borderId="2" xfId="0" applyFont="1" applyBorder="1" applyAlignment="1">
      <alignment horizontal="center" vertical="center" wrapText="1"/>
    </xf>
    <xf numFmtId="166" fontId="0" fillId="25" borderId="0" xfId="0" applyNumberFormat="1" applyFill="1"/>
    <xf numFmtId="165" fontId="0" fillId="25" borderId="0" xfId="0" applyNumberFormat="1" applyFill="1"/>
    <xf numFmtId="0" fontId="13" fillId="26" borderId="23" xfId="0" applyFont="1" applyFill="1" applyBorder="1" applyAlignment="1">
      <alignment horizontal="center" vertical="center" wrapText="1"/>
    </xf>
    <xf numFmtId="0" fontId="9" fillId="26" borderId="23" xfId="0" applyFont="1" applyFill="1" applyBorder="1" applyAlignment="1">
      <alignment horizontal="center" vertical="center"/>
    </xf>
    <xf numFmtId="0" fontId="11" fillId="2" borderId="23" xfId="0" applyFont="1" applyFill="1" applyBorder="1" applyAlignment="1">
      <alignment vertical="center" wrapText="1"/>
    </xf>
    <xf numFmtId="0" fontId="11" fillId="2" borderId="22" xfId="0" applyFont="1" applyFill="1" applyBorder="1" applyAlignment="1">
      <alignment vertical="center" wrapText="1"/>
    </xf>
    <xf numFmtId="0" fontId="2" fillId="27" borderId="3" xfId="0" applyFont="1" applyFill="1" applyBorder="1"/>
    <xf numFmtId="0" fontId="2" fillId="27" borderId="3" xfId="0" applyFont="1" applyFill="1" applyBorder="1" applyAlignment="1">
      <alignment horizontal="center" vertical="center"/>
    </xf>
    <xf numFmtId="0" fontId="2" fillId="27" borderId="24" xfId="0" applyFont="1" applyFill="1" applyBorder="1"/>
    <xf numFmtId="165" fontId="3" fillId="0" borderId="4" xfId="0" applyNumberFormat="1" applyFont="1" applyBorder="1" applyAlignment="1">
      <alignment horizontal="center" vertical="center"/>
    </xf>
    <xf numFmtId="9" fontId="3" fillId="0" borderId="4" xfId="3" applyFont="1" applyBorder="1" applyAlignment="1">
      <alignment horizontal="center" vertical="center"/>
    </xf>
    <xf numFmtId="167" fontId="11" fillId="0" borderId="4" xfId="0" applyNumberFormat="1" applyFont="1" applyBorder="1" applyAlignment="1">
      <alignment horizontal="center" vertical="center" wrapText="1"/>
    </xf>
    <xf numFmtId="0" fontId="13" fillId="11" borderId="8" xfId="0" applyFont="1" applyFill="1" applyBorder="1" applyAlignment="1">
      <alignment horizontal="center" vertical="center" wrapText="1"/>
    </xf>
    <xf numFmtId="6" fontId="14" fillId="28" borderId="8" xfId="0" applyNumberFormat="1" applyFont="1" applyFill="1" applyBorder="1" applyAlignment="1">
      <alignment horizontal="center" vertical="center" wrapText="1"/>
    </xf>
    <xf numFmtId="165" fontId="11" fillId="28" borderId="8" xfId="0" applyNumberFormat="1" applyFont="1" applyFill="1" applyBorder="1" applyAlignment="1">
      <alignment horizontal="center" vertical="center" wrapText="1"/>
    </xf>
    <xf numFmtId="0" fontId="13" fillId="3" borderId="8" xfId="0" applyFont="1" applyFill="1" applyBorder="1" applyAlignment="1">
      <alignment horizontal="center" vertical="center" wrapText="1"/>
    </xf>
    <xf numFmtId="164" fontId="11" fillId="0" borderId="1" xfId="0" applyNumberFormat="1" applyFont="1" applyBorder="1" applyAlignment="1">
      <alignment horizontal="center" vertical="center" wrapText="1"/>
    </xf>
    <xf numFmtId="165" fontId="11" fillId="0" borderId="13" xfId="0" applyNumberFormat="1" applyFont="1" applyBorder="1" applyAlignment="1">
      <alignment horizontal="center" vertical="center" wrapText="1"/>
    </xf>
    <xf numFmtId="0" fontId="11" fillId="0" borderId="1" xfId="0" applyFont="1" applyBorder="1" applyAlignment="1">
      <alignment vertical="top" wrapText="1"/>
    </xf>
    <xf numFmtId="165" fontId="11" fillId="0" borderId="0" xfId="0" applyNumberFormat="1" applyFont="1" applyAlignment="1">
      <alignment horizontal="center" vertical="center" wrapText="1"/>
    </xf>
    <xf numFmtId="0" fontId="13" fillId="29" borderId="21" xfId="0" applyFont="1" applyFill="1" applyBorder="1" applyAlignment="1">
      <alignment vertical="center"/>
    </xf>
    <xf numFmtId="0" fontId="13" fillId="29" borderId="10" xfId="0" applyFont="1" applyFill="1" applyBorder="1" applyAlignment="1">
      <alignment vertical="center"/>
    </xf>
    <xf numFmtId="0" fontId="11" fillId="29" borderId="21" xfId="0" applyFont="1" applyFill="1" applyBorder="1" applyAlignment="1">
      <alignment horizontal="center" vertical="center" wrapText="1"/>
    </xf>
    <xf numFmtId="0" fontId="13" fillId="29" borderId="11" xfId="0" applyFont="1" applyFill="1" applyBorder="1" applyAlignment="1">
      <alignment vertical="center" wrapText="1"/>
    </xf>
    <xf numFmtId="0" fontId="8" fillId="24" borderId="1" xfId="0" applyFont="1" applyFill="1" applyBorder="1" applyAlignment="1">
      <alignment vertical="center" wrapText="1"/>
    </xf>
    <xf numFmtId="0" fontId="9" fillId="24" borderId="5" xfId="0" applyFont="1" applyFill="1" applyBorder="1" applyAlignment="1">
      <alignment wrapText="1"/>
    </xf>
    <xf numFmtId="0" fontId="14" fillId="0" borderId="4" xfId="0" applyFont="1" applyBorder="1" applyAlignment="1">
      <alignment horizontal="center" vertical="center" wrapText="1"/>
    </xf>
    <xf numFmtId="0" fontId="14" fillId="0" borderId="4" xfId="0" applyFont="1" applyBorder="1" applyAlignment="1">
      <alignment vertical="center" wrapText="1"/>
    </xf>
    <xf numFmtId="164" fontId="11" fillId="0" borderId="1" xfId="0" applyNumberFormat="1" applyFont="1" applyBorder="1" applyAlignment="1">
      <alignment vertical="center" wrapText="1"/>
    </xf>
    <xf numFmtId="0" fontId="7" fillId="3" borderId="8" xfId="0" applyFont="1" applyFill="1" applyBorder="1" applyAlignment="1">
      <alignment horizontal="center" vertical="center" wrapText="1"/>
    </xf>
    <xf numFmtId="0" fontId="9" fillId="0" borderId="1" xfId="0" applyFont="1" applyBorder="1" applyAlignment="1">
      <alignment vertical="top" wrapText="1"/>
    </xf>
    <xf numFmtId="6" fontId="22" fillId="11" borderId="8" xfId="0" applyNumberFormat="1" applyFont="1" applyFill="1" applyBorder="1" applyAlignment="1">
      <alignment horizontal="center" vertical="center" wrapText="1"/>
    </xf>
    <xf numFmtId="165" fontId="9" fillId="11" borderId="13" xfId="0" applyNumberFormat="1" applyFont="1" applyFill="1" applyBorder="1" applyAlignment="1">
      <alignment horizontal="center" vertical="center" wrapText="1"/>
    </xf>
    <xf numFmtId="165" fontId="9" fillId="11" borderId="11" xfId="0" applyNumberFormat="1" applyFont="1" applyFill="1" applyBorder="1" applyAlignment="1">
      <alignment horizontal="center" vertical="center" wrapText="1"/>
    </xf>
    <xf numFmtId="165" fontId="9" fillId="11" borderId="19" xfId="0" applyNumberFormat="1" applyFont="1" applyFill="1" applyBorder="1" applyAlignment="1">
      <alignment horizontal="center" vertical="center" wrapText="1"/>
    </xf>
    <xf numFmtId="165" fontId="9" fillId="11" borderId="18" xfId="0" applyNumberFormat="1" applyFont="1" applyFill="1" applyBorder="1" applyAlignment="1">
      <alignment horizontal="center" vertical="center" wrapText="1"/>
    </xf>
    <xf numFmtId="166" fontId="11" fillId="0" borderId="0" xfId="0" applyNumberFormat="1" applyFont="1" applyAlignment="1">
      <alignment vertical="center" wrapText="1"/>
    </xf>
    <xf numFmtId="165" fontId="11" fillId="0" borderId="0" xfId="0" applyNumberFormat="1" applyFont="1" applyAlignment="1">
      <alignment vertical="center" wrapText="1"/>
    </xf>
    <xf numFmtId="0" fontId="13" fillId="29" borderId="10" xfId="0" applyFont="1" applyFill="1" applyBorder="1" applyAlignment="1">
      <alignment horizontal="center" vertical="center" wrapText="1"/>
    </xf>
    <xf numFmtId="165" fontId="13" fillId="29" borderId="21" xfId="0" applyNumberFormat="1" applyFont="1" applyFill="1" applyBorder="1" applyAlignment="1">
      <alignment vertical="center" wrapText="1"/>
    </xf>
    <xf numFmtId="165" fontId="13" fillId="29" borderId="25" xfId="0" applyNumberFormat="1" applyFont="1" applyFill="1" applyBorder="1" applyAlignment="1">
      <alignment vertical="center" wrapText="1"/>
    </xf>
    <xf numFmtId="171" fontId="23" fillId="11" borderId="8" xfId="2" applyNumberFormat="1" applyFont="1" applyFill="1" applyBorder="1" applyAlignment="1">
      <alignment horizontal="left" vertical="center" wrapText="1"/>
    </xf>
    <xf numFmtId="171" fontId="23" fillId="11" borderId="1" xfId="2" applyNumberFormat="1" applyFont="1" applyFill="1" applyBorder="1" applyAlignment="1">
      <alignment horizontal="left" vertical="center" wrapText="1"/>
    </xf>
    <xf numFmtId="171" fontId="23" fillId="11" borderId="18" xfId="2" applyNumberFormat="1" applyFont="1" applyFill="1" applyBorder="1" applyAlignment="1">
      <alignment horizontal="left" vertical="center" wrapText="1"/>
    </xf>
    <xf numFmtId="169" fontId="24" fillId="0" borderId="1" xfId="2" applyFont="1" applyBorder="1" applyAlignment="1">
      <alignment horizontal="left" vertical="center" wrapText="1"/>
    </xf>
    <xf numFmtId="0" fontId="24" fillId="0" borderId="1" xfId="0" applyFont="1" applyBorder="1"/>
    <xf numFmtId="6" fontId="22" fillId="11" borderId="11" xfId="0" applyNumberFormat="1" applyFont="1" applyFill="1" applyBorder="1" applyAlignment="1">
      <alignment horizontal="center" vertical="center" wrapText="1"/>
    </xf>
    <xf numFmtId="167" fontId="11" fillId="0" borderId="19" xfId="0" applyNumberFormat="1" applyFont="1" applyBorder="1" applyAlignment="1">
      <alignment horizontal="center" vertical="center" wrapText="1"/>
    </xf>
    <xf numFmtId="0" fontId="14" fillId="0" borderId="20" xfId="0" applyFont="1" applyBorder="1" applyAlignment="1">
      <alignment horizontal="center" vertical="center" wrapText="1"/>
    </xf>
    <xf numFmtId="0" fontId="14" fillId="0" borderId="19" xfId="0" applyFont="1" applyBorder="1" applyAlignment="1">
      <alignment vertical="center" wrapText="1"/>
    </xf>
    <xf numFmtId="6" fontId="22" fillId="20" borderId="10" xfId="0" applyNumberFormat="1" applyFont="1" applyFill="1" applyBorder="1" applyAlignment="1">
      <alignment horizontal="center" vertical="center" wrapText="1"/>
    </xf>
    <xf numFmtId="0" fontId="14" fillId="30" borderId="8" xfId="0" applyFont="1" applyFill="1" applyBorder="1" applyAlignment="1">
      <alignment vertical="center" wrapText="1"/>
    </xf>
    <xf numFmtId="6" fontId="22" fillId="11" borderId="10" xfId="0" applyNumberFormat="1" applyFont="1" applyFill="1" applyBorder="1" applyAlignment="1">
      <alignment horizontal="center" vertical="center" wrapText="1"/>
    </xf>
    <xf numFmtId="0" fontId="14" fillId="0" borderId="9" xfId="0" applyFont="1" applyBorder="1" applyAlignment="1">
      <alignment vertical="center" wrapText="1"/>
    </xf>
    <xf numFmtId="0" fontId="11" fillId="0" borderId="10" xfId="0" applyFont="1" applyBorder="1" applyAlignment="1">
      <alignment horizontal="center" vertical="center" wrapText="1"/>
    </xf>
    <xf numFmtId="0" fontId="11" fillId="0" borderId="8" xfId="0" applyFont="1" applyBorder="1" applyAlignment="1">
      <alignment vertical="center" wrapText="1"/>
    </xf>
    <xf numFmtId="0" fontId="14" fillId="0" borderId="8" xfId="0" applyFont="1" applyBorder="1" applyAlignment="1">
      <alignment vertical="center" wrapText="1"/>
    </xf>
    <xf numFmtId="164" fontId="9" fillId="11" borderId="1" xfId="0" applyNumberFormat="1" applyFont="1" applyFill="1" applyBorder="1" applyAlignment="1">
      <alignment vertical="center" wrapText="1"/>
    </xf>
    <xf numFmtId="0" fontId="11" fillId="0" borderId="19" xfId="0" applyFont="1" applyBorder="1" applyAlignment="1">
      <alignment horizontal="center" vertical="center" wrapText="1"/>
    </xf>
    <xf numFmtId="0" fontId="3" fillId="27" borderId="26" xfId="0" applyFont="1" applyFill="1" applyBorder="1"/>
    <xf numFmtId="0" fontId="0" fillId="27" borderId="26" xfId="0" applyFill="1" applyBorder="1"/>
    <xf numFmtId="0" fontId="13" fillId="31" borderId="26" xfId="0" applyFont="1" applyFill="1" applyBorder="1" applyAlignment="1">
      <alignment vertical="center" wrapText="1"/>
    </xf>
    <xf numFmtId="0" fontId="9" fillId="27" borderId="26" xfId="0" applyFont="1" applyFill="1" applyBorder="1" applyAlignment="1">
      <alignment horizontal="center" vertical="center"/>
    </xf>
    <xf numFmtId="165" fontId="9" fillId="27" borderId="26" xfId="0" applyNumberFormat="1" applyFont="1" applyFill="1" applyBorder="1"/>
    <xf numFmtId="0" fontId="13" fillId="11" borderId="9" xfId="0" applyFont="1" applyFill="1" applyBorder="1" applyAlignment="1">
      <alignment horizontal="center" vertical="center" wrapText="1"/>
    </xf>
    <xf numFmtId="0" fontId="13" fillId="19" borderId="19" xfId="0" applyFont="1" applyFill="1" applyBorder="1" applyAlignment="1">
      <alignment horizontal="center" vertical="center" wrapText="1"/>
    </xf>
    <xf numFmtId="167" fontId="11" fillId="0" borderId="12" xfId="0" applyNumberFormat="1" applyFont="1" applyBorder="1" applyAlignment="1">
      <alignment horizontal="left" vertical="center" wrapText="1"/>
    </xf>
    <xf numFmtId="6" fontId="14" fillId="11" borderId="11" xfId="0" applyNumberFormat="1" applyFont="1" applyFill="1" applyBorder="1" applyAlignment="1">
      <alignment horizontal="center" vertical="center" wrapText="1"/>
    </xf>
    <xf numFmtId="0" fontId="11" fillId="0" borderId="14" xfId="0" applyFont="1" applyBorder="1" applyAlignment="1">
      <alignment horizontal="center" vertical="center" wrapText="1"/>
    </xf>
    <xf numFmtId="0" fontId="14" fillId="0" borderId="13" xfId="0" applyFont="1" applyBorder="1" applyAlignment="1">
      <alignment vertical="center" wrapText="1"/>
    </xf>
    <xf numFmtId="0" fontId="11" fillId="0" borderId="12" xfId="0" applyFont="1" applyBorder="1" applyAlignment="1">
      <alignment horizontal="center" vertical="center" wrapText="1"/>
    </xf>
    <xf numFmtId="0" fontId="14" fillId="0" borderId="11" xfId="0" applyFont="1" applyBorder="1" applyAlignment="1">
      <alignment vertical="center" wrapText="1"/>
    </xf>
    <xf numFmtId="0" fontId="11" fillId="11" borderId="1" xfId="0" applyFont="1" applyFill="1" applyBorder="1" applyAlignment="1">
      <alignment vertical="top" wrapText="1"/>
    </xf>
    <xf numFmtId="0" fontId="10" fillId="13" borderId="8" xfId="0" applyFont="1" applyFill="1" applyBorder="1" applyAlignment="1">
      <alignment vertical="center" wrapText="1"/>
    </xf>
    <xf numFmtId="166" fontId="11" fillId="11" borderId="13" xfId="1" applyNumberFormat="1" applyFont="1" applyFill="1" applyBorder="1" applyAlignment="1">
      <alignment horizontal="center" vertical="center" wrapText="1"/>
    </xf>
    <xf numFmtId="166" fontId="11" fillId="11" borderId="8" xfId="1" applyNumberFormat="1" applyFont="1" applyFill="1" applyBorder="1" applyAlignment="1">
      <alignment horizontal="center" vertical="center" wrapText="1"/>
    </xf>
    <xf numFmtId="0" fontId="13" fillId="2" borderId="21" xfId="0" applyFont="1" applyFill="1" applyBorder="1" applyAlignment="1">
      <alignment horizontal="center" vertical="center" wrapText="1"/>
    </xf>
    <xf numFmtId="0" fontId="9" fillId="2" borderId="21" xfId="0" applyFont="1" applyFill="1" applyBorder="1"/>
    <xf numFmtId="0" fontId="25" fillId="2" borderId="10" xfId="0" applyFont="1" applyFill="1" applyBorder="1" applyAlignment="1">
      <alignment horizontal="center" vertical="center" wrapText="1"/>
    </xf>
    <xf numFmtId="0" fontId="9" fillId="2" borderId="21" xfId="0" applyFont="1" applyFill="1" applyBorder="1" applyAlignment="1">
      <alignment horizontal="center" vertical="center"/>
    </xf>
    <xf numFmtId="0" fontId="11" fillId="2" borderId="11" xfId="0" applyFont="1" applyFill="1" applyBorder="1" applyAlignment="1">
      <alignment vertical="center" wrapText="1"/>
    </xf>
    <xf numFmtId="0" fontId="10" fillId="0" borderId="8" xfId="0" applyFont="1" applyBorder="1" applyAlignment="1">
      <alignment horizontal="left" vertical="center" wrapText="1"/>
    </xf>
    <xf numFmtId="165" fontId="15" fillId="11" borderId="8"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7" fillId="11" borderId="8" xfId="0" applyFont="1" applyFill="1" applyBorder="1" applyAlignment="1">
      <alignment horizontal="left" vertical="center" wrapText="1"/>
    </xf>
    <xf numFmtId="0" fontId="11" fillId="11" borderId="8" xfId="0" applyFont="1" applyFill="1" applyBorder="1" applyAlignment="1">
      <alignment vertical="center" wrapText="1"/>
    </xf>
    <xf numFmtId="0" fontId="7" fillId="11" borderId="11" xfId="0" applyFont="1" applyFill="1" applyBorder="1" applyAlignment="1">
      <alignment horizontal="left" vertical="center" wrapText="1"/>
    </xf>
    <xf numFmtId="0" fontId="10" fillId="15" borderId="11" xfId="0" applyFont="1" applyFill="1" applyBorder="1" applyAlignment="1">
      <alignment horizontal="center" vertical="center" wrapText="1"/>
    </xf>
    <xf numFmtId="0" fontId="13" fillId="11" borderId="8" xfId="0" applyFont="1" applyFill="1" applyBorder="1" applyAlignment="1">
      <alignment horizontal="left" vertical="center" wrapText="1"/>
    </xf>
    <xf numFmtId="9" fontId="3" fillId="0" borderId="1" xfId="3" applyFont="1" applyFill="1" applyBorder="1" applyAlignment="1">
      <alignment horizontal="center" vertical="center"/>
    </xf>
    <xf numFmtId="172" fontId="3" fillId="0" borderId="1" xfId="0" applyNumberFormat="1" applyFont="1" applyBorder="1" applyAlignment="1">
      <alignment horizontal="center" vertical="center"/>
    </xf>
    <xf numFmtId="0" fontId="0" fillId="2" borderId="0" xfId="0" applyFill="1"/>
    <xf numFmtId="0" fontId="13" fillId="2" borderId="10" xfId="0" applyFont="1" applyFill="1" applyBorder="1" applyAlignment="1">
      <alignment horizontal="center" vertical="center" wrapText="1"/>
    </xf>
    <xf numFmtId="165" fontId="11" fillId="2" borderId="8" xfId="0" applyNumberFormat="1" applyFont="1" applyFill="1" applyBorder="1" applyAlignment="1">
      <alignment horizontal="center" vertical="center" wrapText="1"/>
    </xf>
    <xf numFmtId="0" fontId="14" fillId="0" borderId="8" xfId="0" applyFont="1" applyBorder="1" applyAlignment="1">
      <alignment horizontal="center" vertical="center" wrapText="1"/>
    </xf>
    <xf numFmtId="0" fontId="14" fillId="0" borderId="11" xfId="0" applyFont="1" applyBorder="1" applyAlignment="1">
      <alignment horizontal="center" vertical="center" wrapText="1"/>
    </xf>
    <xf numFmtId="0" fontId="13" fillId="11" borderId="11" xfId="0" applyFont="1" applyFill="1" applyBorder="1" applyAlignment="1">
      <alignment horizontal="center" vertical="center" wrapText="1"/>
    </xf>
    <xf numFmtId="0" fontId="11" fillId="16" borderId="16" xfId="0" applyFont="1" applyFill="1" applyBorder="1" applyAlignment="1">
      <alignment horizontal="center" vertical="center" wrapText="1"/>
    </xf>
    <xf numFmtId="0" fontId="11" fillId="16" borderId="11" xfId="0" applyFont="1" applyFill="1" applyBorder="1" applyAlignment="1">
      <alignment horizontal="center" vertical="center"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165" fontId="11" fillId="11" borderId="9" xfId="0" applyNumberFormat="1" applyFont="1" applyFill="1" applyBorder="1" applyAlignment="1">
      <alignment horizontal="center" vertical="center" wrapText="1"/>
    </xf>
    <xf numFmtId="0" fontId="3" fillId="11" borderId="0" xfId="0" applyFont="1" applyFill="1"/>
    <xf numFmtId="0" fontId="7" fillId="11" borderId="13" xfId="0" applyFont="1" applyFill="1" applyBorder="1" applyAlignment="1">
      <alignment horizontal="center" vertical="center" wrapText="1"/>
    </xf>
    <xf numFmtId="0" fontId="10" fillId="16" borderId="8" xfId="0" applyFont="1" applyFill="1" applyBorder="1" applyAlignment="1">
      <alignment horizontal="center" vertical="center" wrapText="1"/>
    </xf>
    <xf numFmtId="0" fontId="13" fillId="11" borderId="13" xfId="0" applyFont="1" applyFill="1" applyBorder="1" applyAlignment="1">
      <alignment horizontal="center" vertical="center" wrapText="1"/>
    </xf>
    <xf numFmtId="165" fontId="11" fillId="0" borderId="19" xfId="0" applyNumberFormat="1" applyFont="1" applyBorder="1" applyAlignment="1">
      <alignment horizontal="center" vertical="center" wrapText="1"/>
    </xf>
    <xf numFmtId="0" fontId="7" fillId="11" borderId="11" xfId="0" applyFont="1" applyFill="1" applyBorder="1" applyAlignment="1">
      <alignment horizontal="center" vertical="center" wrapText="1"/>
    </xf>
    <xf numFmtId="171" fontId="24" fillId="11" borderId="8" xfId="2" applyNumberFormat="1" applyFont="1" applyFill="1" applyBorder="1" applyAlignment="1">
      <alignment horizontal="left" vertical="center" wrapText="1"/>
    </xf>
    <xf numFmtId="171" fontId="24" fillId="11" borderId="1" xfId="2" applyNumberFormat="1" applyFont="1" applyFill="1" applyBorder="1" applyAlignment="1">
      <alignment horizontal="left" vertical="center" wrapText="1"/>
    </xf>
    <xf numFmtId="171" fontId="24" fillId="11" borderId="18" xfId="2" applyNumberFormat="1" applyFont="1" applyFill="1" applyBorder="1" applyAlignment="1">
      <alignment horizontal="left" vertical="center" wrapText="1"/>
    </xf>
    <xf numFmtId="0" fontId="26" fillId="0" borderId="8" xfId="0" applyFont="1" applyBorder="1" applyAlignment="1">
      <alignment horizontal="center" vertical="center" wrapText="1"/>
    </xf>
    <xf numFmtId="0" fontId="9" fillId="0" borderId="8" xfId="0" applyFont="1" applyBorder="1" applyAlignment="1">
      <alignment vertical="center" wrapText="1"/>
    </xf>
    <xf numFmtId="0" fontId="0" fillId="27" borderId="0" xfId="0" applyFill="1"/>
    <xf numFmtId="0" fontId="9" fillId="27" borderId="21" xfId="0" applyFont="1" applyFill="1" applyBorder="1"/>
    <xf numFmtId="0" fontId="13" fillId="27" borderId="10" xfId="0" applyFont="1" applyFill="1" applyBorder="1" applyAlignment="1">
      <alignment horizontal="center" vertical="center" wrapText="1"/>
    </xf>
    <xf numFmtId="0" fontId="9" fillId="27" borderId="21" xfId="0" applyFont="1" applyFill="1" applyBorder="1" applyAlignment="1">
      <alignment horizontal="center" vertical="center"/>
    </xf>
    <xf numFmtId="0" fontId="11" fillId="27" borderId="19" xfId="0" applyFont="1" applyFill="1" applyBorder="1" applyAlignment="1">
      <alignment vertical="center" wrapText="1"/>
    </xf>
    <xf numFmtId="0" fontId="11" fillId="28" borderId="1" xfId="0" applyFont="1" applyFill="1" applyBorder="1" applyAlignment="1">
      <alignment vertical="center" wrapText="1"/>
    </xf>
    <xf numFmtId="170" fontId="27" fillId="11" borderId="18" xfId="0" applyNumberFormat="1" applyFont="1" applyFill="1" applyBorder="1" applyAlignment="1">
      <alignment horizontal="left" vertical="center" wrapText="1"/>
    </xf>
    <xf numFmtId="0" fontId="28" fillId="0" borderId="1" xfId="0" applyFont="1" applyBorder="1"/>
    <xf numFmtId="0" fontId="10" fillId="19" borderId="8" xfId="0" applyFont="1" applyFill="1" applyBorder="1" applyAlignment="1">
      <alignment vertical="center" wrapText="1"/>
    </xf>
    <xf numFmtId="0" fontId="14" fillId="0" borderId="13" xfId="0" applyFont="1" applyBorder="1" applyAlignment="1">
      <alignment horizontal="center" vertical="center" wrapText="1"/>
    </xf>
    <xf numFmtId="164" fontId="11" fillId="11" borderId="1" xfId="0" applyNumberFormat="1" applyFont="1" applyFill="1" applyBorder="1" applyAlignment="1">
      <alignment horizontal="right" vertical="center" wrapText="1"/>
    </xf>
    <xf numFmtId="0" fontId="10" fillId="11" borderId="11" xfId="0" applyFont="1" applyFill="1" applyBorder="1" applyAlignment="1">
      <alignment vertical="center" wrapText="1"/>
    </xf>
    <xf numFmtId="0" fontId="14" fillId="0" borderId="0" xfId="0" applyFont="1" applyAlignment="1">
      <alignment vertical="center" wrapText="1"/>
    </xf>
    <xf numFmtId="0" fontId="11" fillId="11" borderId="15" xfId="0" applyFont="1" applyFill="1" applyBorder="1" applyAlignment="1">
      <alignment horizontal="center" vertical="center" wrapText="1"/>
    </xf>
    <xf numFmtId="0" fontId="11" fillId="11" borderId="15" xfId="0" applyFont="1" applyFill="1" applyBorder="1" applyAlignment="1">
      <alignment vertical="center" wrapText="1"/>
    </xf>
    <xf numFmtId="0" fontId="11" fillId="16" borderId="1" xfId="0" applyFont="1" applyFill="1" applyBorder="1" applyAlignment="1">
      <alignment horizontal="center" vertical="center" wrapText="1"/>
    </xf>
    <xf numFmtId="165" fontId="11" fillId="0" borderId="4" xfId="0" applyNumberFormat="1" applyFont="1" applyBorder="1" applyAlignment="1">
      <alignment horizontal="center" vertical="center" wrapText="1"/>
    </xf>
    <xf numFmtId="0" fontId="9" fillId="32" borderId="21" xfId="0" applyFont="1" applyFill="1" applyBorder="1" applyAlignment="1">
      <alignment horizontal="center" vertical="center"/>
    </xf>
    <xf numFmtId="0" fontId="13" fillId="32" borderId="10" xfId="0" applyFont="1" applyFill="1" applyBorder="1" applyAlignment="1">
      <alignment horizontal="center" vertical="center" wrapText="1"/>
    </xf>
    <xf numFmtId="0" fontId="14" fillId="0" borderId="10" xfId="0" applyFont="1" applyBorder="1" applyAlignment="1">
      <alignment vertical="center" wrapText="1"/>
    </xf>
    <xf numFmtId="164" fontId="11" fillId="11" borderId="1" xfId="0" applyNumberFormat="1" applyFont="1" applyFill="1" applyBorder="1" applyAlignment="1">
      <alignment vertical="center" wrapText="1"/>
    </xf>
    <xf numFmtId="0" fontId="7" fillId="0" borderId="13" xfId="0" applyFont="1" applyBorder="1" applyAlignment="1">
      <alignment vertical="center" wrapText="1"/>
    </xf>
    <xf numFmtId="0" fontId="11" fillId="11" borderId="2" xfId="0" applyFont="1" applyFill="1" applyBorder="1" applyAlignment="1">
      <alignment horizontal="center" vertical="center" wrapText="1"/>
    </xf>
    <xf numFmtId="0" fontId="9" fillId="32" borderId="21" xfId="0" applyFont="1" applyFill="1" applyBorder="1"/>
    <xf numFmtId="0" fontId="9" fillId="32" borderId="0" xfId="0" applyFont="1" applyFill="1"/>
    <xf numFmtId="0" fontId="11" fillId="32" borderId="19" xfId="0" applyFont="1" applyFill="1" applyBorder="1" applyAlignment="1">
      <alignment vertical="center" wrapText="1"/>
    </xf>
    <xf numFmtId="0" fontId="1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9" xfId="0" applyFont="1" applyBorder="1" applyAlignment="1">
      <alignment horizontal="center" vertical="center" wrapText="1"/>
    </xf>
    <xf numFmtId="165" fontId="15" fillId="0" borderId="8" xfId="0" applyNumberFormat="1" applyFont="1" applyBorder="1" applyAlignment="1">
      <alignment horizontal="center" vertical="center" wrapText="1"/>
    </xf>
    <xf numFmtId="165" fontId="11" fillId="0" borderId="10" xfId="0" applyNumberFormat="1" applyFont="1" applyBorder="1" applyAlignment="1">
      <alignment horizontal="center" vertical="center" wrapText="1"/>
    </xf>
    <xf numFmtId="164" fontId="11" fillId="0" borderId="8" xfId="0" applyNumberFormat="1" applyFont="1" applyBorder="1" applyAlignment="1">
      <alignment horizontal="right" vertical="center" wrapText="1"/>
    </xf>
    <xf numFmtId="0" fontId="14" fillId="11" borderId="1" xfId="0" applyFont="1" applyFill="1" applyBorder="1" applyAlignment="1">
      <alignment horizontal="center" vertical="center" wrapText="1"/>
    </xf>
    <xf numFmtId="0" fontId="14" fillId="11" borderId="1" xfId="0" applyFont="1" applyFill="1" applyBorder="1" applyAlignment="1">
      <alignment vertical="center" wrapText="1"/>
    </xf>
    <xf numFmtId="0" fontId="14" fillId="20" borderId="1" xfId="0" applyFont="1" applyFill="1" applyBorder="1" applyAlignment="1">
      <alignment vertical="center" wrapText="1"/>
    </xf>
    <xf numFmtId="6" fontId="14" fillId="0" borderId="8" xfId="0" applyNumberFormat="1" applyFont="1" applyBorder="1" applyAlignment="1">
      <alignment horizontal="center" vertical="center" wrapText="1"/>
    </xf>
    <xf numFmtId="0" fontId="13" fillId="0" borderId="8" xfId="0" applyFont="1" applyBorder="1" applyAlignment="1">
      <alignment horizontal="left" vertical="center" wrapText="1"/>
    </xf>
    <xf numFmtId="0" fontId="13" fillId="29" borderId="21" xfId="0" applyFont="1" applyFill="1" applyBorder="1" applyAlignment="1">
      <alignment vertical="center" wrapText="1"/>
    </xf>
    <xf numFmtId="0" fontId="11" fillId="0" borderId="11" xfId="0" applyFont="1" applyBorder="1" applyAlignment="1">
      <alignment vertical="center" wrapText="1"/>
    </xf>
    <xf numFmtId="166" fontId="11" fillId="11" borderId="11" xfId="1" applyNumberFormat="1" applyFont="1" applyFill="1" applyBorder="1" applyAlignment="1">
      <alignment horizontal="center" vertical="center" wrapText="1"/>
    </xf>
    <xf numFmtId="166" fontId="11" fillId="11" borderId="19" xfId="1" applyNumberFormat="1" applyFont="1" applyFill="1" applyBorder="1" applyAlignment="1">
      <alignment horizontal="center" vertical="center" wrapText="1"/>
    </xf>
    <xf numFmtId="0" fontId="7" fillId="29" borderId="21" xfId="0" applyFont="1" applyFill="1" applyBorder="1" applyAlignment="1">
      <alignment wrapText="1"/>
    </xf>
    <xf numFmtId="0" fontId="10" fillId="29" borderId="21" xfId="0" applyFont="1" applyFill="1" applyBorder="1" applyAlignment="1">
      <alignment horizontal="center" vertical="center" wrapText="1"/>
    </xf>
    <xf numFmtId="0" fontId="10" fillId="0" borderId="9" xfId="0" applyFont="1" applyBorder="1" applyAlignment="1">
      <alignment wrapText="1"/>
    </xf>
    <xf numFmtId="0" fontId="10" fillId="15" borderId="21" xfId="0" applyFont="1" applyFill="1" applyBorder="1" applyAlignment="1">
      <alignment horizontal="center" vertical="center" wrapText="1"/>
    </xf>
    <xf numFmtId="0" fontId="7" fillId="0" borderId="13" xfId="0" applyFont="1" applyBorder="1" applyAlignment="1">
      <alignment horizontal="center" wrapText="1"/>
    </xf>
    <xf numFmtId="0" fontId="10" fillId="15" borderId="27" xfId="0" applyFont="1" applyFill="1" applyBorder="1" applyAlignment="1">
      <alignment horizontal="center" vertical="center" wrapText="1"/>
    </xf>
    <xf numFmtId="0" fontId="0" fillId="0" borderId="1" xfId="0" applyBorder="1" applyAlignment="1">
      <alignment horizontal="center" vertical="center" wrapText="1"/>
    </xf>
    <xf numFmtId="0" fontId="10" fillId="0" borderId="7" xfId="0" applyFont="1" applyBorder="1" applyAlignment="1">
      <alignment vertical="center" wrapText="1"/>
    </xf>
    <xf numFmtId="0" fontId="0" fillId="0" borderId="12" xfId="0" applyBorder="1" applyAlignment="1">
      <alignment horizontal="center" vertical="center"/>
    </xf>
    <xf numFmtId="0" fontId="3" fillId="0" borderId="11" xfId="0" applyFont="1" applyBorder="1" applyAlignment="1">
      <alignment wrapText="1"/>
    </xf>
    <xf numFmtId="0" fontId="7" fillId="11" borderId="13" xfId="0" applyFont="1" applyFill="1" applyBorder="1" applyAlignment="1">
      <alignment wrapText="1"/>
    </xf>
    <xf numFmtId="0" fontId="10" fillId="11" borderId="7" xfId="0" applyFont="1" applyFill="1" applyBorder="1" applyAlignment="1">
      <alignment wrapText="1"/>
    </xf>
    <xf numFmtId="6" fontId="14" fillId="11" borderId="10" xfId="0" applyNumberFormat="1" applyFont="1" applyFill="1" applyBorder="1" applyAlignment="1">
      <alignment horizontal="center" vertical="center" wrapText="1"/>
    </xf>
    <xf numFmtId="0" fontId="0" fillId="0" borderId="4" xfId="0" applyBorder="1" applyAlignment="1">
      <alignment wrapText="1"/>
    </xf>
    <xf numFmtId="0" fontId="7" fillId="0" borderId="19" xfId="0" applyFont="1" applyBorder="1" applyAlignment="1">
      <alignment wrapText="1"/>
    </xf>
    <xf numFmtId="0" fontId="10" fillId="0" borderId="28" xfId="0" applyFont="1" applyBorder="1" applyAlignment="1">
      <alignment horizontal="center" vertical="center" wrapText="1"/>
    </xf>
    <xf numFmtId="0" fontId="10" fillId="15" borderId="28" xfId="0" applyFont="1" applyFill="1" applyBorder="1" applyAlignment="1">
      <alignment horizontal="center" vertical="center" wrapText="1"/>
    </xf>
    <xf numFmtId="0" fontId="7" fillId="11" borderId="1" xfId="0" applyFont="1" applyFill="1" applyBorder="1" applyAlignment="1">
      <alignment vertical="center" wrapText="1"/>
    </xf>
    <xf numFmtId="0" fontId="10" fillId="16" borderId="1" xfId="0" applyFont="1" applyFill="1" applyBorder="1" applyAlignment="1">
      <alignment horizontal="center" vertical="center" wrapText="1"/>
    </xf>
    <xf numFmtId="165" fontId="0" fillId="11" borderId="1" xfId="0" applyNumberFormat="1" applyFill="1" applyBorder="1"/>
    <xf numFmtId="0" fontId="0" fillId="11" borderId="2" xfId="0" applyFill="1" applyBorder="1"/>
    <xf numFmtId="0" fontId="7" fillId="0" borderId="1" xfId="0" applyFont="1" applyBorder="1" applyAlignment="1">
      <alignment horizontal="center" vertical="center" wrapText="1"/>
    </xf>
    <xf numFmtId="0" fontId="10" fillId="15" borderId="1" xfId="0" applyFont="1" applyFill="1" applyBorder="1" applyAlignment="1">
      <alignment horizontal="center" vertical="center" wrapText="1"/>
    </xf>
    <xf numFmtId="164" fontId="3" fillId="0" borderId="1" xfId="0" applyNumberFormat="1" applyFont="1" applyBorder="1" applyAlignment="1">
      <alignment vertical="center"/>
    </xf>
    <xf numFmtId="0" fontId="3" fillId="0" borderId="4" xfId="0" applyFont="1" applyBorder="1" applyAlignment="1">
      <alignment horizontal="center" vertical="center"/>
    </xf>
    <xf numFmtId="0" fontId="10" fillId="11" borderId="1" xfId="0" applyFont="1" applyFill="1" applyBorder="1" applyAlignment="1">
      <alignment wrapText="1"/>
    </xf>
    <xf numFmtId="0" fontId="10" fillId="15" borderId="2" xfId="0" applyFont="1" applyFill="1" applyBorder="1" applyAlignment="1">
      <alignment horizontal="center" vertical="center" wrapText="1"/>
    </xf>
    <xf numFmtId="0" fontId="10" fillId="0" borderId="2" xfId="0" applyFont="1" applyBorder="1" applyAlignment="1">
      <alignment horizontal="center" vertical="center" wrapText="1"/>
    </xf>
    <xf numFmtId="165" fontId="0" fillId="0" borderId="0" xfId="0" applyNumberFormat="1" applyAlignment="1">
      <alignment horizontal="center" vertical="center"/>
    </xf>
    <xf numFmtId="165" fontId="11" fillId="26" borderId="26" xfId="0" applyNumberFormat="1" applyFont="1" applyFill="1" applyBorder="1" applyAlignment="1">
      <alignment horizontal="center" vertical="center" wrapText="1"/>
    </xf>
    <xf numFmtId="0" fontId="9" fillId="26" borderId="26" xfId="0" applyFont="1" applyFill="1" applyBorder="1"/>
    <xf numFmtId="0" fontId="11" fillId="26" borderId="5" xfId="0" applyFont="1" applyFill="1" applyBorder="1" applyAlignment="1">
      <alignment vertical="center" wrapText="1"/>
    </xf>
    <xf numFmtId="0" fontId="11" fillId="26" borderId="0" xfId="0" applyFont="1" applyFill="1" applyAlignment="1">
      <alignment vertical="center" wrapText="1"/>
    </xf>
    <xf numFmtId="0" fontId="0" fillId="26" borderId="0" xfId="0" applyFill="1"/>
    <xf numFmtId="0" fontId="13" fillId="19" borderId="1" xfId="0" applyFont="1" applyFill="1" applyBorder="1" applyAlignment="1">
      <alignment horizontal="left" vertical="center" wrapText="1"/>
    </xf>
    <xf numFmtId="0" fontId="13" fillId="19" borderId="4" xfId="0" applyFont="1" applyFill="1" applyBorder="1" applyAlignment="1">
      <alignment horizontal="center" vertical="center" wrapText="1"/>
    </xf>
    <xf numFmtId="0" fontId="13" fillId="21" borderId="1" xfId="0" applyFont="1" applyFill="1" applyBorder="1" applyAlignment="1">
      <alignment horizontal="left" vertical="center" wrapText="1"/>
    </xf>
    <xf numFmtId="0" fontId="11" fillId="21" borderId="1" xfId="0" applyFont="1" applyFill="1" applyBorder="1" applyAlignment="1">
      <alignment horizontal="left" vertical="center" wrapText="1"/>
    </xf>
    <xf numFmtId="0" fontId="13" fillId="19" borderId="2" xfId="0" applyFont="1" applyFill="1" applyBorder="1" applyAlignment="1">
      <alignment horizontal="center" vertical="center" wrapText="1"/>
    </xf>
    <xf numFmtId="0" fontId="13" fillId="19" borderId="13" xfId="0" applyFont="1" applyFill="1" applyBorder="1" applyAlignment="1">
      <alignment horizontal="left" vertical="center" wrapText="1"/>
    </xf>
    <xf numFmtId="0" fontId="11" fillId="19" borderId="13" xfId="0" applyFont="1" applyFill="1" applyBorder="1" applyAlignment="1">
      <alignment horizontal="left" vertical="center" wrapText="1"/>
    </xf>
    <xf numFmtId="0" fontId="11" fillId="19" borderId="13" xfId="0" applyFont="1" applyFill="1" applyBorder="1" applyAlignment="1">
      <alignment horizontal="center" vertical="center" wrapText="1"/>
    </xf>
    <xf numFmtId="0" fontId="13" fillId="21" borderId="8" xfId="0" applyFont="1" applyFill="1" applyBorder="1" applyAlignment="1">
      <alignment horizontal="left" vertical="center" wrapText="1"/>
    </xf>
    <xf numFmtId="0" fontId="11" fillId="21" borderId="8" xfId="0" applyFont="1" applyFill="1" applyBorder="1" applyAlignment="1">
      <alignment horizontal="left" vertical="center" wrapText="1"/>
    </xf>
    <xf numFmtId="0" fontId="11" fillId="21" borderId="8" xfId="0" applyFont="1" applyFill="1" applyBorder="1" applyAlignment="1">
      <alignment horizontal="center" vertical="center" wrapText="1"/>
    </xf>
    <xf numFmtId="0" fontId="11" fillId="21" borderId="4" xfId="0" applyFont="1" applyFill="1" applyBorder="1" applyAlignment="1">
      <alignment horizontal="center" vertical="center" wrapText="1"/>
    </xf>
    <xf numFmtId="0" fontId="13" fillId="0" borderId="11" xfId="0" applyFont="1" applyBorder="1" applyAlignment="1">
      <alignment horizontal="left" vertical="center" wrapText="1"/>
    </xf>
    <xf numFmtId="0" fontId="11" fillId="19" borderId="11" xfId="0" applyFont="1" applyFill="1" applyBorder="1" applyAlignment="1">
      <alignment horizontal="left" vertical="center" wrapText="1"/>
    </xf>
    <xf numFmtId="0" fontId="11" fillId="19" borderId="11" xfId="0" applyFont="1" applyFill="1" applyBorder="1" applyAlignment="1">
      <alignment horizontal="center" vertical="center" wrapText="1"/>
    </xf>
    <xf numFmtId="0" fontId="13" fillId="21" borderId="8" xfId="0" applyFont="1" applyFill="1" applyBorder="1" applyAlignment="1">
      <alignment horizontal="center" vertical="center" wrapText="1"/>
    </xf>
    <xf numFmtId="0" fontId="11" fillId="19" borderId="2" xfId="0" applyFont="1" applyFill="1" applyBorder="1" applyAlignment="1">
      <alignment horizontal="center" vertical="center" wrapText="1"/>
    </xf>
    <xf numFmtId="0" fontId="11" fillId="21" borderId="1" xfId="0" applyFont="1" applyFill="1" applyBorder="1" applyAlignment="1">
      <alignment horizontal="left" vertical="top" wrapText="1"/>
    </xf>
    <xf numFmtId="0" fontId="11" fillId="19" borderId="1" xfId="0" applyFont="1" applyFill="1" applyBorder="1" applyAlignment="1">
      <alignment horizontal="left" vertical="top" wrapText="1"/>
    </xf>
    <xf numFmtId="0" fontId="11" fillId="21" borderId="19" xfId="0" applyFont="1" applyFill="1" applyBorder="1" applyAlignment="1">
      <alignment horizontal="center" vertical="center" wrapText="1"/>
    </xf>
    <xf numFmtId="0" fontId="11" fillId="21" borderId="1" xfId="0" applyFont="1" applyFill="1" applyBorder="1" applyAlignment="1">
      <alignment horizontal="center" vertical="center" wrapText="1"/>
    </xf>
    <xf numFmtId="6" fontId="14" fillId="11" borderId="18" xfId="0" applyNumberFormat="1" applyFont="1" applyFill="1" applyBorder="1" applyAlignment="1">
      <alignment horizontal="center" vertical="center" wrapText="1"/>
    </xf>
    <xf numFmtId="0" fontId="18" fillId="19" borderId="1" xfId="0" applyFont="1" applyFill="1" applyBorder="1" applyAlignment="1">
      <alignment horizontal="center" vertical="center" wrapText="1"/>
    </xf>
    <xf numFmtId="0" fontId="13" fillId="19" borderId="8" xfId="0" applyFont="1" applyFill="1" applyBorder="1" applyAlignment="1">
      <alignment horizontal="center" vertical="center" wrapText="1"/>
    </xf>
    <xf numFmtId="165" fontId="15" fillId="11" borderId="11" xfId="0" applyNumberFormat="1" applyFont="1" applyFill="1" applyBorder="1" applyAlignment="1">
      <alignment horizontal="center" vertical="center" wrapText="1"/>
    </xf>
    <xf numFmtId="165" fontId="11" fillId="11" borderId="6" xfId="0" applyNumberFormat="1" applyFont="1" applyFill="1" applyBorder="1" applyAlignment="1">
      <alignment horizontal="center" vertical="center" wrapText="1"/>
    </xf>
    <xf numFmtId="0" fontId="9" fillId="26" borderId="21" xfId="0" applyFont="1" applyFill="1" applyBorder="1"/>
    <xf numFmtId="165" fontId="15" fillId="26" borderId="26" xfId="0" applyNumberFormat="1" applyFont="1" applyFill="1" applyBorder="1" applyAlignment="1">
      <alignment horizontal="center" vertical="center" wrapText="1"/>
    </xf>
    <xf numFmtId="0" fontId="13" fillId="32" borderId="21" xfId="0" applyFont="1" applyFill="1" applyBorder="1" applyAlignment="1">
      <alignment horizontal="center" vertical="center" wrapText="1"/>
    </xf>
    <xf numFmtId="0" fontId="13" fillId="32" borderId="14" xfId="0" applyFont="1" applyFill="1" applyBorder="1" applyAlignment="1">
      <alignment horizontal="center" vertical="center" wrapText="1"/>
    </xf>
    <xf numFmtId="0" fontId="9" fillId="32" borderId="27" xfId="0" applyFont="1" applyFill="1" applyBorder="1" applyAlignment="1">
      <alignment horizontal="center" vertical="center"/>
    </xf>
    <xf numFmtId="0" fontId="10" fillId="0" borderId="0" xfId="0" applyFont="1" applyAlignment="1">
      <alignment horizontal="left" vertical="center" wrapText="1"/>
    </xf>
    <xf numFmtId="0" fontId="11" fillId="0" borderId="8" xfId="0" applyFont="1" applyBorder="1" applyAlignment="1">
      <alignment horizontal="center" vertical="center"/>
    </xf>
    <xf numFmtId="0" fontId="11" fillId="14" borderId="11" xfId="0" applyFont="1" applyFill="1" applyBorder="1" applyAlignment="1">
      <alignment horizontal="left" vertical="center" wrapText="1"/>
    </xf>
    <xf numFmtId="0" fontId="11" fillId="14" borderId="13" xfId="0" applyFont="1" applyFill="1" applyBorder="1" applyAlignment="1">
      <alignment horizontal="left" vertical="center" wrapText="1"/>
    </xf>
    <xf numFmtId="0" fontId="0" fillId="32" borderId="0" xfId="0" applyFill="1"/>
    <xf numFmtId="167" fontId="11" fillId="0" borderId="19" xfId="0" applyNumberFormat="1" applyFont="1" applyBorder="1" applyAlignment="1">
      <alignment horizontal="left" vertical="center" wrapText="1"/>
    </xf>
    <xf numFmtId="0" fontId="11" fillId="14" borderId="8" xfId="0" applyFont="1" applyFill="1" applyBorder="1" applyAlignment="1">
      <alignment horizontal="left" vertical="center" wrapText="1"/>
    </xf>
    <xf numFmtId="0" fontId="7" fillId="11" borderId="13" xfId="0" applyFont="1" applyFill="1" applyBorder="1" applyAlignment="1">
      <alignment horizontal="left" vertical="center" wrapText="1"/>
    </xf>
    <xf numFmtId="6" fontId="14" fillId="11" borderId="12" xfId="0" applyNumberFormat="1" applyFont="1" applyFill="1" applyBorder="1" applyAlignment="1">
      <alignment horizontal="center" vertical="center" wrapText="1"/>
    </xf>
    <xf numFmtId="0" fontId="14" fillId="0" borderId="4" xfId="0" applyFont="1" applyBorder="1" applyAlignment="1">
      <alignment horizontal="left" vertical="center" wrapText="1"/>
    </xf>
    <xf numFmtId="0" fontId="9" fillId="32" borderId="25" xfId="0" applyFont="1" applyFill="1" applyBorder="1" applyAlignment="1">
      <alignment horizontal="center" vertical="center"/>
    </xf>
    <xf numFmtId="0" fontId="11" fillId="32" borderId="11" xfId="0" applyFont="1" applyFill="1" applyBorder="1" applyAlignment="1">
      <alignment vertical="center" wrapText="1"/>
    </xf>
    <xf numFmtId="165" fontId="11" fillId="11" borderId="15" xfId="0" applyNumberFormat="1" applyFont="1" applyFill="1" applyBorder="1" applyAlignment="1">
      <alignment horizontal="center" vertical="center" wrapText="1"/>
    </xf>
    <xf numFmtId="167" fontId="11" fillId="0" borderId="15" xfId="0" applyNumberFormat="1" applyFont="1" applyBorder="1" applyAlignment="1">
      <alignment horizontal="left" vertical="center" wrapText="1"/>
    </xf>
    <xf numFmtId="0" fontId="14" fillId="0" borderId="1" xfId="0" applyFont="1" applyBorder="1" applyAlignment="1">
      <alignment horizontal="left" vertical="center" wrapText="1"/>
    </xf>
    <xf numFmtId="0" fontId="11" fillId="14" borderId="1" xfId="0" applyFont="1" applyFill="1" applyBorder="1" applyAlignment="1">
      <alignment horizontal="left" vertical="top" wrapText="1"/>
    </xf>
    <xf numFmtId="0" fontId="11" fillId="0" borderId="13" xfId="0" applyFont="1" applyBorder="1" applyAlignment="1">
      <alignment vertical="center" wrapText="1"/>
    </xf>
    <xf numFmtId="0" fontId="11" fillId="0" borderId="1" xfId="0" applyFont="1" applyBorder="1" applyAlignment="1">
      <alignment horizontal="left" vertical="top" wrapText="1"/>
    </xf>
    <xf numFmtId="0" fontId="11" fillId="14" borderId="1" xfId="0" applyFont="1" applyFill="1" applyBorder="1" applyAlignment="1">
      <alignment horizontal="center" vertical="center" wrapText="1"/>
    </xf>
    <xf numFmtId="0" fontId="7" fillId="14" borderId="14" xfId="0" applyFont="1" applyFill="1" applyBorder="1" applyAlignment="1">
      <alignment horizontal="left" vertical="center" wrapText="1"/>
    </xf>
    <xf numFmtId="0" fontId="7" fillId="14" borderId="12" xfId="0" applyFont="1" applyFill="1" applyBorder="1" applyAlignment="1">
      <alignment horizontal="left" vertical="center" wrapText="1"/>
    </xf>
    <xf numFmtId="0" fontId="7" fillId="14" borderId="13" xfId="0" applyFont="1" applyFill="1" applyBorder="1" applyAlignment="1">
      <alignment horizontal="center" vertical="center" wrapText="1"/>
    </xf>
    <xf numFmtId="0" fontId="13" fillId="0" borderId="8" xfId="0" applyFont="1" applyBorder="1" applyAlignment="1">
      <alignment horizontal="center" vertical="center" wrapText="1"/>
    </xf>
    <xf numFmtId="0" fontId="14" fillId="0" borderId="12" xfId="0" applyFont="1" applyBorder="1" applyAlignment="1">
      <alignment horizontal="center" vertical="center" wrapText="1"/>
    </xf>
    <xf numFmtId="0" fontId="7" fillId="14" borderId="8" xfId="0" applyFont="1" applyFill="1" applyBorder="1" applyAlignment="1">
      <alignment horizontal="center" vertical="center" wrapText="1"/>
    </xf>
    <xf numFmtId="0" fontId="14" fillId="0" borderId="13" xfId="0" applyFont="1" applyBorder="1" applyAlignment="1">
      <alignment horizontal="left" vertical="center" wrapText="1"/>
    </xf>
    <xf numFmtId="3" fontId="11" fillId="11" borderId="4" xfId="0" applyNumberFormat="1" applyFont="1" applyFill="1" applyBorder="1" applyAlignment="1">
      <alignment horizontal="center" vertical="center" wrapText="1"/>
    </xf>
    <xf numFmtId="0" fontId="21" fillId="26" borderId="10" xfId="0" applyFont="1" applyFill="1" applyBorder="1" applyAlignment="1">
      <alignment horizontal="center" vertical="center" wrapText="1"/>
    </xf>
    <xf numFmtId="0" fontId="9" fillId="26" borderId="21" xfId="0" applyFont="1" applyFill="1" applyBorder="1" applyAlignment="1">
      <alignment horizontal="center" vertical="center"/>
    </xf>
    <xf numFmtId="0" fontId="9" fillId="26" borderId="0" xfId="0" applyFont="1" applyFill="1" applyAlignment="1">
      <alignment horizontal="center" vertical="center"/>
    </xf>
    <xf numFmtId="0" fontId="13" fillId="14" borderId="13" xfId="0" applyFont="1" applyFill="1" applyBorder="1" applyAlignment="1">
      <alignment vertical="center" wrapText="1"/>
    </xf>
    <xf numFmtId="0" fontId="16" fillId="14" borderId="21" xfId="0" applyFont="1" applyFill="1" applyBorder="1" applyAlignment="1">
      <alignment horizontal="center" vertical="center" wrapText="1"/>
    </xf>
    <xf numFmtId="0" fontId="13" fillId="11" borderId="11" xfId="0" applyFont="1" applyFill="1" applyBorder="1" applyAlignment="1">
      <alignment vertical="center" wrapText="1"/>
    </xf>
    <xf numFmtId="167" fontId="11" fillId="11" borderId="15" xfId="0" applyNumberFormat="1" applyFont="1" applyFill="1" applyBorder="1" applyAlignment="1">
      <alignment horizontal="left" vertical="center" wrapText="1"/>
    </xf>
    <xf numFmtId="165" fontId="11" fillId="0" borderId="11" xfId="0" applyNumberFormat="1" applyFont="1" applyBorder="1" applyAlignment="1">
      <alignment horizontal="center" vertical="center" wrapText="1"/>
    </xf>
    <xf numFmtId="0" fontId="11" fillId="25" borderId="1" xfId="0" applyFont="1" applyFill="1" applyBorder="1" applyAlignment="1">
      <alignment vertical="center" wrapText="1"/>
    </xf>
    <xf numFmtId="0" fontId="10" fillId="0" borderId="0" xfId="0" applyFont="1" applyAlignment="1">
      <alignment vertical="center"/>
    </xf>
    <xf numFmtId="0" fontId="13" fillId="0" borderId="4" xfId="0" applyFont="1" applyBorder="1" applyAlignment="1">
      <alignment horizontal="center" vertical="center" wrapText="1"/>
    </xf>
    <xf numFmtId="0" fontId="13" fillId="14" borderId="8" xfId="0" applyFont="1" applyFill="1" applyBorder="1" applyAlignment="1">
      <alignment vertical="center" wrapText="1"/>
    </xf>
    <xf numFmtId="165" fontId="15" fillId="0" borderId="4" xfId="0" applyNumberFormat="1" applyFont="1" applyBorder="1" applyAlignment="1">
      <alignment horizontal="center" vertical="center" wrapText="1"/>
    </xf>
    <xf numFmtId="165" fontId="15" fillId="0" borderId="17" xfId="0" applyNumberFormat="1" applyFont="1" applyBorder="1" applyAlignment="1">
      <alignment horizontal="center" vertical="center" wrapText="1"/>
    </xf>
    <xf numFmtId="0" fontId="0" fillId="0" borderId="1" xfId="0" applyBorder="1" applyAlignment="1">
      <alignment horizontal="center" vertical="center"/>
    </xf>
    <xf numFmtId="0" fontId="13" fillId="21" borderId="8" xfId="0" applyFont="1" applyFill="1" applyBorder="1" applyAlignment="1">
      <alignment vertical="center" wrapText="1"/>
    </xf>
    <xf numFmtId="0" fontId="11" fillId="19" borderId="8" xfId="0" applyFont="1" applyFill="1" applyBorder="1" applyAlignment="1">
      <alignment vertical="center" wrapText="1"/>
    </xf>
    <xf numFmtId="0" fontId="13" fillId="21" borderId="11" xfId="0" applyFont="1" applyFill="1" applyBorder="1" applyAlignment="1">
      <alignment vertical="center" wrapText="1"/>
    </xf>
    <xf numFmtId="0" fontId="7" fillId="34" borderId="8" xfId="0" applyFont="1" applyFill="1" applyBorder="1" applyAlignment="1">
      <alignment horizontal="center" vertical="center" wrapText="1"/>
    </xf>
    <xf numFmtId="0" fontId="10" fillId="34" borderId="8" xfId="0" applyFont="1" applyFill="1" applyBorder="1" applyAlignment="1">
      <alignment horizontal="left" vertical="center" wrapText="1"/>
    </xf>
    <xf numFmtId="0" fontId="13" fillId="21" borderId="13" xfId="0" applyFont="1" applyFill="1" applyBorder="1" applyAlignment="1">
      <alignment vertical="center" wrapText="1"/>
    </xf>
    <xf numFmtId="0" fontId="25" fillId="26" borderId="10" xfId="0" applyFont="1" applyFill="1" applyBorder="1" applyAlignment="1">
      <alignment horizontal="center" vertical="center" wrapText="1"/>
    </xf>
    <xf numFmtId="0" fontId="11" fillId="26" borderId="11" xfId="0" applyFont="1" applyFill="1" applyBorder="1" applyAlignment="1">
      <alignment vertical="center" wrapText="1"/>
    </xf>
    <xf numFmtId="0" fontId="16" fillId="11" borderId="9" xfId="0" applyFont="1" applyFill="1" applyBorder="1" applyAlignment="1">
      <alignment horizontal="center" vertical="center" wrapText="1"/>
    </xf>
    <xf numFmtId="0" fontId="10" fillId="11" borderId="0" xfId="0" applyFont="1" applyFill="1" applyAlignment="1">
      <alignment vertical="center" wrapText="1"/>
    </xf>
    <xf numFmtId="166" fontId="11" fillId="11" borderId="1" xfId="5" applyNumberFormat="1" applyFont="1" applyFill="1" applyBorder="1" applyAlignment="1">
      <alignment horizontal="center" vertical="center"/>
    </xf>
    <xf numFmtId="165" fontId="11" fillId="11" borderId="2" xfId="0" applyNumberFormat="1" applyFont="1" applyFill="1" applyBorder="1" applyAlignment="1">
      <alignment horizontal="center" vertical="center"/>
    </xf>
    <xf numFmtId="9" fontId="11" fillId="11" borderId="2" xfId="3" applyFont="1" applyFill="1" applyBorder="1" applyAlignment="1">
      <alignment horizontal="center" vertical="center"/>
    </xf>
    <xf numFmtId="0" fontId="11" fillId="11" borderId="8" xfId="0" applyFont="1" applyFill="1" applyBorder="1" applyAlignment="1">
      <alignment horizontal="left" vertical="center" wrapText="1"/>
    </xf>
    <xf numFmtId="0" fontId="11" fillId="11" borderId="10" xfId="0" applyFont="1" applyFill="1" applyBorder="1" applyAlignment="1">
      <alignment horizontal="center" vertical="center" wrapText="1"/>
    </xf>
    <xf numFmtId="0" fontId="13" fillId="0" borderId="13" xfId="0" applyFont="1" applyBorder="1" applyAlignment="1">
      <alignment vertical="center" wrapText="1"/>
    </xf>
    <xf numFmtId="0" fontId="11" fillId="0" borderId="13" xfId="0" applyFont="1" applyBorder="1" applyAlignment="1">
      <alignment horizontal="left" vertical="center" wrapText="1"/>
    </xf>
    <xf numFmtId="165" fontId="15" fillId="11" borderId="4"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3" fontId="11" fillId="11" borderId="1" xfId="0" applyNumberFormat="1" applyFont="1" applyFill="1" applyBorder="1" applyAlignment="1">
      <alignment horizontal="center" vertical="center" wrapText="1"/>
    </xf>
    <xf numFmtId="165" fontId="15" fillId="11" borderId="2" xfId="0" applyNumberFormat="1" applyFont="1" applyFill="1" applyBorder="1" applyAlignment="1">
      <alignment horizontal="center" vertical="center" wrapText="1"/>
    </xf>
    <xf numFmtId="165" fontId="15" fillId="11" borderId="15" xfId="0" applyNumberFormat="1" applyFont="1" applyFill="1" applyBorder="1" applyAlignment="1">
      <alignment horizontal="center" vertical="center" wrapText="1"/>
    </xf>
    <xf numFmtId="0" fontId="11" fillId="28" borderId="15" xfId="0" applyFont="1" applyFill="1" applyBorder="1" applyAlignment="1">
      <alignment vertical="center" wrapText="1"/>
    </xf>
    <xf numFmtId="0" fontId="30" fillId="0" borderId="1" xfId="0" applyFont="1" applyBorder="1" applyAlignment="1">
      <alignment vertical="top" wrapText="1"/>
    </xf>
    <xf numFmtId="171" fontId="24" fillId="11" borderId="2" xfId="2" applyNumberFormat="1" applyFont="1" applyFill="1" applyBorder="1" applyAlignment="1">
      <alignment horizontal="left" vertical="center" wrapText="1"/>
    </xf>
    <xf numFmtId="171" fontId="24" fillId="11" borderId="6" xfId="2" applyNumberFormat="1" applyFont="1" applyFill="1" applyBorder="1" applyAlignment="1">
      <alignment horizontal="left" vertical="center" wrapText="1"/>
    </xf>
    <xf numFmtId="0" fontId="26" fillId="0" borderId="8" xfId="0" applyFont="1" applyBorder="1" applyAlignment="1">
      <alignment horizontal="left" vertical="center" wrapText="1"/>
    </xf>
    <xf numFmtId="0" fontId="26" fillId="0" borderId="8" xfId="0" applyFont="1" applyBorder="1" applyAlignment="1">
      <alignment wrapText="1"/>
    </xf>
    <xf numFmtId="0" fontId="11" fillId="26" borderId="19" xfId="0" applyFont="1" applyFill="1" applyBorder="1" applyAlignment="1">
      <alignment vertical="center" wrapText="1"/>
    </xf>
    <xf numFmtId="0" fontId="11" fillId="14" borderId="1" xfId="0" applyFont="1" applyFill="1" applyBorder="1" applyAlignment="1">
      <alignment vertical="center" wrapText="1"/>
    </xf>
    <xf numFmtId="0" fontId="11" fillId="0" borderId="1" xfId="0" applyFont="1" applyBorder="1" applyAlignment="1">
      <alignment horizontal="center" vertical="center"/>
    </xf>
    <xf numFmtId="165" fontId="11" fillId="10" borderId="11" xfId="0" applyNumberFormat="1" applyFont="1" applyFill="1" applyBorder="1" applyAlignment="1">
      <alignment horizontal="center" vertical="center" wrapText="1"/>
    </xf>
    <xf numFmtId="165" fontId="11" fillId="10" borderId="1" xfId="0" applyNumberFormat="1" applyFont="1" applyFill="1" applyBorder="1" applyAlignment="1">
      <alignment horizontal="center" vertical="center" wrapText="1"/>
    </xf>
    <xf numFmtId="3" fontId="11" fillId="10" borderId="4" xfId="0" applyNumberFormat="1" applyFont="1" applyFill="1" applyBorder="1" applyAlignment="1">
      <alignment horizontal="center" vertical="center" wrapText="1"/>
    </xf>
    <xf numFmtId="6" fontId="17" fillId="35" borderId="8" xfId="0" applyNumberFormat="1" applyFont="1" applyFill="1" applyBorder="1" applyAlignment="1">
      <alignment horizontal="center" vertical="center" wrapText="1"/>
    </xf>
    <xf numFmtId="6" fontId="17" fillId="35" borderId="1" xfId="0" applyNumberFormat="1" applyFont="1" applyFill="1" applyBorder="1" applyAlignment="1">
      <alignment horizontal="center" vertical="center" wrapText="1"/>
    </xf>
    <xf numFmtId="165" fontId="11" fillId="10" borderId="8" xfId="0" applyNumberFormat="1" applyFont="1" applyFill="1" applyBorder="1" applyAlignment="1">
      <alignment horizontal="center" vertical="center" wrapText="1"/>
    </xf>
    <xf numFmtId="165" fontId="11" fillId="10" borderId="18" xfId="0" applyNumberFormat="1" applyFont="1" applyFill="1" applyBorder="1" applyAlignment="1">
      <alignment horizontal="center" vertical="center" wrapText="1"/>
    </xf>
    <xf numFmtId="0" fontId="9" fillId="11" borderId="8" xfId="0" applyFont="1" applyFill="1" applyBorder="1" applyAlignment="1">
      <alignment horizontal="left" vertical="center" wrapText="1"/>
    </xf>
    <xf numFmtId="0" fontId="13" fillId="21" borderId="1" xfId="0" applyFont="1" applyFill="1" applyBorder="1" applyAlignment="1">
      <alignment horizontal="center" vertical="center" wrapText="1"/>
    </xf>
    <xf numFmtId="6" fontId="17" fillId="20" borderId="4" xfId="0" applyNumberFormat="1" applyFont="1" applyFill="1" applyBorder="1" applyAlignment="1">
      <alignment horizontal="center" vertical="center" wrapText="1"/>
    </xf>
    <xf numFmtId="0" fontId="9" fillId="26" borderId="0" xfId="0" applyFont="1" applyFill="1"/>
    <xf numFmtId="166" fontId="13" fillId="0" borderId="8" xfId="1" applyNumberFormat="1" applyFont="1" applyFill="1" applyBorder="1" applyAlignment="1">
      <alignment horizontal="center" vertical="center" wrapText="1"/>
    </xf>
    <xf numFmtId="166" fontId="13" fillId="0" borderId="1" xfId="1" applyNumberFormat="1" applyFont="1" applyFill="1" applyBorder="1" applyAlignment="1">
      <alignment horizontal="center" vertical="center" wrapText="1"/>
    </xf>
    <xf numFmtId="0" fontId="13" fillId="19" borderId="9" xfId="0" applyFont="1" applyFill="1" applyBorder="1" applyAlignment="1">
      <alignment horizontal="center" vertical="center" wrapText="1"/>
    </xf>
    <xf numFmtId="166" fontId="13" fillId="36" borderId="8" xfId="1" applyNumberFormat="1" applyFont="1" applyFill="1" applyBorder="1" applyAlignment="1">
      <alignment horizontal="center" vertical="center" wrapText="1"/>
    </xf>
    <xf numFmtId="166" fontId="13" fillId="36" borderId="1" xfId="1" applyNumberFormat="1" applyFont="1" applyFill="1" applyBorder="1" applyAlignment="1">
      <alignment horizontal="center" vertical="center" wrapText="1"/>
    </xf>
    <xf numFmtId="0" fontId="13" fillId="19" borderId="10" xfId="0" applyFont="1" applyFill="1" applyBorder="1" applyAlignment="1">
      <alignment horizontal="center" vertical="center" wrapText="1"/>
    </xf>
    <xf numFmtId="166" fontId="13" fillId="36" borderId="11" xfId="1" applyNumberFormat="1" applyFont="1" applyFill="1" applyBorder="1" applyAlignment="1">
      <alignment horizontal="center" vertical="center" wrapText="1"/>
    </xf>
    <xf numFmtId="166" fontId="13" fillId="21" borderId="8" xfId="1" applyNumberFormat="1" applyFont="1" applyFill="1" applyBorder="1" applyAlignment="1">
      <alignment horizontal="center" vertical="center" wrapText="1"/>
    </xf>
    <xf numFmtId="166" fontId="13" fillId="21" borderId="1" xfId="1" applyNumberFormat="1" applyFont="1" applyFill="1" applyBorder="1" applyAlignment="1">
      <alignment horizontal="center" vertical="center" wrapText="1"/>
    </xf>
    <xf numFmtId="0" fontId="18" fillId="0" borderId="8" xfId="0" applyFont="1" applyBorder="1" applyAlignment="1">
      <alignment horizontal="center" vertical="center" wrapText="1"/>
    </xf>
    <xf numFmtId="0" fontId="10" fillId="11" borderId="8" xfId="0" applyFont="1" applyFill="1" applyBorder="1" applyAlignment="1">
      <alignment horizontal="left" vertical="center" wrapText="1"/>
    </xf>
    <xf numFmtId="0" fontId="18" fillId="19" borderId="8" xfId="0" applyFont="1" applyFill="1" applyBorder="1" applyAlignment="1">
      <alignment horizontal="center" vertical="center" wrapText="1"/>
    </xf>
    <xf numFmtId="166" fontId="11" fillId="21" borderId="8" xfId="1" applyNumberFormat="1" applyFont="1" applyFill="1" applyBorder="1" applyAlignment="1">
      <alignment horizontal="center" vertical="center" wrapText="1"/>
    </xf>
    <xf numFmtId="0" fontId="13" fillId="28" borderId="1" xfId="0" applyFont="1" applyFill="1" applyBorder="1" applyAlignment="1">
      <alignment horizontal="center" vertical="center" wrapText="1"/>
    </xf>
    <xf numFmtId="165" fontId="14" fillId="19" borderId="8" xfId="1" applyNumberFormat="1" applyFont="1" applyFill="1" applyBorder="1" applyAlignment="1">
      <alignment horizontal="center" vertical="center" wrapText="1"/>
    </xf>
    <xf numFmtId="165" fontId="14" fillId="19" borderId="1" xfId="1" applyNumberFormat="1" applyFont="1" applyFill="1" applyBorder="1" applyAlignment="1">
      <alignment horizontal="center" vertical="center" wrapText="1"/>
    </xf>
    <xf numFmtId="165" fontId="14" fillId="19" borderId="5" xfId="1" applyNumberFormat="1" applyFont="1" applyFill="1" applyBorder="1" applyAlignment="1">
      <alignment horizontal="center" vertical="center" wrapText="1"/>
    </xf>
    <xf numFmtId="0" fontId="14" fillId="20" borderId="5" xfId="0" applyFont="1" applyFill="1" applyBorder="1" applyAlignment="1">
      <alignment horizontal="center" vertical="center" wrapText="1"/>
    </xf>
    <xf numFmtId="0" fontId="18" fillId="21" borderId="5" xfId="0" applyFont="1" applyFill="1" applyBorder="1" applyAlignment="1">
      <alignment horizontal="center" vertical="center" wrapText="1"/>
    </xf>
    <xf numFmtId="0" fontId="14" fillId="11" borderId="5" xfId="0" applyFont="1" applyFill="1" applyBorder="1" applyAlignment="1">
      <alignment horizontal="center" vertical="center" wrapText="1"/>
    </xf>
    <xf numFmtId="165" fontId="14" fillId="21" borderId="8" xfId="0" applyNumberFormat="1" applyFont="1" applyFill="1" applyBorder="1" applyAlignment="1">
      <alignment wrapText="1"/>
    </xf>
    <xf numFmtId="165" fontId="11" fillId="21" borderId="8" xfId="1" applyNumberFormat="1" applyFont="1" applyFill="1" applyBorder="1" applyAlignment="1">
      <alignment horizontal="center" vertical="center" wrapText="1"/>
    </xf>
    <xf numFmtId="165" fontId="14" fillId="21" borderId="5" xfId="0" applyNumberFormat="1" applyFont="1" applyFill="1" applyBorder="1" applyAlignment="1">
      <alignment wrapText="1"/>
    </xf>
    <xf numFmtId="0" fontId="14" fillId="30" borderId="5" xfId="0" applyFont="1" applyFill="1" applyBorder="1" applyAlignment="1">
      <alignment wrapText="1"/>
    </xf>
    <xf numFmtId="0" fontId="18" fillId="19" borderId="5" xfId="0" applyFont="1" applyFill="1" applyBorder="1" applyAlignment="1">
      <alignment wrapText="1"/>
    </xf>
    <xf numFmtId="0" fontId="14" fillId="0" borderId="5" xfId="0" applyFont="1" applyBorder="1" applyAlignment="1">
      <alignment wrapText="1"/>
    </xf>
    <xf numFmtId="166" fontId="11" fillId="21" borderId="1" xfId="1" applyNumberFormat="1" applyFont="1" applyFill="1" applyBorder="1" applyAlignment="1">
      <alignment horizontal="center" vertical="center" wrapText="1"/>
    </xf>
    <xf numFmtId="0" fontId="32" fillId="19" borderId="1" xfId="4" applyFill="1" applyBorder="1" applyAlignment="1">
      <alignment horizontal="center" vertical="center" wrapText="1"/>
    </xf>
    <xf numFmtId="0" fontId="32" fillId="19" borderId="8" xfId="4" applyFill="1" applyBorder="1" applyAlignment="1">
      <alignment horizontal="center" vertical="center" wrapText="1"/>
    </xf>
    <xf numFmtId="6" fontId="14" fillId="11" borderId="8" xfId="0" applyNumberFormat="1" applyFont="1" applyFill="1" applyBorder="1" applyAlignment="1">
      <alignment horizontal="left" vertical="center" wrapText="1"/>
    </xf>
    <xf numFmtId="6" fontId="14" fillId="11" borderId="1" xfId="0" applyNumberFormat="1" applyFont="1" applyFill="1" applyBorder="1" applyAlignment="1">
      <alignment horizontal="left" vertical="center" wrapText="1"/>
    </xf>
    <xf numFmtId="0" fontId="33" fillId="19" borderId="1" xfId="0" applyFont="1" applyFill="1" applyBorder="1" applyAlignment="1">
      <alignment horizontal="center" vertical="center" wrapText="1"/>
    </xf>
    <xf numFmtId="0" fontId="33" fillId="19" borderId="8" xfId="0" applyFont="1" applyFill="1" applyBorder="1" applyAlignment="1">
      <alignment horizontal="center" vertical="center" wrapText="1"/>
    </xf>
    <xf numFmtId="0" fontId="33" fillId="37" borderId="8" xfId="0" applyFont="1" applyFill="1" applyBorder="1" applyAlignment="1">
      <alignment horizontal="center" vertical="center" wrapText="1"/>
    </xf>
    <xf numFmtId="0" fontId="20" fillId="0" borderId="0" xfId="0" applyFont="1"/>
    <xf numFmtId="6" fontId="14" fillId="20" borderId="13" xfId="0" applyNumberFormat="1" applyFont="1" applyFill="1" applyBorder="1" applyAlignment="1">
      <alignment horizontal="left" vertical="center" wrapText="1"/>
    </xf>
    <xf numFmtId="166" fontId="11" fillId="11" borderId="1" xfId="1" applyNumberFormat="1" applyFont="1" applyFill="1" applyBorder="1" applyAlignment="1">
      <alignment horizontal="left" vertical="center" wrapText="1"/>
    </xf>
    <xf numFmtId="166" fontId="11" fillId="11" borderId="18" xfId="1" applyNumberFormat="1" applyFont="1" applyFill="1" applyBorder="1" applyAlignment="1">
      <alignment horizontal="left" vertical="center" wrapText="1"/>
    </xf>
    <xf numFmtId="0" fontId="14" fillId="20" borderId="8" xfId="0" applyFont="1" applyFill="1" applyBorder="1" applyAlignment="1">
      <alignment vertical="center" wrapText="1"/>
    </xf>
    <xf numFmtId="167" fontId="11" fillId="11" borderId="1" xfId="0" applyNumberFormat="1" applyFont="1" applyFill="1" applyBorder="1" applyAlignment="1">
      <alignment horizontal="left" vertical="center" wrapText="1"/>
    </xf>
    <xf numFmtId="166" fontId="11" fillId="11" borderId="8" xfId="1" applyNumberFormat="1" applyFont="1" applyFill="1" applyBorder="1" applyAlignment="1">
      <alignment horizontal="left" vertical="center" wrapText="1"/>
    </xf>
    <xf numFmtId="6" fontId="14" fillId="11" borderId="2" xfId="0" applyNumberFormat="1" applyFont="1" applyFill="1" applyBorder="1" applyAlignment="1">
      <alignment horizontal="center" vertical="center" wrapText="1"/>
    </xf>
    <xf numFmtId="0" fontId="33" fillId="19" borderId="19" xfId="0" applyFont="1" applyFill="1" applyBorder="1" applyAlignment="1">
      <alignment horizontal="center" vertical="center" wrapText="1"/>
    </xf>
    <xf numFmtId="0" fontId="11" fillId="19" borderId="10" xfId="0" applyFont="1" applyFill="1" applyBorder="1" applyAlignment="1">
      <alignment horizontal="center" vertical="center" wrapText="1"/>
    </xf>
    <xf numFmtId="164" fontId="11" fillId="21" borderId="1" xfId="0" applyNumberFormat="1" applyFont="1" applyFill="1" applyBorder="1" applyAlignment="1">
      <alignment horizontal="right" vertical="center" wrapText="1"/>
    </xf>
    <xf numFmtId="165" fontId="11" fillId="0" borderId="14" xfId="0" applyNumberFormat="1" applyFont="1" applyBorder="1" applyAlignment="1">
      <alignment horizontal="center" vertical="center" wrapText="1"/>
    </xf>
    <xf numFmtId="165" fontId="11" fillId="25" borderId="0" xfId="0" applyNumberFormat="1" applyFont="1" applyFill="1" applyAlignment="1">
      <alignment vertical="center" wrapText="1"/>
    </xf>
    <xf numFmtId="0" fontId="9" fillId="22" borderId="21" xfId="0" applyFont="1" applyFill="1" applyBorder="1"/>
    <xf numFmtId="0" fontId="13" fillId="38" borderId="10" xfId="0" applyFont="1" applyFill="1" applyBorder="1" applyAlignment="1">
      <alignment horizontal="center" vertical="center" wrapText="1"/>
    </xf>
    <xf numFmtId="0" fontId="9" fillId="22" borderId="21" xfId="0" applyFont="1" applyFill="1" applyBorder="1" applyAlignment="1">
      <alignment horizontal="center" vertical="center"/>
    </xf>
    <xf numFmtId="0" fontId="9" fillId="22" borderId="4" xfId="0" applyFont="1" applyFill="1" applyBorder="1"/>
    <xf numFmtId="0" fontId="0" fillId="4" borderId="0" xfId="0" applyFill="1"/>
    <xf numFmtId="0" fontId="9" fillId="4" borderId="25" xfId="0" applyFont="1" applyFill="1" applyBorder="1"/>
    <xf numFmtId="0" fontId="13" fillId="39" borderId="12" xfId="0" applyFont="1" applyFill="1" applyBorder="1" applyAlignment="1">
      <alignment vertical="center" wrapText="1"/>
    </xf>
    <xf numFmtId="0" fontId="9" fillId="4" borderId="25" xfId="0" applyFont="1" applyFill="1" applyBorder="1" applyAlignment="1">
      <alignment horizontal="center" vertical="center"/>
    </xf>
    <xf numFmtId="0" fontId="9" fillId="4" borderId="2" xfId="0" applyFont="1" applyFill="1" applyBorder="1"/>
    <xf numFmtId="0" fontId="11" fillId="4" borderId="2" xfId="0" applyFont="1" applyFill="1" applyBorder="1" applyAlignment="1">
      <alignment vertical="center" wrapText="1"/>
    </xf>
    <xf numFmtId="0" fontId="8" fillId="20" borderId="1" xfId="0" applyFont="1" applyFill="1" applyBorder="1" applyAlignment="1">
      <alignment vertical="center" wrapText="1"/>
    </xf>
    <xf numFmtId="0" fontId="8" fillId="20" borderId="1" xfId="0" applyFont="1" applyFill="1" applyBorder="1" applyAlignment="1">
      <alignment wrapText="1"/>
    </xf>
    <xf numFmtId="0" fontId="8" fillId="20" borderId="1" xfId="0" applyFont="1" applyFill="1" applyBorder="1" applyAlignment="1">
      <alignment horizontal="center" vertical="center" wrapText="1"/>
    </xf>
    <xf numFmtId="0" fontId="9" fillId="20" borderId="1" xfId="0" applyFont="1" applyFill="1" applyBorder="1" applyAlignment="1">
      <alignment wrapText="1"/>
    </xf>
    <xf numFmtId="0" fontId="0" fillId="26" borderId="29" xfId="0" applyFill="1" applyBorder="1"/>
    <xf numFmtId="6" fontId="22" fillId="11" borderId="1" xfId="0" applyNumberFormat="1" applyFont="1" applyFill="1" applyBorder="1" applyAlignment="1">
      <alignment horizontal="center" vertical="center" wrapText="1"/>
    </xf>
    <xf numFmtId="0" fontId="13" fillId="11" borderId="1" xfId="0" applyFont="1" applyFill="1" applyBorder="1" applyAlignment="1">
      <alignment vertical="center" wrapText="1"/>
    </xf>
    <xf numFmtId="0" fontId="11" fillId="11" borderId="1" xfId="0" applyFont="1" applyFill="1" applyBorder="1" applyAlignment="1">
      <alignment horizontal="left" vertical="center" wrapText="1"/>
    </xf>
    <xf numFmtId="0" fontId="7" fillId="11" borderId="1" xfId="0" applyFont="1" applyFill="1" applyBorder="1" applyAlignment="1">
      <alignment horizontal="left" vertical="center" wrapText="1"/>
    </xf>
    <xf numFmtId="0" fontId="13" fillId="14" borderId="1" xfId="0" applyFont="1" applyFill="1" applyBorder="1" applyAlignment="1">
      <alignment vertical="center" wrapText="1"/>
    </xf>
    <xf numFmtId="0" fontId="11" fillId="14" borderId="1" xfId="0" applyFont="1" applyFill="1" applyBorder="1" applyAlignment="1">
      <alignment horizontal="left" vertical="center" wrapText="1"/>
    </xf>
    <xf numFmtId="0" fontId="7" fillId="14" borderId="1" xfId="0" applyFont="1" applyFill="1" applyBorder="1" applyAlignment="1">
      <alignment horizontal="left" vertical="center" wrapText="1"/>
    </xf>
    <xf numFmtId="167" fontId="11" fillId="11" borderId="1" xfId="0" applyNumberFormat="1" applyFont="1" applyFill="1" applyBorder="1" applyAlignment="1">
      <alignment horizontal="center" vertical="center" wrapText="1"/>
    </xf>
    <xf numFmtId="0" fontId="6" fillId="11" borderId="15" xfId="0" applyFont="1" applyFill="1" applyBorder="1" applyAlignment="1">
      <alignment horizontal="center" vertical="center" wrapText="1"/>
    </xf>
    <xf numFmtId="0" fontId="8" fillId="20" borderId="15" xfId="0" applyFont="1" applyFill="1" applyBorder="1" applyAlignment="1">
      <alignment horizontal="center" vertical="center" wrapText="1"/>
    </xf>
    <xf numFmtId="0" fontId="9" fillId="20" borderId="30" xfId="0" applyFont="1" applyFill="1" applyBorder="1" applyAlignment="1">
      <alignment vertical="center" wrapText="1"/>
    </xf>
    <xf numFmtId="0" fontId="10" fillId="16" borderId="19" xfId="0" applyFont="1" applyFill="1" applyBorder="1" applyAlignment="1">
      <alignment horizontal="center" vertical="center" wrapText="1"/>
    </xf>
    <xf numFmtId="0" fontId="10" fillId="11" borderId="19" xfId="0" applyFont="1" applyFill="1" applyBorder="1" applyAlignment="1">
      <alignment horizontal="center" vertical="center" wrapText="1"/>
    </xf>
    <xf numFmtId="170" fontId="7" fillId="11" borderId="19" xfId="0" applyNumberFormat="1" applyFont="1" applyFill="1" applyBorder="1" applyAlignment="1">
      <alignment horizontal="center" vertical="center" wrapText="1"/>
    </xf>
    <xf numFmtId="0" fontId="11" fillId="11" borderId="20" xfId="0" applyFont="1" applyFill="1" applyBorder="1" applyAlignment="1">
      <alignment horizontal="center" vertical="center" wrapText="1"/>
    </xf>
    <xf numFmtId="165" fontId="3" fillId="11" borderId="15" xfId="0" applyNumberFormat="1" applyFont="1" applyFill="1" applyBorder="1" applyAlignment="1">
      <alignment horizontal="center" vertical="center"/>
    </xf>
    <xf numFmtId="0" fontId="10" fillId="11" borderId="4" xfId="0" applyFont="1" applyFill="1" applyBorder="1" applyAlignment="1">
      <alignment horizontal="center" vertical="center" wrapText="1"/>
    </xf>
    <xf numFmtId="166" fontId="0" fillId="11" borderId="0" xfId="0" applyNumberFormat="1" applyFill="1" applyAlignment="1">
      <alignment horizontal="center" vertical="center"/>
    </xf>
    <xf numFmtId="165" fontId="11" fillId="11" borderId="0" xfId="0" applyNumberFormat="1" applyFont="1" applyFill="1" applyAlignment="1">
      <alignment vertical="center" wrapText="1"/>
    </xf>
    <xf numFmtId="165" fontId="3" fillId="25" borderId="1" xfId="0" applyNumberFormat="1" applyFont="1" applyFill="1" applyBorder="1" applyAlignment="1">
      <alignment horizontal="center" vertical="center"/>
    </xf>
    <xf numFmtId="9" fontId="3" fillId="25" borderId="1" xfId="3" applyFont="1" applyFill="1" applyBorder="1" applyAlignment="1">
      <alignment horizontal="center" vertical="center"/>
    </xf>
    <xf numFmtId="0" fontId="10" fillId="25" borderId="1" xfId="0" applyFont="1" applyFill="1" applyBorder="1" applyAlignment="1">
      <alignment horizontal="center" vertical="center" wrapText="1"/>
    </xf>
    <xf numFmtId="0" fontId="11" fillId="11" borderId="18" xfId="0" applyFont="1" applyFill="1" applyBorder="1" applyAlignment="1">
      <alignment horizontal="center" vertical="center" wrapText="1"/>
    </xf>
    <xf numFmtId="0" fontId="6" fillId="11" borderId="26" xfId="0" applyFont="1" applyFill="1" applyBorder="1" applyAlignment="1">
      <alignment horizontal="center" vertical="center" wrapText="1"/>
    </xf>
    <xf numFmtId="0" fontId="7" fillId="11" borderId="0" xfId="0" applyFont="1" applyFill="1" applyAlignment="1">
      <alignment horizontal="center" vertical="center" wrapText="1"/>
    </xf>
    <xf numFmtId="0" fontId="8" fillId="20" borderId="3" xfId="0" applyFont="1" applyFill="1" applyBorder="1" applyAlignment="1">
      <alignment horizontal="center" vertical="center" wrapText="1"/>
    </xf>
    <xf numFmtId="0" fontId="9" fillId="20" borderId="3" xfId="0" applyFont="1" applyFill="1" applyBorder="1" applyAlignment="1">
      <alignment wrapText="1"/>
    </xf>
    <xf numFmtId="0" fontId="10" fillId="16" borderId="0" xfId="0" applyFont="1" applyFill="1" applyAlignment="1">
      <alignment horizontal="center" vertical="center" wrapText="1"/>
    </xf>
    <xf numFmtId="0" fontId="10" fillId="11" borderId="0" xfId="0" applyFont="1" applyFill="1" applyAlignment="1">
      <alignment horizontal="center" vertical="center" wrapText="1"/>
    </xf>
    <xf numFmtId="170" fontId="7" fillId="11" borderId="0" xfId="0" applyNumberFormat="1" applyFont="1" applyFill="1" applyAlignment="1">
      <alignment horizontal="center" vertical="center" wrapText="1"/>
    </xf>
    <xf numFmtId="165" fontId="11" fillId="11" borderId="0" xfId="0" applyNumberFormat="1" applyFont="1" applyFill="1" applyAlignment="1">
      <alignment horizontal="center" vertical="center" wrapText="1"/>
    </xf>
    <xf numFmtId="0" fontId="11" fillId="11" borderId="0" xfId="0" applyFont="1" applyFill="1" applyAlignment="1">
      <alignment horizontal="center" vertical="center" wrapText="1"/>
    </xf>
    <xf numFmtId="165" fontId="3" fillId="11" borderId="0" xfId="0" applyNumberFormat="1" applyFont="1" applyFill="1" applyAlignment="1">
      <alignment horizontal="center" vertical="center"/>
    </xf>
    <xf numFmtId="9" fontId="3" fillId="11" borderId="0" xfId="3" applyFont="1" applyFill="1" applyBorder="1" applyAlignment="1">
      <alignment horizontal="center" vertical="center"/>
    </xf>
    <xf numFmtId="0" fontId="11" fillId="0" borderId="0" xfId="0" applyFont="1" applyAlignment="1">
      <alignment horizontal="center" vertical="center" wrapText="1"/>
    </xf>
    <xf numFmtId="165" fontId="11" fillId="10" borderId="0" xfId="0" applyNumberFormat="1" applyFont="1" applyFill="1" applyAlignment="1">
      <alignment horizontal="center" vertical="center" wrapText="1"/>
    </xf>
    <xf numFmtId="0" fontId="11" fillId="0" borderId="0" xfId="0" applyFont="1" applyAlignment="1">
      <alignment horizontal="left" vertical="center" wrapText="1"/>
    </xf>
    <xf numFmtId="0" fontId="35" fillId="42" borderId="4" xfId="5" applyFont="1" applyFill="1" applyBorder="1" applyAlignment="1">
      <alignment horizontal="center" vertical="center"/>
    </xf>
    <xf numFmtId="0" fontId="0" fillId="0" borderId="0" xfId="0" applyAlignment="1">
      <alignment horizontal="center"/>
    </xf>
    <xf numFmtId="0" fontId="13" fillId="0" borderId="1" xfId="5" applyFont="1" applyBorder="1" applyAlignment="1">
      <alignment horizontal="center" vertical="center"/>
    </xf>
    <xf numFmtId="166" fontId="37" fillId="25" borderId="35" xfId="0" applyNumberFormat="1" applyFont="1" applyFill="1" applyBorder="1" applyAlignment="1">
      <alignment vertical="center" wrapText="1"/>
    </xf>
    <xf numFmtId="166" fontId="37" fillId="11" borderId="36" xfId="1" applyNumberFormat="1" applyFont="1" applyFill="1" applyBorder="1" applyAlignment="1">
      <alignment horizontal="center" vertical="center"/>
    </xf>
    <xf numFmtId="166" fontId="37" fillId="25" borderId="37" xfId="0" applyNumberFormat="1" applyFont="1" applyFill="1" applyBorder="1" applyAlignment="1">
      <alignment vertical="center" wrapText="1"/>
    </xf>
    <xf numFmtId="166" fontId="37" fillId="44" borderId="36" xfId="1" applyNumberFormat="1" applyFont="1" applyFill="1" applyBorder="1" applyAlignment="1">
      <alignment horizontal="center" vertical="center"/>
    </xf>
    <xf numFmtId="166" fontId="37" fillId="25" borderId="38" xfId="0" applyNumberFormat="1" applyFont="1" applyFill="1" applyBorder="1" applyAlignment="1">
      <alignment vertical="center" wrapText="1"/>
    </xf>
    <xf numFmtId="166" fontId="37" fillId="44" borderId="39" xfId="1" applyNumberFormat="1" applyFont="1" applyFill="1" applyBorder="1" applyAlignment="1">
      <alignment horizontal="center" vertical="center"/>
    </xf>
    <xf numFmtId="0" fontId="3" fillId="0" borderId="0" xfId="0" applyFont="1" applyAlignment="1">
      <alignment horizontal="center" vertical="center"/>
    </xf>
    <xf numFmtId="165" fontId="0" fillId="10" borderId="0" xfId="0" applyNumberFormat="1" applyFill="1"/>
    <xf numFmtId="165" fontId="0" fillId="0" borderId="0" xfId="0" applyNumberFormat="1"/>
    <xf numFmtId="165" fontId="3" fillId="0" borderId="0" xfId="0" applyNumberFormat="1" applyFont="1"/>
    <xf numFmtId="0" fontId="2" fillId="0" borderId="0" xfId="0" applyFont="1"/>
    <xf numFmtId="166" fontId="0" fillId="0" borderId="0" xfId="1" applyNumberFormat="1" applyFont="1"/>
    <xf numFmtId="166" fontId="0" fillId="11" borderId="0" xfId="0" applyNumberFormat="1" applyFill="1"/>
    <xf numFmtId="0" fontId="11" fillId="0" borderId="0" xfId="0" applyFont="1"/>
    <xf numFmtId="166" fontId="0" fillId="0" borderId="0" xfId="0" applyNumberFormat="1"/>
    <xf numFmtId="44" fontId="0" fillId="0" borderId="0" xfId="1" applyFont="1"/>
    <xf numFmtId="0" fontId="0" fillId="0" borderId="0" xfId="0" applyAlignment="1">
      <alignment wrapText="1"/>
    </xf>
    <xf numFmtId="168" fontId="0" fillId="0" borderId="0" xfId="1" applyNumberFormat="1" applyFont="1"/>
    <xf numFmtId="173" fontId="0" fillId="18" borderId="0" xfId="0" applyNumberFormat="1" applyFill="1"/>
    <xf numFmtId="166" fontId="0" fillId="11" borderId="0" xfId="1" applyNumberFormat="1" applyFont="1" applyFill="1"/>
    <xf numFmtId="0" fontId="38" fillId="0" borderId="0" xfId="0" applyFont="1"/>
    <xf numFmtId="0" fontId="0" fillId="21" borderId="0" xfId="0" applyFill="1"/>
    <xf numFmtId="0" fontId="6" fillId="45" borderId="1" xfId="0" applyFont="1" applyFill="1" applyBorder="1" applyAlignment="1">
      <alignment horizontal="center" vertical="center" wrapText="1"/>
    </xf>
    <xf numFmtId="0" fontId="13" fillId="45" borderId="1" xfId="0" applyFont="1" applyFill="1" applyBorder="1" applyAlignment="1">
      <alignment horizontal="center" vertical="center" wrapText="1"/>
    </xf>
    <xf numFmtId="0" fontId="10" fillId="45" borderId="1" xfId="0" applyFont="1" applyFill="1" applyBorder="1" applyAlignment="1">
      <alignment vertical="center" wrapText="1"/>
    </xf>
    <xf numFmtId="0" fontId="10" fillId="45" borderId="1" xfId="0" applyFont="1" applyFill="1" applyBorder="1" applyAlignment="1">
      <alignment horizontal="center" vertical="center" wrapText="1"/>
    </xf>
    <xf numFmtId="0" fontId="11" fillId="45" borderId="1" xfId="0" applyFont="1" applyFill="1" applyBorder="1" applyAlignment="1">
      <alignment horizontal="center" vertical="center" wrapText="1"/>
    </xf>
    <xf numFmtId="0" fontId="11" fillId="45" borderId="9" xfId="0" applyFont="1" applyFill="1" applyBorder="1" applyAlignment="1">
      <alignment horizontal="center" vertical="center" wrapText="1"/>
    </xf>
    <xf numFmtId="0" fontId="11" fillId="45" borderId="8" xfId="0" applyFont="1" applyFill="1" applyBorder="1" applyAlignment="1">
      <alignment horizontal="center" vertical="center" wrapText="1"/>
    </xf>
    <xf numFmtId="165" fontId="11" fillId="45" borderId="8" xfId="0" applyNumberFormat="1" applyFont="1" applyFill="1" applyBorder="1" applyAlignment="1">
      <alignment horizontal="center" vertical="center" wrapText="1"/>
    </xf>
    <xf numFmtId="165" fontId="11" fillId="45" borderId="10" xfId="0" applyNumberFormat="1" applyFont="1" applyFill="1" applyBorder="1" applyAlignment="1">
      <alignment horizontal="center" vertical="center" wrapText="1"/>
    </xf>
    <xf numFmtId="165" fontId="11" fillId="45" borderId="1" xfId="0" applyNumberFormat="1" applyFont="1" applyFill="1" applyBorder="1" applyAlignment="1">
      <alignment horizontal="center" vertical="center" wrapText="1"/>
    </xf>
    <xf numFmtId="166" fontId="12" fillId="45" borderId="1" xfId="5" applyNumberFormat="1" applyFont="1" applyFill="1" applyBorder="1" applyAlignment="1">
      <alignment horizontal="center" vertical="center"/>
    </xf>
    <xf numFmtId="165" fontId="11" fillId="45" borderId="2" xfId="0" applyNumberFormat="1" applyFont="1" applyFill="1" applyBorder="1" applyAlignment="1">
      <alignment horizontal="center" vertical="center"/>
    </xf>
    <xf numFmtId="9" fontId="11" fillId="45" borderId="2" xfId="3" applyFont="1" applyFill="1" applyBorder="1" applyAlignment="1">
      <alignment horizontal="center" vertical="center"/>
    </xf>
    <xf numFmtId="0" fontId="11" fillId="45" borderId="1" xfId="0" applyFont="1" applyFill="1" applyBorder="1" applyAlignment="1">
      <alignment vertical="center" wrapText="1"/>
    </xf>
    <xf numFmtId="0" fontId="11" fillId="45" borderId="0" xfId="0" applyFont="1" applyFill="1" applyAlignment="1">
      <alignment vertical="center" wrapText="1"/>
    </xf>
    <xf numFmtId="0" fontId="8" fillId="11" borderId="2" xfId="0" applyFont="1" applyFill="1" applyBorder="1" applyAlignment="1">
      <alignment horizontal="center" vertical="center" wrapText="1"/>
    </xf>
    <xf numFmtId="164" fontId="11" fillId="11" borderId="0" xfId="0" applyNumberFormat="1" applyFont="1" applyFill="1" applyAlignment="1">
      <alignment horizontal="right" vertical="center" wrapText="1"/>
    </xf>
    <xf numFmtId="165" fontId="0" fillId="11" borderId="2" xfId="0" applyNumberFormat="1" applyFill="1" applyBorder="1" applyAlignment="1">
      <alignment horizontal="center" vertical="center"/>
    </xf>
    <xf numFmtId="165" fontId="3" fillId="11" borderId="2" xfId="0" applyNumberFormat="1" applyFont="1" applyFill="1" applyBorder="1" applyAlignment="1">
      <alignment horizontal="center" vertical="center"/>
    </xf>
    <xf numFmtId="0" fontId="3" fillId="0" borderId="2" xfId="0" applyFont="1" applyBorder="1" applyAlignment="1">
      <alignment horizontal="center" vertical="center" wrapText="1"/>
    </xf>
    <xf numFmtId="164" fontId="11" fillId="11" borderId="11" xfId="0" applyNumberFormat="1" applyFont="1" applyFill="1" applyBorder="1" applyAlignment="1">
      <alignment horizontal="right" vertical="center" wrapText="1"/>
    </xf>
    <xf numFmtId="0" fontId="11" fillId="11" borderId="11" xfId="0" applyFont="1" applyFill="1" applyBorder="1" applyAlignment="1">
      <alignment vertical="center" wrapText="1"/>
    </xf>
    <xf numFmtId="0" fontId="11" fillId="11" borderId="2" xfId="0" applyFont="1" applyFill="1" applyBorder="1" applyAlignment="1">
      <alignment vertical="center" wrapText="1"/>
    </xf>
    <xf numFmtId="0" fontId="14" fillId="11" borderId="0" xfId="0" applyFont="1" applyFill="1" applyAlignment="1">
      <alignment vertical="center" wrapText="1"/>
    </xf>
    <xf numFmtId="167" fontId="11" fillId="11" borderId="2" xfId="0" applyNumberFormat="1" applyFont="1" applyFill="1" applyBorder="1" applyAlignment="1">
      <alignment horizontal="left" vertical="center" wrapText="1"/>
    </xf>
    <xf numFmtId="0" fontId="10" fillId="16" borderId="7" xfId="0" applyFont="1" applyFill="1" applyBorder="1" applyAlignment="1">
      <alignment horizontal="center" vertical="center" wrapText="1"/>
    </xf>
    <xf numFmtId="0" fontId="10" fillId="11" borderId="7" xfId="0" applyFont="1" applyFill="1" applyBorder="1" applyAlignment="1">
      <alignment horizontal="center" vertical="center" wrapText="1"/>
    </xf>
    <xf numFmtId="0" fontId="13" fillId="46" borderId="8" xfId="0" applyFont="1" applyFill="1" applyBorder="1" applyAlignment="1">
      <alignment horizontal="center" vertical="center" wrapText="1"/>
    </xf>
    <xf numFmtId="0" fontId="13" fillId="11" borderId="0" xfId="0" applyFont="1" applyFill="1" applyAlignment="1">
      <alignment horizontal="center" vertical="center" wrapText="1"/>
    </xf>
    <xf numFmtId="164" fontId="11" fillId="0" borderId="4" xfId="0" applyNumberFormat="1" applyFont="1" applyBorder="1" applyAlignment="1">
      <alignment vertical="center" wrapText="1"/>
    </xf>
    <xf numFmtId="0" fontId="11" fillId="11" borderId="18" xfId="0" applyFont="1" applyFill="1" applyBorder="1" applyAlignment="1">
      <alignment vertical="center" wrapText="1"/>
    </xf>
    <xf numFmtId="0" fontId="11" fillId="0" borderId="29" xfId="0" applyFont="1" applyBorder="1" applyAlignment="1">
      <alignment horizontal="center" vertical="center" wrapText="1"/>
    </xf>
    <xf numFmtId="165" fontId="11" fillId="11" borderId="18" xfId="0" applyNumberFormat="1" applyFont="1" applyFill="1" applyBorder="1" applyAlignment="1">
      <alignment vertical="center" wrapText="1"/>
    </xf>
    <xf numFmtId="0" fontId="0" fillId="45" borderId="0" xfId="0" applyFill="1"/>
    <xf numFmtId="165" fontId="11" fillId="18" borderId="0" xfId="0" applyNumberFormat="1" applyFont="1" applyFill="1" applyAlignment="1">
      <alignment vertical="center" wrapText="1"/>
    </xf>
    <xf numFmtId="166" fontId="14" fillId="11" borderId="8" xfId="1" applyNumberFormat="1" applyFont="1" applyFill="1" applyBorder="1" applyAlignment="1">
      <alignment horizontal="center" vertical="center" wrapText="1"/>
    </xf>
    <xf numFmtId="166" fontId="14" fillId="11" borderId="1" xfId="1" applyNumberFormat="1" applyFont="1" applyFill="1" applyBorder="1" applyAlignment="1">
      <alignment horizontal="center" vertical="center" wrapText="1"/>
    </xf>
    <xf numFmtId="165" fontId="11" fillId="25" borderId="2" xfId="0" applyNumberFormat="1" applyFont="1" applyFill="1" applyBorder="1" applyAlignment="1">
      <alignment horizontal="center" vertical="center"/>
    </xf>
    <xf numFmtId="165" fontId="11" fillId="25" borderId="8" xfId="0" applyNumberFormat="1" applyFont="1" applyFill="1" applyBorder="1" applyAlignment="1">
      <alignment horizontal="center" vertical="center" wrapText="1"/>
    </xf>
    <xf numFmtId="0" fontId="7" fillId="25" borderId="8" xfId="0" applyFont="1" applyFill="1" applyBorder="1" applyAlignment="1">
      <alignment horizontal="center" vertical="center" wrapText="1"/>
    </xf>
    <xf numFmtId="0" fontId="13" fillId="47" borderId="8" xfId="0" applyFont="1" applyFill="1" applyBorder="1" applyAlignment="1">
      <alignment vertical="center" wrapText="1"/>
    </xf>
    <xf numFmtId="166" fontId="11" fillId="25" borderId="13" xfId="1" applyNumberFormat="1" applyFont="1" applyFill="1" applyBorder="1" applyAlignment="1">
      <alignment horizontal="center" vertical="center" wrapText="1"/>
    </xf>
    <xf numFmtId="0" fontId="7" fillId="25" borderId="1" xfId="0" applyFont="1" applyFill="1" applyBorder="1" applyAlignment="1">
      <alignment horizontal="left" vertical="center" wrapText="1"/>
    </xf>
    <xf numFmtId="166" fontId="12" fillId="25" borderId="1" xfId="5" applyNumberFormat="1" applyFont="1" applyFill="1" applyBorder="1" applyAlignment="1">
      <alignment horizontal="center" vertical="center"/>
    </xf>
    <xf numFmtId="165" fontId="11" fillId="25" borderId="11" xfId="0" applyNumberFormat="1" applyFont="1" applyFill="1" applyBorder="1" applyAlignment="1">
      <alignment horizontal="center" vertical="center" wrapText="1"/>
    </xf>
    <xf numFmtId="0" fontId="13" fillId="25" borderId="8" xfId="0" applyFont="1" applyFill="1" applyBorder="1" applyAlignment="1">
      <alignment vertical="center" wrapText="1"/>
    </xf>
    <xf numFmtId="0" fontId="6" fillId="11" borderId="5" xfId="0" applyFont="1" applyFill="1" applyBorder="1" applyAlignment="1">
      <alignment horizontal="center" vertical="center" wrapText="1"/>
    </xf>
    <xf numFmtId="0" fontId="6" fillId="11" borderId="0" xfId="0" applyFont="1" applyFill="1" applyAlignment="1">
      <alignment horizontal="center" vertical="center" wrapText="1"/>
    </xf>
    <xf numFmtId="0" fontId="6" fillId="0" borderId="0" xfId="0" applyFont="1" applyAlignment="1">
      <alignment horizontal="center" vertical="center" wrapText="1"/>
    </xf>
    <xf numFmtId="0" fontId="9" fillId="32" borderId="27" xfId="0" applyFont="1" applyFill="1" applyBorder="1"/>
    <xf numFmtId="0" fontId="25" fillId="40" borderId="0" xfId="0" applyFont="1" applyFill="1" applyAlignment="1">
      <alignment horizontal="center" vertical="center" wrapText="1"/>
    </xf>
    <xf numFmtId="0" fontId="2" fillId="25" borderId="1" xfId="0" applyFont="1" applyFill="1" applyBorder="1" applyAlignment="1">
      <alignment horizontal="center" wrapText="1"/>
    </xf>
    <xf numFmtId="0" fontId="2" fillId="25" borderId="1" xfId="0" applyFont="1" applyFill="1" applyBorder="1" applyAlignment="1">
      <alignment horizontal="center"/>
    </xf>
    <xf numFmtId="0" fontId="34" fillId="41" borderId="26" xfId="5" applyFont="1" applyFill="1" applyBorder="1" applyAlignment="1">
      <alignment horizontal="center" wrapText="1"/>
    </xf>
    <xf numFmtId="0" fontId="36" fillId="43" borderId="31" xfId="0" applyFont="1" applyFill="1" applyBorder="1" applyAlignment="1">
      <alignment horizontal="center" vertical="center"/>
    </xf>
    <xf numFmtId="0" fontId="36" fillId="43" borderId="32" xfId="0" applyFont="1" applyFill="1" applyBorder="1" applyAlignment="1">
      <alignment horizontal="center" vertical="center"/>
    </xf>
    <xf numFmtId="0" fontId="36" fillId="43" borderId="33" xfId="0" applyFont="1" applyFill="1" applyBorder="1" applyAlignment="1">
      <alignment horizontal="center" vertical="center"/>
    </xf>
    <xf numFmtId="0" fontId="36" fillId="43" borderId="34" xfId="0" applyFont="1" applyFill="1" applyBorder="1" applyAlignment="1">
      <alignment horizontal="center" vertical="center"/>
    </xf>
    <xf numFmtId="165" fontId="5" fillId="9" borderId="1" xfId="0" applyNumberFormat="1" applyFont="1" applyFill="1" applyBorder="1" applyAlignment="1">
      <alignment horizontal="center" vertical="center" wrapText="1"/>
    </xf>
    <xf numFmtId="0" fontId="8" fillId="26" borderId="23" xfId="0" applyFont="1" applyFill="1" applyBorder="1" applyAlignment="1">
      <alignment horizontal="center" vertical="center" wrapText="1"/>
    </xf>
    <xf numFmtId="0" fontId="2" fillId="27" borderId="3" xfId="0" applyFont="1" applyFill="1" applyBorder="1"/>
    <xf numFmtId="0" fontId="29" fillId="26" borderId="18" xfId="0" applyFont="1" applyFill="1" applyBorder="1" applyAlignment="1">
      <alignment horizontal="center" vertical="center" wrapText="1"/>
    </xf>
    <xf numFmtId="0" fontId="29" fillId="26" borderId="26" xfId="0" applyFont="1" applyFill="1" applyBorder="1" applyAlignment="1">
      <alignment horizontal="center" vertical="center" wrapText="1"/>
    </xf>
    <xf numFmtId="0" fontId="7" fillId="33" borderId="18" xfId="0" applyFont="1" applyFill="1" applyBorder="1" applyAlignment="1">
      <alignment horizontal="center" vertical="center" wrapText="1"/>
    </xf>
    <xf numFmtId="0" fontId="7" fillId="33" borderId="26" xfId="0" applyFont="1" applyFill="1" applyBorder="1" applyAlignment="1">
      <alignment horizontal="center" vertical="center" wrapText="1"/>
    </xf>
    <xf numFmtId="0" fontId="31" fillId="26" borderId="21" xfId="0" applyFont="1" applyFill="1" applyBorder="1" applyAlignment="1">
      <alignment horizontal="center" vertical="center" wrapText="1"/>
    </xf>
    <xf numFmtId="166" fontId="4" fillId="6" borderId="2" xfId="1" applyNumberFormat="1" applyFont="1" applyFill="1" applyBorder="1" applyAlignment="1">
      <alignment horizontal="center" vertical="center" wrapText="1"/>
    </xf>
    <xf numFmtId="166" fontId="4" fillId="6" borderId="4" xfId="1" applyNumberFormat="1" applyFont="1" applyFill="1" applyBorder="1" applyAlignment="1">
      <alignment horizontal="center" vertical="center" wrapText="1"/>
    </xf>
    <xf numFmtId="166" fontId="4" fillId="8" borderId="2" xfId="1" applyNumberFormat="1" applyFont="1" applyFill="1" applyBorder="1" applyAlignment="1">
      <alignment horizontal="center" vertical="center" wrapText="1"/>
    </xf>
    <xf numFmtId="166" fontId="4" fillId="8" borderId="4" xfId="1" applyNumberFormat="1" applyFont="1" applyFill="1" applyBorder="1" applyAlignment="1">
      <alignment horizontal="center" vertical="center" wrapText="1"/>
    </xf>
    <xf numFmtId="0" fontId="2" fillId="2" borderId="0" xfId="0" applyFont="1" applyFill="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wrapText="1"/>
    </xf>
    <xf numFmtId="0" fontId="2" fillId="2" borderId="3" xfId="0" applyFont="1" applyFill="1" applyBorder="1" applyAlignment="1">
      <alignment horizontal="center" vertical="center" wrapText="1"/>
    </xf>
    <xf numFmtId="166" fontId="4" fillId="7" borderId="2" xfId="1" applyNumberFormat="1" applyFont="1" applyFill="1" applyBorder="1" applyAlignment="1">
      <alignment horizontal="center" vertical="center" wrapText="1"/>
    </xf>
    <xf numFmtId="166" fontId="4" fillId="7" borderId="4" xfId="1" applyNumberFormat="1" applyFont="1" applyFill="1" applyBorder="1" applyAlignment="1">
      <alignment horizontal="center" vertical="center" wrapText="1"/>
    </xf>
  </cellXfs>
  <cellStyles count="6">
    <cellStyle name="Hipervínculo" xfId="4" builtinId="8"/>
    <cellStyle name="Moneda" xfId="1" builtinId="4"/>
    <cellStyle name="Moneda [0]" xfId="2" builtinId="7"/>
    <cellStyle name="Normal" xfId="0" builtinId="0"/>
    <cellStyle name="Normal 2" xfId="5" xr:uid="{F8B3F7B1-F9DE-4A3F-9B58-2FB54C5342D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1C733EB3-2EC8-44CE-B3C1-4903E99C8F9B}"/>
</namedSheetView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2%2Epdf&amp;parent=%2Fpersonal%2Flaidy%5Fgonzalez%5Fgobiernobogota%5Fgov%5Fco%2FDocuments%2FCOTIZACIONES%2FCOTIZACIONES%202026%2FCOTIZACIONES%20DAPS%2FCOTIZACIONES%20NUEVA%202026%2FCOTIZACIONES%20ALEJANDRA%20PE%C3%91A&amp;parentview=7" TargetMode="External"/><Relationship Id="rId13"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2%2Epdf&amp;parent=%2Fpersonal%2Flaidy%5Fgonzalez%5Fgobiernobogota%5Fgov%5Fco%2FDocuments%2FCOTIZACIONES%2FCOTIZACIONES%202026%2FCOTIZACIONES%20DAPS%2FCOTIZACIONES%20NUEVA%202026%2FCOTIZACIONES%20ALEJANDRA%20PE%C3%91A&amp;parentview=7" TargetMode="External"/><Relationship Id="rId18"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1%2Epdf&amp;parent=%2Fpersonal%2Flaidy%5Fgonzalez%5Fgobiernobogota%5Fgov%5Fco%2FDocuments%2FCOTIZACIONES%2FCOTIZACIONES%202026%2FCOTIZACIONES%20DAPS%2FCOTIZACIONES%20NUEVA%202026%2FCOTIZACIONES%20ALEJANDRA%20PE%C3%91A&amp;parentview=7" TargetMode="External"/><Relationship Id="rId3"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3%2Epdf&amp;parent=%2Fpersonal%2Flaidy%5Fgonzalez%5Fgobiernobogota%5Fgov%5Fco%2FDocuments%2FCOTIZACIONES%2FCOTIZACIONES%202026%2FCOTIZACIONES%20DAPS%2FCOTIZACIONES%20NUEVA%202026%2FCOTIZACIONES%20ALEJANDRA%20PE%C3%91A&amp;parentview=7" TargetMode="External"/><Relationship Id="rId21"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1%2Epdf&amp;parent=%2Fpersonal%2Flaidy%5Fgonzalez%5Fgobiernobogota%5Fgov%5Fco%2FDocuments%2FCOTIZACIONES%2FCOTIZACIONES%202026%2FCOTIZACIONES%20DAPS%2FCOTIZACIONES%20NUEVA%202026%2FCOTIZACIONES%20ALEJANDRA%20PE%C3%91A&amp;parentview=7" TargetMode="External"/><Relationship Id="rId7"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1%2Epdf&amp;parent=%2Fpersonal%2Flaidy%5Fgonzalez%5Fgobiernobogota%5Fgov%5Fco%2FDocuments%2FCOTIZACIONES%2FCOTIZACIONES%202026%2FCOTIZACIONES%20DAPS%2FCOTIZACIONES%20NUEVA%202026%2FCOTIZACIONES%20ALEJANDRA%20PE%C3%91A&amp;parentview=7" TargetMode="External"/><Relationship Id="rId12"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1%2Epdf&amp;parent=%2Fpersonal%2Flaidy%5Fgonzalez%5Fgobiernobogota%5Fgov%5Fco%2FDocuments%2FCOTIZACIONES%2FCOTIZACIONES%202026%2FCOTIZACIONES%20DAPS%2FCOTIZACIONES%20NUEVA%202026%2FCOTIZACIONES%20ALEJANDRA%20PE%C3%91A&amp;parentview=7" TargetMode="External"/><Relationship Id="rId17"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3%2Epdf&amp;parent=%2Fpersonal%2Flaidy%5Fgonzalez%5Fgobiernobogota%5Fgov%5Fco%2FDocuments%2FCOTIZACIONES%2FCOTIZACIONES%202026%2FCOTIZACIONES%20DAPS%2FCOTIZACIONES%20NUEVA%202026%2FCOTIZACIONES%20ALEJANDRA%20PE%C3%91A&amp;parentview=7" TargetMode="External"/><Relationship Id="rId2"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2%2Epdf&amp;parent=%2Fpersonal%2Flaidy%5Fgonzalez%5Fgobiernobogota%5Fgov%5Fco%2FDocuments%2FCOTIZACIONES%2FCOTIZACIONES%202026%2FCOTIZACIONES%20DAPS%2FCOTIZACIONES%20NUEVA%202026%2FCOTIZACIONES%20ALEJANDRA%20PE%C3%91A&amp;parentview=7" TargetMode="External"/><Relationship Id="rId16"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2%2Epdf&amp;parent=%2Fpersonal%2Flaidy%5Fgonzalez%5Fgobiernobogota%5Fgov%5Fco%2FDocuments%2FCOTIZACIONES%2FCOTIZACIONES%202026%2FCOTIZACIONES%20DAPS%2FCOTIZACIONES%20NUEVA%202026%2FCOTIZACIONES%20ALEJANDRA%20PE%C3%91A&amp;parentview=7" TargetMode="External"/><Relationship Id="rId20"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3%2Epdf&amp;parent=%2Fpersonal%2Flaidy%5Fgonzalez%5Fgobiernobogota%5Fgov%5Fco%2FDocuments%2FCOTIZACIONES%2FCOTIZACIONES%202026%2FCOTIZACIONES%20DAPS%2FCOTIZACIONES%20NUEVA%202026%2FCOTIZACIONES%20ALEJANDRA%20PE%C3%91A&amp;parentview=7" TargetMode="External"/><Relationship Id="rId1"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1%2Epdf&amp;parent=%2Fpersonal%2Flaidy%5Fgonzalez%5Fgobiernobogota%5Fgov%5Fco%2FDocuments%2FCOTIZACIONES%2FCOTIZACIONES%202026%2FCOTIZACIONES%20DAPS%2FCOTIZACIONES%20NUEVA%202026%2FCOTIZACIONES%20ALEJANDRA%20PE%C3%91A&amp;parentview=7" TargetMode="External"/><Relationship Id="rId6"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3%2Epdf&amp;parent=%2Fpersonal%2Flaidy%5Fgonzalez%5Fgobiernobogota%5Fgov%5Fco%2FDocuments%2FCOTIZACIONES%2FCOTIZACIONES%202026%2FCOTIZACIONES%20DAPS%2FCOTIZACIONES%20NUEVA%202026%2FCOTIZACIONES%20ALEJANDRA%20PE%C3%91A&amp;parentview=7" TargetMode="External"/><Relationship Id="rId11" Type="http://schemas.openxmlformats.org/officeDocument/2006/relationships/hyperlink" Target="https://gobiernobogota-my.sharepoint.com/query?listurl=%2Fpersonal%2Flaidy%5Fgonzalez%5Fgobiernobogota%5Fgov%5Fco%2FDocuments&amp;q=cordon&amp;searchScope=folder&amp;id=%2Fpersonal%2Flaidy%5Fgonzalez%5Fgobiernobogota%5Fgov%5Fco%2FDocuments%2FCOTIZACIONES%2FCOTIZACIONES%202026%2FCOTIZACIONES%20DAPS%2FCOTIZACIONES%20NUEVA%202026%2FCOTIZACIONES%20ALEJANDRA%20PE%C3%91A%2FITEM%20Cordon%20encerado%20cotizacion%203%2Epdf&amp;parent=%2Fpersonal%2Flaidy%5Fgonzalez%5Fgobiernobogota%5Fgov%5Fco%2FDocuments%2FCOTIZACIONES%2FCOTIZACIONES%202026%2FCOTIZACIONES%20DAPS%2FCOTIZACIONES%20NUEVA%202026%2FCOTIZACIONES%20ALEJANDRA%20PE%C3%91A&amp;parentview=7" TargetMode="External"/><Relationship Id="rId24" Type="http://schemas.microsoft.com/office/2019/04/relationships/namedSheetView" Target="../namedSheetViews/namedSheetView1.xml"/><Relationship Id="rId5"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2%2Epdf&amp;parent=%2Fpersonal%2Flaidy%5Fgonzalez%5Fgobiernobogota%5Fgov%5Fco%2FDocuments%2FCOTIZACIONES%2FCOTIZACIONES%202026%2FCOTIZACIONES%20DAPS%2FCOTIZACIONES%20NUEVA%202026%2FCOTIZACIONES%20ALEJANDRA%20PE%C3%91A&amp;parentview=7" TargetMode="External"/><Relationship Id="rId15"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1%2Epdf&amp;parent=%2Fpersonal%2Flaidy%5Fgonzalez%5Fgobiernobogota%5Fgov%5Fco%2FDocuments%2FCOTIZACIONES%2FCOTIZACIONES%202026%2FCOTIZACIONES%20DAPS%2FCOTIZACIONES%20NUEVA%202026%2FCOTIZACIONES%20ALEJANDRA%20PE%C3%91A&amp;parentview=7" TargetMode="External"/><Relationship Id="rId23" Type="http://schemas.openxmlformats.org/officeDocument/2006/relationships/printerSettings" Target="../printerSettings/printerSettings1.bin"/><Relationship Id="rId10" Type="http://schemas.openxmlformats.org/officeDocument/2006/relationships/hyperlink" Target="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2%2Epdf&amp;parent=%2Fpersonal%2Flaidy%5Fgonzalez%5Fgobiernobogota%5Fgov%5Fco%2FDocuments%2FCOTIZACIONES%2FCOTIZACIONES%202026%2FCOTIZACIONES%20DAPS%2FCOTIZACIONES%20NUEVA%202026%2FCOTIZACIONES%20ALEJANDRA%20PE%C3%91A&amp;parentview=7" TargetMode="External"/><Relationship Id="rId19"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2%2Epdf&amp;parent=%2Fpersonal%2Flaidy%5Fgonzalez%5Fgobiernobogota%5Fgov%5Fco%2FDocuments%2FCOTIZACIONES%2FCOTIZACIONES%202026%2FCOTIZACIONES%20DAPS%2FCOTIZACIONES%20NUEVA%202026%2FCOTIZACIONES%20ALEJANDRA%20PE%C3%91A&amp;parentview=7" TargetMode="External"/><Relationship Id="rId4"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1%2Epdf&amp;parent=%2Fpersonal%2Flaidy%5Fgonzalez%5Fgobiernobogota%5Fgov%5Fco%2FDocuments%2FCOTIZACIONES%2FCOTIZACIONES%202026%2FCOTIZACIONES%20DAPS%2FCOTIZACIONES%20NUEVA%202026%2FCOTIZACIONES%20ALEJANDRA%20PE%C3%91A&amp;parentview=7" TargetMode="External"/><Relationship Id="rId9" Type="http://schemas.openxmlformats.org/officeDocument/2006/relationships/hyperlink" Target="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1%2Epdf&amp;parent=%2Fpersonal%2Flaidy%5Fgonzalez%5Fgobiernobogota%5Fgov%5Fco%2FDocuments%2FCOTIZACIONES%2FCOTIZACIONES%202026%2FCOTIZACIONES%20DAPS%2FCOTIZACIONES%20NUEVA%202026%2FCOTIZACIONES%20ALEJANDRA%20PE%C3%91A&amp;parentview=7" TargetMode="External"/><Relationship Id="rId14"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3%2Epdf&amp;parent=%2Fpersonal%2Flaidy%5Fgonzalez%5Fgobiernobogota%5Fgov%5Fco%2FDocuments%2FCOTIZACIONES%2FCOTIZACIONES%202026%2FCOTIZACIONES%20DAPS%2FCOTIZACIONES%20NUEVA%202026%2FCOTIZACIONES%20ALEJANDRA%20PE%C3%91A&amp;parentview=7" TargetMode="External"/><Relationship Id="rId22"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2%2Epdf&amp;parent=%2Fpersonal%2Flaidy%5Fgonzalez%5Fgobiernobogota%5Fgov%5Fco%2FDocuments%2FCOTIZACIONES%2FCOTIZACIONES%202026%2FCOTIZACIONES%20DAPS%2FCOTIZACIONES%20NUEVA%202026%2FCOTIZACIONES%20ALEJANDRA%20PE%C3%91A&amp;parentview=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E05B0-E82B-4978-B30D-7156B2BB7621}">
  <dimension ref="A3:AK721"/>
  <sheetViews>
    <sheetView tabSelected="1" zoomScale="60" zoomScaleNormal="60" zoomScaleSheetLayoutView="30" workbookViewId="0">
      <pane xSplit="9" ySplit="4" topLeftCell="M5" activePane="bottomRight" state="frozen"/>
      <selection pane="topRight" activeCell="I1" sqref="I1"/>
      <selection pane="bottomLeft" activeCell="A5" sqref="A5"/>
      <selection pane="bottomRight" activeCell="E432" sqref="E432"/>
    </sheetView>
  </sheetViews>
  <sheetFormatPr baseColWidth="10" defaultColWidth="11.25" defaultRowHeight="15" customHeight="1" x14ac:dyDescent="0.25"/>
  <cols>
    <col min="1" max="1" width="7.75" hidden="1" customWidth="1"/>
    <col min="2" max="2" width="7.75" customWidth="1"/>
    <col min="3" max="3" width="6.25" customWidth="1"/>
    <col min="4" max="4" width="23.25" style="604" customWidth="1"/>
    <col min="5" max="5" width="60" customWidth="1"/>
    <col min="6" max="6" width="10.5" style="612" bestFit="1" customWidth="1"/>
    <col min="7" max="7" width="19.625" style="612" customWidth="1"/>
    <col min="8" max="8" width="10.5" style="612" customWidth="1"/>
    <col min="9" max="9" width="11.75" style="612" bestFit="1" customWidth="1"/>
    <col min="10" max="10" width="26.25" style="613" customWidth="1"/>
    <col min="11" max="11" width="18.5" style="614" bestFit="1" customWidth="1"/>
    <col min="12" max="12" width="16" style="613" bestFit="1" customWidth="1"/>
    <col min="13" max="13" width="19.25" style="614" bestFit="1" customWidth="1"/>
    <col min="14" max="14" width="16" style="613" bestFit="1" customWidth="1"/>
    <col min="15" max="15" width="18.5" style="615" bestFit="1" customWidth="1"/>
    <col min="16" max="16" width="17.5" style="615" customWidth="1"/>
    <col min="17" max="17" width="21.125" style="615" bestFit="1" customWidth="1"/>
    <col min="18" max="18" width="17.5" style="615" customWidth="1"/>
    <col min="19" max="19" width="13.75" style="615" customWidth="1"/>
    <col min="20" max="20" width="17.5" style="615" customWidth="1"/>
    <col min="21" max="21" width="24.75" style="615" bestFit="1" customWidth="1"/>
    <col min="22" max="22" width="17.5" style="615" customWidth="1"/>
    <col min="23" max="23" width="17.25" customWidth="1"/>
    <col min="24" max="24" width="19.5" customWidth="1"/>
    <col min="25" max="25" width="15.75" customWidth="1"/>
    <col min="26" max="26" width="25.75" customWidth="1"/>
    <col min="27" max="27" width="25.25" customWidth="1"/>
    <col min="28" max="28" width="10.5" customWidth="1"/>
    <col min="29" max="29" width="24.125" customWidth="1"/>
    <col min="30" max="30" width="28.25" customWidth="1"/>
    <col min="31" max="37" width="10.5" customWidth="1"/>
  </cols>
  <sheetData>
    <row r="3" spans="1:37" ht="15.6" customHeight="1" x14ac:dyDescent="0.25">
      <c r="B3" s="1" t="s">
        <v>0</v>
      </c>
      <c r="C3" s="1" t="s">
        <v>0</v>
      </c>
      <c r="D3" s="1" t="s">
        <v>1</v>
      </c>
      <c r="E3" s="698" t="s">
        <v>2</v>
      </c>
      <c r="F3" s="700" t="s">
        <v>3</v>
      </c>
      <c r="G3" s="2" t="s">
        <v>4</v>
      </c>
      <c r="H3" s="700" t="s">
        <v>5</v>
      </c>
      <c r="I3" s="2" t="s">
        <v>4</v>
      </c>
      <c r="J3" s="3" t="s">
        <v>6</v>
      </c>
      <c r="K3" s="4"/>
      <c r="L3" s="5" t="s">
        <v>7</v>
      </c>
      <c r="M3" s="5"/>
      <c r="N3" s="6" t="s">
        <v>8</v>
      </c>
      <c r="O3" s="6"/>
      <c r="P3" s="694" t="s">
        <v>9</v>
      </c>
      <c r="Q3" s="702" t="s">
        <v>10</v>
      </c>
      <c r="R3" s="694" t="s">
        <v>11</v>
      </c>
      <c r="S3" s="694" t="s">
        <v>12</v>
      </c>
      <c r="T3" s="694" t="s">
        <v>13</v>
      </c>
      <c r="U3" s="696" t="s">
        <v>14</v>
      </c>
      <c r="V3" s="694" t="s">
        <v>15</v>
      </c>
      <c r="W3" s="686" t="s">
        <v>16</v>
      </c>
      <c r="X3" s="686" t="s">
        <v>17</v>
      </c>
      <c r="Y3" s="686" t="s">
        <v>18</v>
      </c>
    </row>
    <row r="4" spans="1:37" ht="47.25" x14ac:dyDescent="0.25">
      <c r="A4" s="7" t="s">
        <v>19</v>
      </c>
      <c r="B4" s="7"/>
      <c r="C4" s="8"/>
      <c r="D4" s="8"/>
      <c r="E4" s="699"/>
      <c r="F4" s="701"/>
      <c r="G4" s="9"/>
      <c r="H4" s="701"/>
      <c r="I4" s="9"/>
      <c r="J4" s="10" t="s">
        <v>20</v>
      </c>
      <c r="K4" s="11" t="s">
        <v>21</v>
      </c>
      <c r="L4" s="10" t="s">
        <v>20</v>
      </c>
      <c r="M4" s="11" t="s">
        <v>21</v>
      </c>
      <c r="N4" s="10" t="s">
        <v>20</v>
      </c>
      <c r="O4" s="12" t="s">
        <v>21</v>
      </c>
      <c r="P4" s="695"/>
      <c r="Q4" s="703"/>
      <c r="R4" s="695"/>
      <c r="S4" s="695"/>
      <c r="T4" s="695"/>
      <c r="U4" s="697"/>
      <c r="V4" s="695"/>
      <c r="W4" s="686"/>
      <c r="X4" s="686"/>
      <c r="Y4" s="686"/>
    </row>
    <row r="5" spans="1:37" ht="170.65" customHeight="1" x14ac:dyDescent="0.25">
      <c r="A5" s="13">
        <f t="shared" ref="A5:A55" si="0">+COUNT(J5,L5,N5)</f>
        <v>1</v>
      </c>
      <c r="B5" s="674">
        <v>1</v>
      </c>
      <c r="C5" s="14">
        <v>1</v>
      </c>
      <c r="D5" s="15" t="s">
        <v>22</v>
      </c>
      <c r="E5" s="16" t="s">
        <v>23</v>
      </c>
      <c r="F5" s="17">
        <v>1</v>
      </c>
      <c r="G5" s="17" t="s">
        <v>24</v>
      </c>
      <c r="H5" s="17">
        <v>6</v>
      </c>
      <c r="I5" s="17" t="s">
        <v>25</v>
      </c>
      <c r="J5" s="18">
        <v>7688001</v>
      </c>
      <c r="K5" s="18">
        <f>+J5*H5*F5</f>
        <v>46128006</v>
      </c>
      <c r="L5" s="19"/>
      <c r="M5" s="19"/>
      <c r="N5" s="20"/>
      <c r="O5" s="21"/>
      <c r="P5" s="22">
        <f>+(ROUND(AVERAGE(J5),0))</f>
        <v>7688001</v>
      </c>
      <c r="Q5" s="22">
        <f>+P5*F5*H5</f>
        <v>46128006</v>
      </c>
      <c r="R5" s="23">
        <f>+_xlfn.STDEV.P(J5)</f>
        <v>0</v>
      </c>
      <c r="S5" s="24">
        <f t="shared" ref="S5:S46" si="1">+R5/P5</f>
        <v>0</v>
      </c>
      <c r="T5" s="23">
        <f t="shared" ref="T5:T46" si="2">+MEDIAN(J5,L5,N5)</f>
        <v>7688001</v>
      </c>
      <c r="U5" s="23">
        <f t="shared" ref="U5:U10" si="3">+T5*F5*H5</f>
        <v>46128006</v>
      </c>
      <c r="V5" s="24">
        <f t="shared" ref="V5:V46" si="4">+R5/T5</f>
        <v>0</v>
      </c>
      <c r="W5" s="25" t="s">
        <v>26</v>
      </c>
      <c r="X5" s="26"/>
      <c r="Y5" s="27"/>
      <c r="Z5" s="28"/>
      <c r="AA5" s="28"/>
      <c r="AB5" s="28"/>
      <c r="AC5" s="28"/>
      <c r="AD5" s="28"/>
      <c r="AE5" s="28"/>
      <c r="AF5" s="28"/>
      <c r="AG5" s="28"/>
      <c r="AH5" s="28"/>
      <c r="AI5" s="28"/>
      <c r="AJ5" s="28"/>
      <c r="AK5" s="28"/>
    </row>
    <row r="6" spans="1:37" ht="141.75" x14ac:dyDescent="0.25">
      <c r="A6" s="13">
        <f t="shared" si="0"/>
        <v>1</v>
      </c>
      <c r="B6" s="675">
        <v>2</v>
      </c>
      <c r="C6" s="29">
        <v>2</v>
      </c>
      <c r="D6" s="30" t="s">
        <v>27</v>
      </c>
      <c r="E6" s="31" t="s">
        <v>28</v>
      </c>
      <c r="F6" s="32">
        <v>1</v>
      </c>
      <c r="G6" s="32" t="s">
        <v>24</v>
      </c>
      <c r="H6" s="33">
        <v>5</v>
      </c>
      <c r="I6" s="33" t="s">
        <v>29</v>
      </c>
      <c r="J6" s="34">
        <f>(4917001/30)</f>
        <v>163900.03333333333</v>
      </c>
      <c r="K6" s="34">
        <f t="shared" ref="K6:K31" si="5">+J6*F6*H6</f>
        <v>819500.16666666663</v>
      </c>
      <c r="L6" s="35"/>
      <c r="M6" s="35"/>
      <c r="N6" s="35"/>
      <c r="O6" s="35"/>
      <c r="P6" s="36">
        <f>+(ROUND(AVERAGE(J6),0))</f>
        <v>163900</v>
      </c>
      <c r="Q6" s="22">
        <f>+P6*F6*H6</f>
        <v>819500</v>
      </c>
      <c r="R6" s="23">
        <f t="shared" ref="R6:R46" si="6">+_xlfn.STDEV.P(J6,L6,N6)</f>
        <v>0</v>
      </c>
      <c r="S6" s="24">
        <f t="shared" si="1"/>
        <v>0</v>
      </c>
      <c r="T6" s="23">
        <f t="shared" si="2"/>
        <v>163900.03333333333</v>
      </c>
      <c r="U6" s="23">
        <f t="shared" si="3"/>
        <v>819500.16666666663</v>
      </c>
      <c r="V6" s="24">
        <f t="shared" si="4"/>
        <v>0</v>
      </c>
      <c r="W6" s="25" t="s">
        <v>26</v>
      </c>
      <c r="X6" s="37"/>
      <c r="Y6" s="27"/>
      <c r="Z6" s="28"/>
      <c r="AA6" s="28"/>
      <c r="AB6" s="28"/>
      <c r="AC6" s="28"/>
      <c r="AD6" s="28"/>
      <c r="AE6" s="28"/>
      <c r="AF6" s="28"/>
      <c r="AG6" s="28"/>
      <c r="AH6" s="28"/>
      <c r="AI6" s="28"/>
      <c r="AJ6" s="28"/>
      <c r="AK6" s="28"/>
    </row>
    <row r="7" spans="1:37" ht="63" x14ac:dyDescent="0.25">
      <c r="A7" s="13">
        <f t="shared" si="0"/>
        <v>1</v>
      </c>
      <c r="B7" s="675">
        <v>3</v>
      </c>
      <c r="C7" s="38">
        <v>3</v>
      </c>
      <c r="D7" s="30" t="s">
        <v>30</v>
      </c>
      <c r="E7" s="39" t="s">
        <v>31</v>
      </c>
      <c r="F7" s="32">
        <v>1</v>
      </c>
      <c r="G7" s="32" t="s">
        <v>24</v>
      </c>
      <c r="H7" s="33">
        <v>6</v>
      </c>
      <c r="I7" s="33" t="s">
        <v>29</v>
      </c>
      <c r="J7" s="34">
        <f>7688001/30</f>
        <v>256266.7</v>
      </c>
      <c r="K7" s="34">
        <f t="shared" si="5"/>
        <v>1537600.2000000002</v>
      </c>
      <c r="L7" s="34"/>
      <c r="M7" s="34"/>
      <c r="N7" s="40"/>
      <c r="O7" s="41"/>
      <c r="P7" s="22">
        <f t="shared" ref="P7:P18" si="7">+(ROUND(AVERAGE(J7),0))</f>
        <v>256267</v>
      </c>
      <c r="Q7" s="22">
        <f t="shared" ref="Q7:Q18" si="8">+P7*F7*H7</f>
        <v>1537602</v>
      </c>
      <c r="R7" s="23">
        <f t="shared" si="6"/>
        <v>0</v>
      </c>
      <c r="S7" s="24">
        <f t="shared" si="1"/>
        <v>0</v>
      </c>
      <c r="T7" s="23">
        <f t="shared" si="2"/>
        <v>256266.7</v>
      </c>
      <c r="U7" s="23">
        <f t="shared" si="3"/>
        <v>1537600.2000000002</v>
      </c>
      <c r="V7" s="24">
        <f t="shared" si="4"/>
        <v>0</v>
      </c>
      <c r="W7" s="25" t="s">
        <v>26</v>
      </c>
      <c r="X7" s="25"/>
      <c r="Y7" s="27"/>
      <c r="Z7" s="28"/>
      <c r="AA7" s="28"/>
      <c r="AB7" s="28"/>
      <c r="AC7" s="28"/>
      <c r="AD7" s="28"/>
      <c r="AE7" s="28"/>
      <c r="AF7" s="28"/>
      <c r="AG7" s="28"/>
      <c r="AH7" s="28"/>
      <c r="AI7" s="28"/>
      <c r="AJ7" s="28"/>
      <c r="AK7" s="28"/>
    </row>
    <row r="8" spans="1:37" ht="63" x14ac:dyDescent="0.25">
      <c r="A8" s="13">
        <f t="shared" si="0"/>
        <v>1</v>
      </c>
      <c r="B8" s="675">
        <v>4</v>
      </c>
      <c r="C8" s="42">
        <v>4</v>
      </c>
      <c r="D8" s="30" t="s">
        <v>32</v>
      </c>
      <c r="E8" s="31" t="s">
        <v>33</v>
      </c>
      <c r="F8" s="32">
        <v>1</v>
      </c>
      <c r="G8" s="32" t="s">
        <v>24</v>
      </c>
      <c r="H8" s="33">
        <v>1</v>
      </c>
      <c r="I8" s="33" t="s">
        <v>29</v>
      </c>
      <c r="J8" s="34">
        <f>4917001/30</f>
        <v>163900.03333333333</v>
      </c>
      <c r="K8" s="34">
        <f t="shared" si="5"/>
        <v>163900.03333333333</v>
      </c>
      <c r="L8" s="43"/>
      <c r="M8" s="43"/>
      <c r="N8" s="44"/>
      <c r="O8" s="41"/>
      <c r="P8" s="22">
        <f t="shared" si="7"/>
        <v>163900</v>
      </c>
      <c r="Q8" s="22">
        <f t="shared" si="8"/>
        <v>163900</v>
      </c>
      <c r="R8" s="23">
        <f t="shared" si="6"/>
        <v>0</v>
      </c>
      <c r="S8" s="24">
        <f t="shared" si="1"/>
        <v>0</v>
      </c>
      <c r="T8" s="23">
        <f t="shared" si="2"/>
        <v>163900.03333333333</v>
      </c>
      <c r="U8" s="23">
        <f t="shared" si="3"/>
        <v>163900.03333333333</v>
      </c>
      <c r="V8" s="24">
        <f t="shared" si="4"/>
        <v>0</v>
      </c>
      <c r="W8" s="25" t="s">
        <v>26</v>
      </c>
      <c r="X8" s="25"/>
      <c r="Y8" s="27"/>
      <c r="Z8" s="28"/>
      <c r="AA8" s="28"/>
      <c r="AB8" s="28"/>
      <c r="AC8" s="28"/>
      <c r="AD8" s="28"/>
      <c r="AE8" s="28"/>
      <c r="AF8" s="28"/>
      <c r="AG8" s="28"/>
      <c r="AH8" s="28"/>
      <c r="AI8" s="28"/>
      <c r="AJ8" s="28"/>
      <c r="AK8" s="28"/>
    </row>
    <row r="9" spans="1:37" ht="78.75" x14ac:dyDescent="0.25">
      <c r="A9" s="13">
        <f t="shared" si="0"/>
        <v>1</v>
      </c>
      <c r="B9" s="675">
        <v>5</v>
      </c>
      <c r="C9" s="38">
        <v>5</v>
      </c>
      <c r="D9" s="30" t="s">
        <v>34</v>
      </c>
      <c r="E9" s="31" t="s">
        <v>35</v>
      </c>
      <c r="F9" s="32">
        <v>12</v>
      </c>
      <c r="G9" s="32" t="s">
        <v>24</v>
      </c>
      <c r="H9" s="33">
        <v>1</v>
      </c>
      <c r="I9" s="33" t="s">
        <v>36</v>
      </c>
      <c r="J9" s="45">
        <f>(1540000/30)</f>
        <v>51333.333333333336</v>
      </c>
      <c r="K9" s="45">
        <f t="shared" si="5"/>
        <v>616000</v>
      </c>
      <c r="L9" s="45"/>
      <c r="M9" s="45"/>
      <c r="N9" s="46"/>
      <c r="O9" s="41"/>
      <c r="P9" s="22">
        <f t="shared" si="7"/>
        <v>51333</v>
      </c>
      <c r="Q9" s="22">
        <f t="shared" si="8"/>
        <v>615996</v>
      </c>
      <c r="R9" s="23">
        <f t="shared" si="6"/>
        <v>0</v>
      </c>
      <c r="S9" s="24">
        <f t="shared" si="1"/>
        <v>0</v>
      </c>
      <c r="T9" s="23">
        <f t="shared" si="2"/>
        <v>51333.333333333336</v>
      </c>
      <c r="U9" s="23">
        <f t="shared" si="3"/>
        <v>616000</v>
      </c>
      <c r="V9" s="24">
        <f t="shared" si="4"/>
        <v>0</v>
      </c>
      <c r="W9" s="47" t="s">
        <v>26</v>
      </c>
      <c r="X9" s="47"/>
      <c r="Y9" s="48"/>
      <c r="Z9" s="28"/>
      <c r="AA9" s="28"/>
      <c r="AB9" s="28"/>
      <c r="AC9" s="28"/>
      <c r="AD9" s="28"/>
      <c r="AE9" s="28"/>
      <c r="AF9" s="28"/>
      <c r="AG9" s="28"/>
      <c r="AH9" s="28"/>
      <c r="AI9" s="28"/>
      <c r="AJ9" s="28"/>
      <c r="AK9" s="28"/>
    </row>
    <row r="10" spans="1:37" ht="129.6" customHeight="1" x14ac:dyDescent="0.25">
      <c r="A10" s="13">
        <f t="shared" si="0"/>
        <v>1</v>
      </c>
      <c r="B10" s="675">
        <v>6</v>
      </c>
      <c r="C10" s="38">
        <v>6</v>
      </c>
      <c r="D10" s="30" t="s">
        <v>37</v>
      </c>
      <c r="E10" s="31" t="s">
        <v>38</v>
      </c>
      <c r="F10" s="32">
        <v>1</v>
      </c>
      <c r="G10" s="32" t="s">
        <v>24</v>
      </c>
      <c r="H10" s="33">
        <v>4</v>
      </c>
      <c r="I10" s="33" t="s">
        <v>36</v>
      </c>
      <c r="J10" s="45">
        <f>4917001/30</f>
        <v>163900.03333333333</v>
      </c>
      <c r="K10" s="45">
        <f t="shared" si="5"/>
        <v>655600.1333333333</v>
      </c>
      <c r="L10" s="45"/>
      <c r="M10" s="45"/>
      <c r="N10" s="46"/>
      <c r="O10" s="41"/>
      <c r="P10" s="22">
        <f t="shared" si="7"/>
        <v>163900</v>
      </c>
      <c r="Q10" s="22">
        <f t="shared" si="8"/>
        <v>655600</v>
      </c>
      <c r="R10" s="23">
        <f t="shared" si="6"/>
        <v>0</v>
      </c>
      <c r="S10" s="24">
        <f t="shared" si="1"/>
        <v>0</v>
      </c>
      <c r="T10" s="23">
        <f t="shared" si="2"/>
        <v>163900.03333333333</v>
      </c>
      <c r="U10" s="23">
        <f t="shared" si="3"/>
        <v>655600.1333333333</v>
      </c>
      <c r="V10" s="24">
        <f t="shared" si="4"/>
        <v>0</v>
      </c>
      <c r="W10" s="25" t="s">
        <v>26</v>
      </c>
      <c r="X10" s="25"/>
      <c r="Y10" s="27"/>
      <c r="Z10" s="28"/>
      <c r="AA10" s="28"/>
      <c r="AB10" s="28"/>
      <c r="AC10" s="28"/>
      <c r="AD10" s="28"/>
      <c r="AE10" s="28"/>
      <c r="AF10" s="28"/>
      <c r="AG10" s="28"/>
      <c r="AH10" s="28"/>
      <c r="AI10" s="28"/>
      <c r="AJ10" s="28"/>
      <c r="AK10" s="28"/>
    </row>
    <row r="11" spans="1:37" ht="117.75" customHeight="1" x14ac:dyDescent="0.25">
      <c r="A11" s="13">
        <f t="shared" si="0"/>
        <v>3</v>
      </c>
      <c r="B11" s="675">
        <v>7</v>
      </c>
      <c r="C11" s="42">
        <v>7</v>
      </c>
      <c r="D11" s="49" t="s">
        <v>39</v>
      </c>
      <c r="E11" s="50" t="s">
        <v>40</v>
      </c>
      <c r="F11" s="51">
        <v>3</v>
      </c>
      <c r="G11" s="51" t="s">
        <v>24</v>
      </c>
      <c r="H11" s="52"/>
      <c r="I11" s="52"/>
      <c r="J11" s="34">
        <v>2105263</v>
      </c>
      <c r="K11" s="34">
        <f>+J11*F11</f>
        <v>6315789</v>
      </c>
      <c r="L11" s="34">
        <v>2105263</v>
      </c>
      <c r="M11" s="35">
        <f>+L11*F11</f>
        <v>6315789</v>
      </c>
      <c r="N11" s="34">
        <v>2105263</v>
      </c>
      <c r="O11" s="35">
        <f>+N11*F11</f>
        <v>6315789</v>
      </c>
      <c r="P11" s="36">
        <f t="shared" si="7"/>
        <v>2105263</v>
      </c>
      <c r="Q11" s="22">
        <f>+P11*F11</f>
        <v>6315789</v>
      </c>
      <c r="R11" s="23">
        <f t="shared" si="6"/>
        <v>0</v>
      </c>
      <c r="S11" s="24">
        <f t="shared" si="1"/>
        <v>0</v>
      </c>
      <c r="T11" s="23">
        <f t="shared" si="2"/>
        <v>2105263</v>
      </c>
      <c r="U11" s="23">
        <f>+T11*F11</f>
        <v>6315789</v>
      </c>
      <c r="V11" s="24">
        <f t="shared" si="4"/>
        <v>0</v>
      </c>
      <c r="W11" s="25" t="s">
        <v>41</v>
      </c>
      <c r="X11" s="25" t="s">
        <v>42</v>
      </c>
      <c r="Y11" s="53" t="s">
        <v>43</v>
      </c>
      <c r="Z11" s="28"/>
      <c r="AA11" s="28"/>
      <c r="AB11" s="28"/>
      <c r="AC11" s="28"/>
      <c r="AD11" s="28"/>
      <c r="AE11" s="28"/>
      <c r="AF11" s="28"/>
      <c r="AG11" s="28"/>
      <c r="AH11" s="28"/>
      <c r="AI11" s="28"/>
      <c r="AJ11" s="28"/>
      <c r="AK11" s="28"/>
    </row>
    <row r="12" spans="1:37" ht="107.1" customHeight="1" x14ac:dyDescent="0.25">
      <c r="A12" s="13">
        <f t="shared" si="0"/>
        <v>1</v>
      </c>
      <c r="B12" s="675">
        <v>8</v>
      </c>
      <c r="C12" s="38">
        <v>8</v>
      </c>
      <c r="D12" s="54" t="s">
        <v>44</v>
      </c>
      <c r="E12" s="55" t="s">
        <v>45</v>
      </c>
      <c r="F12" s="56">
        <v>1</v>
      </c>
      <c r="G12" s="56" t="s">
        <v>24</v>
      </c>
      <c r="H12" s="57">
        <v>1</v>
      </c>
      <c r="I12" s="57" t="s">
        <v>46</v>
      </c>
      <c r="J12" s="58">
        <f>4917001</f>
        <v>4917001</v>
      </c>
      <c r="K12" s="34">
        <f t="shared" si="5"/>
        <v>4917001</v>
      </c>
      <c r="L12" s="58"/>
      <c r="M12" s="58"/>
      <c r="N12" s="59"/>
      <c r="O12" s="41"/>
      <c r="P12" s="60">
        <f t="shared" si="7"/>
        <v>4917001</v>
      </c>
      <c r="Q12" s="60">
        <f t="shared" si="8"/>
        <v>4917001</v>
      </c>
      <c r="R12" s="23">
        <f t="shared" si="6"/>
        <v>0</v>
      </c>
      <c r="S12" s="24">
        <f t="shared" si="1"/>
        <v>0</v>
      </c>
      <c r="T12" s="23">
        <f t="shared" si="2"/>
        <v>4917001</v>
      </c>
      <c r="U12" s="23">
        <f>+T12*F12*H12</f>
        <v>4917001</v>
      </c>
      <c r="V12" s="24">
        <f t="shared" si="4"/>
        <v>0</v>
      </c>
      <c r="W12" s="25" t="s">
        <v>26</v>
      </c>
      <c r="X12" s="25"/>
      <c r="Y12" s="27"/>
      <c r="Z12" s="28"/>
      <c r="AA12" s="28"/>
      <c r="AB12" s="28"/>
      <c r="AC12" s="28"/>
      <c r="AD12" s="28"/>
      <c r="AE12" s="28"/>
      <c r="AF12" s="28"/>
      <c r="AG12" s="28"/>
      <c r="AH12" s="28"/>
      <c r="AI12" s="28"/>
      <c r="AJ12" s="28"/>
      <c r="AK12" s="28"/>
    </row>
    <row r="13" spans="1:37" ht="79.5" customHeight="1" x14ac:dyDescent="0.25">
      <c r="A13" s="13">
        <f t="shared" si="0"/>
        <v>1</v>
      </c>
      <c r="B13" s="675">
        <v>9</v>
      </c>
      <c r="C13" s="38">
        <v>9</v>
      </c>
      <c r="D13" s="30" t="s">
        <v>47</v>
      </c>
      <c r="E13" s="27" t="s">
        <v>48</v>
      </c>
      <c r="F13" s="32">
        <v>1</v>
      </c>
      <c r="G13" s="32" t="s">
        <v>24</v>
      </c>
      <c r="H13" s="33">
        <v>5</v>
      </c>
      <c r="I13" s="33" t="s">
        <v>29</v>
      </c>
      <c r="J13" s="34">
        <f>+(4917001/30)</f>
        <v>163900.03333333333</v>
      </c>
      <c r="K13" s="34">
        <f t="shared" si="5"/>
        <v>819500.16666666663</v>
      </c>
      <c r="L13" s="34"/>
      <c r="M13" s="34"/>
      <c r="N13" s="40"/>
      <c r="O13" s="41"/>
      <c r="P13" s="60">
        <f t="shared" si="7"/>
        <v>163900</v>
      </c>
      <c r="Q13" s="60">
        <f t="shared" si="8"/>
        <v>819500</v>
      </c>
      <c r="R13" s="23">
        <f t="shared" si="6"/>
        <v>0</v>
      </c>
      <c r="S13" s="24">
        <f t="shared" si="1"/>
        <v>0</v>
      </c>
      <c r="T13" s="23">
        <f t="shared" si="2"/>
        <v>163900.03333333333</v>
      </c>
      <c r="U13" s="23">
        <f t="shared" ref="U13:U42" si="9">+T13*F13*H13</f>
        <v>819500.16666666663</v>
      </c>
      <c r="V13" s="24">
        <f t="shared" si="4"/>
        <v>0</v>
      </c>
      <c r="W13" s="25" t="s">
        <v>26</v>
      </c>
      <c r="X13" s="25"/>
      <c r="Y13" s="27"/>
      <c r="Z13" s="28"/>
      <c r="AA13" s="28"/>
      <c r="AB13" s="28"/>
      <c r="AC13" s="28"/>
      <c r="AD13" s="28"/>
      <c r="AE13" s="28"/>
      <c r="AF13" s="28"/>
      <c r="AG13" s="28"/>
      <c r="AH13" s="28"/>
      <c r="AI13" s="28"/>
      <c r="AJ13" s="28"/>
      <c r="AK13" s="28"/>
    </row>
    <row r="14" spans="1:37" ht="63" x14ac:dyDescent="0.25">
      <c r="A14" s="13">
        <f t="shared" si="0"/>
        <v>1</v>
      </c>
      <c r="B14" s="675">
        <v>10</v>
      </c>
      <c r="C14" s="42">
        <v>10</v>
      </c>
      <c r="D14" s="30" t="s">
        <v>49</v>
      </c>
      <c r="E14" s="31" t="s">
        <v>50</v>
      </c>
      <c r="F14" s="32">
        <v>1</v>
      </c>
      <c r="G14" s="32" t="s">
        <v>24</v>
      </c>
      <c r="H14" s="33">
        <v>2</v>
      </c>
      <c r="I14" s="33" t="s">
        <v>29</v>
      </c>
      <c r="J14" s="34">
        <f>+(4917001/30)</f>
        <v>163900.03333333333</v>
      </c>
      <c r="K14" s="34">
        <f t="shared" si="5"/>
        <v>327800.06666666665</v>
      </c>
      <c r="L14" s="34"/>
      <c r="M14" s="34"/>
      <c r="N14" s="40"/>
      <c r="O14" s="41"/>
      <c r="P14" s="60">
        <f t="shared" si="7"/>
        <v>163900</v>
      </c>
      <c r="Q14" s="60">
        <f t="shared" si="8"/>
        <v>327800</v>
      </c>
      <c r="R14" s="23">
        <f t="shared" si="6"/>
        <v>0</v>
      </c>
      <c r="S14" s="24">
        <f t="shared" si="1"/>
        <v>0</v>
      </c>
      <c r="T14" s="23">
        <f t="shared" si="2"/>
        <v>163900.03333333333</v>
      </c>
      <c r="U14" s="23">
        <f t="shared" si="9"/>
        <v>327800.06666666665</v>
      </c>
      <c r="V14" s="24">
        <f t="shared" si="4"/>
        <v>0</v>
      </c>
      <c r="W14" s="25" t="s">
        <v>26</v>
      </c>
      <c r="X14" s="25"/>
      <c r="Y14" s="27"/>
      <c r="Z14" s="28"/>
      <c r="AA14" s="28"/>
      <c r="AB14" s="28"/>
      <c r="AC14" s="28"/>
      <c r="AD14" s="28"/>
      <c r="AE14" s="28"/>
      <c r="AF14" s="28"/>
      <c r="AG14" s="28"/>
      <c r="AH14" s="28"/>
      <c r="AI14" s="28"/>
      <c r="AJ14" s="28"/>
      <c r="AK14" s="28"/>
    </row>
    <row r="15" spans="1:37" ht="111.4" customHeight="1" x14ac:dyDescent="0.25">
      <c r="A15" s="13">
        <f t="shared" si="0"/>
        <v>1</v>
      </c>
      <c r="B15" s="675">
        <v>11</v>
      </c>
      <c r="C15" s="38">
        <v>11</v>
      </c>
      <c r="D15" s="61" t="s">
        <v>51</v>
      </c>
      <c r="E15" s="31" t="s">
        <v>35</v>
      </c>
      <c r="F15" s="32">
        <v>12</v>
      </c>
      <c r="G15" s="32" t="s">
        <v>24</v>
      </c>
      <c r="H15" s="33">
        <v>2</v>
      </c>
      <c r="I15" s="33" t="s">
        <v>29</v>
      </c>
      <c r="J15" s="34">
        <f>+(1540000/30)</f>
        <v>51333.333333333336</v>
      </c>
      <c r="K15" s="34">
        <f t="shared" si="5"/>
        <v>1232000</v>
      </c>
      <c r="L15" s="34"/>
      <c r="M15" s="34"/>
      <c r="N15" s="40"/>
      <c r="O15" s="41"/>
      <c r="P15" s="60">
        <f t="shared" si="7"/>
        <v>51333</v>
      </c>
      <c r="Q15" s="60">
        <f t="shared" si="8"/>
        <v>1231992</v>
      </c>
      <c r="R15" s="23">
        <f t="shared" si="6"/>
        <v>0</v>
      </c>
      <c r="S15" s="24">
        <f t="shared" si="1"/>
        <v>0</v>
      </c>
      <c r="T15" s="23">
        <f t="shared" si="2"/>
        <v>51333.333333333336</v>
      </c>
      <c r="U15" s="23">
        <f t="shared" si="9"/>
        <v>1232000</v>
      </c>
      <c r="V15" s="24">
        <f t="shared" si="4"/>
        <v>0</v>
      </c>
      <c r="W15" s="25" t="s">
        <v>26</v>
      </c>
      <c r="X15" s="25"/>
      <c r="Y15" s="27"/>
      <c r="Z15" s="28"/>
      <c r="AA15" s="28"/>
      <c r="AB15" s="28"/>
      <c r="AC15" s="28"/>
      <c r="AD15" s="28"/>
      <c r="AE15" s="28"/>
      <c r="AF15" s="28"/>
      <c r="AG15" s="28"/>
      <c r="AH15" s="28"/>
      <c r="AI15" s="28"/>
      <c r="AJ15" s="28"/>
      <c r="AK15" s="28"/>
    </row>
    <row r="16" spans="1:37" ht="47.25" customHeight="1" x14ac:dyDescent="0.25">
      <c r="A16" s="13">
        <f t="shared" si="0"/>
        <v>1</v>
      </c>
      <c r="B16" s="675">
        <v>12</v>
      </c>
      <c r="C16" s="38">
        <v>12</v>
      </c>
      <c r="D16" s="62" t="s">
        <v>52</v>
      </c>
      <c r="E16" s="55" t="s">
        <v>53</v>
      </c>
      <c r="F16" s="63">
        <v>1</v>
      </c>
      <c r="G16" s="56" t="s">
        <v>24</v>
      </c>
      <c r="H16" s="57">
        <v>1</v>
      </c>
      <c r="I16" s="57" t="s">
        <v>46</v>
      </c>
      <c r="J16" s="58">
        <f>4917001</f>
        <v>4917001</v>
      </c>
      <c r="K16" s="64">
        <f t="shared" si="5"/>
        <v>4917001</v>
      </c>
      <c r="L16" s="58"/>
      <c r="M16" s="58"/>
      <c r="N16" s="59"/>
      <c r="O16" s="41"/>
      <c r="P16" s="60">
        <f t="shared" si="7"/>
        <v>4917001</v>
      </c>
      <c r="Q16" s="60">
        <f t="shared" si="8"/>
        <v>4917001</v>
      </c>
      <c r="R16" s="23">
        <f t="shared" si="6"/>
        <v>0</v>
      </c>
      <c r="S16" s="24">
        <f t="shared" si="1"/>
        <v>0</v>
      </c>
      <c r="T16" s="23">
        <f t="shared" si="2"/>
        <v>4917001</v>
      </c>
      <c r="U16" s="23">
        <f t="shared" si="9"/>
        <v>4917001</v>
      </c>
      <c r="V16" s="24">
        <f t="shared" si="4"/>
        <v>0</v>
      </c>
      <c r="W16" s="47" t="s">
        <v>26</v>
      </c>
      <c r="X16" s="47"/>
      <c r="Y16" s="48"/>
      <c r="Z16" s="28"/>
      <c r="AA16" s="28"/>
      <c r="AB16" s="28"/>
      <c r="AC16" s="28"/>
      <c r="AD16" s="28"/>
      <c r="AE16" s="28"/>
      <c r="AF16" s="28"/>
      <c r="AG16" s="28"/>
      <c r="AH16" s="28"/>
      <c r="AI16" s="28"/>
      <c r="AJ16" s="28"/>
      <c r="AK16" s="28"/>
    </row>
    <row r="17" spans="1:37" ht="65.099999999999994" customHeight="1" x14ac:dyDescent="0.25">
      <c r="A17" s="13">
        <f t="shared" si="0"/>
        <v>1</v>
      </c>
      <c r="B17" s="675">
        <v>13</v>
      </c>
      <c r="C17" s="42">
        <v>13</v>
      </c>
      <c r="D17" s="65" t="s">
        <v>47</v>
      </c>
      <c r="E17" s="27" t="s">
        <v>54</v>
      </c>
      <c r="F17" s="66">
        <v>1</v>
      </c>
      <c r="G17" s="32" t="s">
        <v>24</v>
      </c>
      <c r="H17" s="33">
        <v>6</v>
      </c>
      <c r="I17" s="33" t="s">
        <v>29</v>
      </c>
      <c r="J17" s="34">
        <f>+(4917001/30)</f>
        <v>163900.03333333333</v>
      </c>
      <c r="K17" s="34">
        <f t="shared" si="5"/>
        <v>983400.2</v>
      </c>
      <c r="L17" s="34"/>
      <c r="M17" s="34"/>
      <c r="N17" s="40"/>
      <c r="O17" s="41"/>
      <c r="P17" s="60">
        <f t="shared" si="7"/>
        <v>163900</v>
      </c>
      <c r="Q17" s="60">
        <f t="shared" si="8"/>
        <v>983400</v>
      </c>
      <c r="R17" s="23">
        <f t="shared" si="6"/>
        <v>0</v>
      </c>
      <c r="S17" s="24">
        <f t="shared" si="1"/>
        <v>0</v>
      </c>
      <c r="T17" s="23">
        <f t="shared" si="2"/>
        <v>163900.03333333333</v>
      </c>
      <c r="U17" s="23">
        <f t="shared" si="9"/>
        <v>983400.2</v>
      </c>
      <c r="V17" s="24">
        <f t="shared" si="4"/>
        <v>0</v>
      </c>
      <c r="W17" s="25" t="s">
        <v>26</v>
      </c>
      <c r="X17" s="25"/>
      <c r="Y17" s="27"/>
      <c r="Z17" s="28"/>
      <c r="AA17" s="28"/>
      <c r="AB17" s="28"/>
      <c r="AC17" s="28"/>
      <c r="AD17" s="28"/>
      <c r="AE17" s="28"/>
      <c r="AF17" s="28"/>
      <c r="AG17" s="28"/>
      <c r="AH17" s="28"/>
      <c r="AI17" s="28"/>
      <c r="AJ17" s="28"/>
      <c r="AK17" s="28"/>
    </row>
    <row r="18" spans="1:37" ht="105.6" customHeight="1" x14ac:dyDescent="0.25">
      <c r="A18" s="13">
        <f t="shared" si="0"/>
        <v>1</v>
      </c>
      <c r="B18" s="675">
        <v>14</v>
      </c>
      <c r="C18" s="38">
        <v>14</v>
      </c>
      <c r="D18" s="65" t="s">
        <v>34</v>
      </c>
      <c r="E18" s="31" t="s">
        <v>35</v>
      </c>
      <c r="F18" s="66">
        <v>30</v>
      </c>
      <c r="G18" s="32" t="s">
        <v>24</v>
      </c>
      <c r="H18" s="33">
        <v>1</v>
      </c>
      <c r="I18" s="33"/>
      <c r="J18" s="34">
        <f>+(1540000/30)</f>
        <v>51333.333333333336</v>
      </c>
      <c r="K18" s="34">
        <f t="shared" si="5"/>
        <v>1540000</v>
      </c>
      <c r="L18" s="34"/>
      <c r="M18" s="34"/>
      <c r="N18" s="40"/>
      <c r="O18" s="41"/>
      <c r="P18" s="60">
        <f t="shared" si="7"/>
        <v>51333</v>
      </c>
      <c r="Q18" s="60">
        <f t="shared" si="8"/>
        <v>1539990</v>
      </c>
      <c r="R18" s="23">
        <f t="shared" si="6"/>
        <v>0</v>
      </c>
      <c r="S18" s="24">
        <f t="shared" si="1"/>
        <v>0</v>
      </c>
      <c r="T18" s="23">
        <f t="shared" si="2"/>
        <v>51333.333333333336</v>
      </c>
      <c r="U18" s="23">
        <f t="shared" si="9"/>
        <v>1540000</v>
      </c>
      <c r="V18" s="24">
        <f t="shared" si="4"/>
        <v>0</v>
      </c>
      <c r="W18" s="25" t="s">
        <v>26</v>
      </c>
      <c r="X18" s="25"/>
      <c r="Y18" s="27"/>
      <c r="Z18" s="28"/>
      <c r="AA18" s="28"/>
      <c r="AB18" s="28"/>
      <c r="AC18" s="28"/>
      <c r="AD18" s="28"/>
      <c r="AE18" s="28"/>
      <c r="AF18" s="28"/>
      <c r="AG18" s="28"/>
      <c r="AH18" s="28"/>
      <c r="AI18" s="28"/>
      <c r="AJ18" s="28"/>
      <c r="AK18" s="28"/>
    </row>
    <row r="19" spans="1:37" ht="78.75" x14ac:dyDescent="0.25">
      <c r="A19" s="13">
        <f t="shared" si="0"/>
        <v>3</v>
      </c>
      <c r="B19" s="675">
        <v>15</v>
      </c>
      <c r="C19" s="38">
        <v>15</v>
      </c>
      <c r="D19" s="49" t="s">
        <v>55</v>
      </c>
      <c r="E19" s="50" t="s">
        <v>56</v>
      </c>
      <c r="F19" s="66">
        <v>2</v>
      </c>
      <c r="G19" s="32" t="s">
        <v>24</v>
      </c>
      <c r="H19" s="33">
        <v>1</v>
      </c>
      <c r="I19" s="33" t="s">
        <v>29</v>
      </c>
      <c r="J19" s="67">
        <v>700000</v>
      </c>
      <c r="K19" s="40">
        <f t="shared" si="5"/>
        <v>1400000</v>
      </c>
      <c r="L19" s="35">
        <v>784000</v>
      </c>
      <c r="M19" s="35">
        <f>+L19*H19*F19</f>
        <v>1568000</v>
      </c>
      <c r="N19" s="35">
        <v>826000</v>
      </c>
      <c r="O19" s="41">
        <f>+N19*H19*F19</f>
        <v>1652000</v>
      </c>
      <c r="P19" s="68">
        <f>+AVERAGE(J19,L19,N19)</f>
        <v>770000</v>
      </c>
      <c r="Q19" s="68">
        <f>+P19*H19*F19</f>
        <v>1540000</v>
      </c>
      <c r="R19" s="68">
        <f t="shared" si="6"/>
        <v>52383.203414835181</v>
      </c>
      <c r="S19" s="69">
        <f t="shared" si="1"/>
        <v>6.8030134304980755E-2</v>
      </c>
      <c r="T19" s="68">
        <f t="shared" si="2"/>
        <v>784000</v>
      </c>
      <c r="U19" s="68">
        <f t="shared" si="9"/>
        <v>1568000</v>
      </c>
      <c r="V19" s="69">
        <f t="shared" si="4"/>
        <v>6.6815310478106099E-2</v>
      </c>
      <c r="W19" s="47" t="s">
        <v>41</v>
      </c>
      <c r="X19" s="70" t="s">
        <v>42</v>
      </c>
      <c r="Y19" s="71" t="s">
        <v>43</v>
      </c>
      <c r="Z19" s="28"/>
      <c r="AA19" s="28"/>
      <c r="AB19" s="28"/>
      <c r="AC19" s="28"/>
      <c r="AD19" s="28"/>
      <c r="AE19" s="28"/>
      <c r="AF19" s="28"/>
      <c r="AG19" s="28"/>
      <c r="AH19" s="28"/>
      <c r="AI19" s="28"/>
      <c r="AJ19" s="28"/>
      <c r="AK19" s="28"/>
    </row>
    <row r="20" spans="1:37" ht="94.5" x14ac:dyDescent="0.25">
      <c r="A20" s="13">
        <f t="shared" si="0"/>
        <v>1</v>
      </c>
      <c r="B20" s="675">
        <v>16</v>
      </c>
      <c r="C20" s="42">
        <v>16</v>
      </c>
      <c r="D20" s="49" t="s">
        <v>34</v>
      </c>
      <c r="E20" s="50" t="s">
        <v>57</v>
      </c>
      <c r="F20" s="66">
        <v>10</v>
      </c>
      <c r="G20" s="32" t="s">
        <v>24</v>
      </c>
      <c r="H20" s="33">
        <v>1</v>
      </c>
      <c r="I20" s="33" t="s">
        <v>29</v>
      </c>
      <c r="J20" s="34">
        <f>2063001/30</f>
        <v>68766.7</v>
      </c>
      <c r="K20" s="40">
        <f t="shared" si="5"/>
        <v>687667</v>
      </c>
      <c r="L20" s="35"/>
      <c r="M20" s="35"/>
      <c r="N20" s="35"/>
      <c r="O20" s="41"/>
      <c r="P20" s="68">
        <f>+AVERAGE(J20,L20,N20)</f>
        <v>68766.7</v>
      </c>
      <c r="Q20" s="68">
        <f>+P20*H20*F20</f>
        <v>687667</v>
      </c>
      <c r="R20" s="68">
        <f t="shared" si="6"/>
        <v>0</v>
      </c>
      <c r="S20" s="69">
        <f t="shared" si="1"/>
        <v>0</v>
      </c>
      <c r="T20" s="68">
        <f t="shared" si="2"/>
        <v>68766.7</v>
      </c>
      <c r="U20" s="68">
        <f t="shared" si="9"/>
        <v>687667</v>
      </c>
      <c r="V20" s="69">
        <f t="shared" si="4"/>
        <v>0</v>
      </c>
      <c r="W20" s="72" t="s">
        <v>26</v>
      </c>
      <c r="X20" s="72"/>
      <c r="Y20" s="73"/>
      <c r="Z20" s="28"/>
      <c r="AA20" s="28"/>
      <c r="AB20" s="28"/>
      <c r="AC20" s="28"/>
      <c r="AD20" s="28"/>
      <c r="AE20" s="28"/>
      <c r="AF20" s="28"/>
      <c r="AG20" s="28"/>
      <c r="AH20" s="28"/>
      <c r="AI20" s="28"/>
      <c r="AJ20" s="28"/>
      <c r="AK20" s="28"/>
    </row>
    <row r="21" spans="1:37" ht="47.25" customHeight="1" x14ac:dyDescent="0.25">
      <c r="A21" s="13">
        <f t="shared" si="0"/>
        <v>1</v>
      </c>
      <c r="B21" s="675">
        <v>17</v>
      </c>
      <c r="C21" s="38">
        <v>17</v>
      </c>
      <c r="D21" s="30" t="s">
        <v>58</v>
      </c>
      <c r="E21" s="31" t="s">
        <v>59</v>
      </c>
      <c r="F21" s="32">
        <v>1</v>
      </c>
      <c r="G21" s="32" t="s">
        <v>24</v>
      </c>
      <c r="H21" s="33">
        <v>6</v>
      </c>
      <c r="I21" s="33" t="s">
        <v>60</v>
      </c>
      <c r="J21" s="34">
        <f>(7688000/30)</f>
        <v>256266.66666666666</v>
      </c>
      <c r="K21" s="34">
        <f t="shared" si="5"/>
        <v>1537600</v>
      </c>
      <c r="L21" s="34"/>
      <c r="M21" s="34"/>
      <c r="N21" s="40"/>
      <c r="O21" s="41"/>
      <c r="P21" s="22">
        <f>+(ROUND(AVERAGE(J21),0))</f>
        <v>256267</v>
      </c>
      <c r="Q21" s="22">
        <f>+P21*F21*H21</f>
        <v>1537602</v>
      </c>
      <c r="R21" s="23">
        <f t="shared" si="6"/>
        <v>0</v>
      </c>
      <c r="S21" s="24">
        <f t="shared" si="1"/>
        <v>0</v>
      </c>
      <c r="T21" s="23">
        <f t="shared" si="2"/>
        <v>256266.66666666666</v>
      </c>
      <c r="U21" s="23">
        <f t="shared" si="9"/>
        <v>1537600</v>
      </c>
      <c r="V21" s="24">
        <f t="shared" si="4"/>
        <v>0</v>
      </c>
      <c r="W21" s="25" t="s">
        <v>26</v>
      </c>
      <c r="X21" s="25"/>
      <c r="Y21" s="27"/>
      <c r="Z21" s="28"/>
      <c r="AA21" s="28"/>
      <c r="AB21" s="28"/>
      <c r="AC21" s="28"/>
      <c r="AD21" s="28"/>
      <c r="AE21" s="28"/>
      <c r="AF21" s="28"/>
      <c r="AG21" s="28"/>
      <c r="AH21" s="28"/>
      <c r="AI21" s="28"/>
      <c r="AJ21" s="28"/>
      <c r="AK21" s="28"/>
    </row>
    <row r="22" spans="1:37" ht="86.65" customHeight="1" x14ac:dyDescent="0.25">
      <c r="A22" s="13">
        <f t="shared" si="0"/>
        <v>1</v>
      </c>
      <c r="B22" s="675">
        <v>18</v>
      </c>
      <c r="C22" s="38">
        <v>18</v>
      </c>
      <c r="D22" s="74" t="s">
        <v>61</v>
      </c>
      <c r="E22" s="75" t="s">
        <v>62</v>
      </c>
      <c r="F22" s="76">
        <v>8</v>
      </c>
      <c r="G22" s="32" t="s">
        <v>24</v>
      </c>
      <c r="H22" s="77">
        <v>2</v>
      </c>
      <c r="I22" s="77" t="s">
        <v>60</v>
      </c>
      <c r="J22" s="43">
        <f>+(2063001/30)</f>
        <v>68766.7</v>
      </c>
      <c r="K22" s="34">
        <f t="shared" si="5"/>
        <v>1100267.2</v>
      </c>
      <c r="L22" s="43"/>
      <c r="M22" s="43"/>
      <c r="N22" s="44"/>
      <c r="O22" s="41"/>
      <c r="P22" s="22">
        <f>+(ROUND(AVERAGE(J22),0))</f>
        <v>68767</v>
      </c>
      <c r="Q22" s="22">
        <f>+P22*F22*H22</f>
        <v>1100272</v>
      </c>
      <c r="R22" s="23">
        <f t="shared" si="6"/>
        <v>0</v>
      </c>
      <c r="S22" s="24">
        <f t="shared" si="1"/>
        <v>0</v>
      </c>
      <c r="T22" s="23">
        <f t="shared" si="2"/>
        <v>68766.7</v>
      </c>
      <c r="U22" s="23">
        <f t="shared" si="9"/>
        <v>1100267.2</v>
      </c>
      <c r="V22" s="24">
        <f t="shared" si="4"/>
        <v>0</v>
      </c>
      <c r="W22" s="78" t="s">
        <v>26</v>
      </c>
      <c r="X22" s="78"/>
      <c r="Y22" s="79"/>
      <c r="Z22" s="28"/>
      <c r="AA22" s="28"/>
      <c r="AB22" s="28"/>
      <c r="AC22" s="28"/>
      <c r="AD22" s="28"/>
      <c r="AE22" s="28"/>
      <c r="AF22" s="28"/>
      <c r="AG22" s="28"/>
      <c r="AH22" s="28"/>
      <c r="AI22" s="28"/>
      <c r="AJ22" s="28"/>
      <c r="AK22" s="28"/>
    </row>
    <row r="23" spans="1:37" ht="59.1" customHeight="1" x14ac:dyDescent="0.25">
      <c r="A23" s="13">
        <f t="shared" si="0"/>
        <v>3</v>
      </c>
      <c r="B23" s="675">
        <v>19</v>
      </c>
      <c r="C23" s="42">
        <v>19</v>
      </c>
      <c r="D23" s="49" t="s">
        <v>63</v>
      </c>
      <c r="E23" s="50" t="s">
        <v>64</v>
      </c>
      <c r="F23" s="32">
        <v>2</v>
      </c>
      <c r="G23" s="32" t="s">
        <v>24</v>
      </c>
      <c r="H23" s="33">
        <v>1</v>
      </c>
      <c r="I23" s="33" t="s">
        <v>491</v>
      </c>
      <c r="J23" s="34">
        <v>700000</v>
      </c>
      <c r="K23" s="40">
        <f t="shared" si="5"/>
        <v>1400000</v>
      </c>
      <c r="L23" s="80">
        <v>784000</v>
      </c>
      <c r="M23" s="35">
        <f>+L23*H23*F23</f>
        <v>1568000</v>
      </c>
      <c r="N23" s="35">
        <v>826000</v>
      </c>
      <c r="O23" s="41">
        <f>+N23*H23*F23</f>
        <v>1652000</v>
      </c>
      <c r="P23" s="68">
        <f>+AVERAGE(J23,L23,N23)</f>
        <v>770000</v>
      </c>
      <c r="Q23" s="68">
        <f>+P23*H23*F23</f>
        <v>1540000</v>
      </c>
      <c r="R23" s="68">
        <f t="shared" si="6"/>
        <v>52383.203414835181</v>
      </c>
      <c r="S23" s="69">
        <f t="shared" si="1"/>
        <v>6.8030134304980755E-2</v>
      </c>
      <c r="T23" s="68">
        <f t="shared" si="2"/>
        <v>784000</v>
      </c>
      <c r="U23" s="68">
        <f t="shared" si="9"/>
        <v>1568000</v>
      </c>
      <c r="V23" s="69">
        <f t="shared" si="4"/>
        <v>6.6815310478106099E-2</v>
      </c>
      <c r="W23" s="25" t="s">
        <v>41</v>
      </c>
      <c r="X23" s="25" t="s">
        <v>1075</v>
      </c>
      <c r="Y23" s="81" t="s">
        <v>43</v>
      </c>
      <c r="Z23" s="28"/>
      <c r="AA23" s="28"/>
      <c r="AB23" s="28"/>
      <c r="AC23" s="28"/>
      <c r="AD23" s="28"/>
      <c r="AE23" s="28"/>
      <c r="AF23" s="28"/>
      <c r="AG23" s="28"/>
      <c r="AH23" s="28"/>
      <c r="AI23" s="28"/>
      <c r="AJ23" s="28"/>
      <c r="AK23" s="28"/>
    </row>
    <row r="24" spans="1:37" ht="71.099999999999994" customHeight="1" x14ac:dyDescent="0.25">
      <c r="A24" s="13">
        <f t="shared" si="0"/>
        <v>1</v>
      </c>
      <c r="B24" s="675">
        <v>20</v>
      </c>
      <c r="C24" s="38">
        <v>20</v>
      </c>
      <c r="D24" s="30" t="s">
        <v>66</v>
      </c>
      <c r="E24" s="31" t="s">
        <v>67</v>
      </c>
      <c r="F24" s="32">
        <v>1</v>
      </c>
      <c r="G24" s="32" t="s">
        <v>24</v>
      </c>
      <c r="H24" s="33">
        <v>1</v>
      </c>
      <c r="I24" s="33" t="s">
        <v>94</v>
      </c>
      <c r="J24" s="34">
        <f>+(3500001/30)</f>
        <v>116666.7</v>
      </c>
      <c r="K24" s="34">
        <f t="shared" si="5"/>
        <v>116666.7</v>
      </c>
      <c r="L24" s="34"/>
      <c r="M24" s="34"/>
      <c r="N24" s="40"/>
      <c r="O24" s="41"/>
      <c r="P24" s="22">
        <f>+(ROUND(AVERAGE(J24),0))</f>
        <v>116667</v>
      </c>
      <c r="Q24" s="22">
        <f>+P24*F24*H24</f>
        <v>116667</v>
      </c>
      <c r="R24" s="23">
        <f t="shared" si="6"/>
        <v>0</v>
      </c>
      <c r="S24" s="24">
        <f t="shared" si="1"/>
        <v>0</v>
      </c>
      <c r="T24" s="23">
        <f t="shared" si="2"/>
        <v>116666.7</v>
      </c>
      <c r="U24" s="23">
        <f t="shared" si="9"/>
        <v>116666.7</v>
      </c>
      <c r="V24" s="24">
        <f t="shared" si="4"/>
        <v>0</v>
      </c>
      <c r="W24" s="25" t="s">
        <v>26</v>
      </c>
      <c r="X24" s="25"/>
      <c r="Y24" s="27"/>
      <c r="Z24" s="28"/>
      <c r="AA24" s="28"/>
      <c r="AB24" s="28"/>
      <c r="AC24" s="28"/>
      <c r="AD24" s="28"/>
      <c r="AE24" s="28"/>
      <c r="AF24" s="28"/>
      <c r="AG24" s="28"/>
      <c r="AH24" s="28"/>
      <c r="AI24" s="28"/>
      <c r="AJ24" s="28"/>
      <c r="AK24" s="28"/>
    </row>
    <row r="25" spans="1:37" ht="47.25" x14ac:dyDescent="0.25">
      <c r="A25" s="13">
        <f t="shared" si="0"/>
        <v>3</v>
      </c>
      <c r="B25" s="675">
        <v>21</v>
      </c>
      <c r="C25" s="38">
        <v>21</v>
      </c>
      <c r="D25" s="54" t="s">
        <v>68</v>
      </c>
      <c r="E25" s="55" t="s">
        <v>69</v>
      </c>
      <c r="F25" s="56">
        <v>1</v>
      </c>
      <c r="G25" s="32" t="s">
        <v>24</v>
      </c>
      <c r="H25" s="77">
        <v>2</v>
      </c>
      <c r="I25" s="33" t="s">
        <v>60</v>
      </c>
      <c r="J25" s="82">
        <f>+(1680672*5.35%)+1680672</f>
        <v>1770587.952</v>
      </c>
      <c r="K25" s="40">
        <f t="shared" si="5"/>
        <v>3541175.9040000001</v>
      </c>
      <c r="L25" s="82">
        <f>+(1722689*5.35%)+1722689</f>
        <v>1814852.8615000001</v>
      </c>
      <c r="M25" s="35">
        <f>+L25*H25*F25</f>
        <v>3629705.7230000002</v>
      </c>
      <c r="N25" s="82">
        <f>+(1722689*5.35%)+1722689</f>
        <v>1814852.8615000001</v>
      </c>
      <c r="O25" s="41">
        <f>+N25*H25*F25</f>
        <v>3629705.7230000002</v>
      </c>
      <c r="P25" s="68">
        <f>+AVERAGE(J25,L25,N25)</f>
        <v>1800097.8916666668</v>
      </c>
      <c r="Q25" s="68">
        <f>+P25*H25*F25</f>
        <v>3600195.7833333337</v>
      </c>
      <c r="R25" s="68">
        <f t="shared" si="6"/>
        <v>20866.678450705916</v>
      </c>
      <c r="S25" s="69">
        <f t="shared" si="1"/>
        <v>1.1591968718648944E-2</v>
      </c>
      <c r="T25" s="68">
        <f t="shared" si="2"/>
        <v>1814852.8615000001</v>
      </c>
      <c r="U25" s="68">
        <f t="shared" si="9"/>
        <v>3629705.7230000002</v>
      </c>
      <c r="V25" s="69">
        <f t="shared" si="4"/>
        <v>1.149772463287152E-2</v>
      </c>
      <c r="W25" s="25" t="s">
        <v>70</v>
      </c>
      <c r="X25" s="25" t="s">
        <v>71</v>
      </c>
      <c r="Y25" s="27" t="s">
        <v>72</v>
      </c>
      <c r="Z25" s="28"/>
      <c r="AA25" s="28"/>
      <c r="AB25" s="28"/>
      <c r="AC25" s="28"/>
      <c r="AD25" s="28"/>
      <c r="AE25" s="28"/>
      <c r="AF25" s="28"/>
      <c r="AG25" s="28"/>
      <c r="AH25" s="28"/>
      <c r="AI25" s="28"/>
      <c r="AJ25" s="28"/>
      <c r="AK25" s="28"/>
    </row>
    <row r="26" spans="1:37" ht="90.6" customHeight="1" x14ac:dyDescent="0.25">
      <c r="A26" s="13">
        <f t="shared" si="0"/>
        <v>3</v>
      </c>
      <c r="B26" s="675">
        <v>22</v>
      </c>
      <c r="C26" s="42">
        <v>22</v>
      </c>
      <c r="D26" s="49" t="s">
        <v>73</v>
      </c>
      <c r="E26" s="31" t="s">
        <v>74</v>
      </c>
      <c r="F26" s="32">
        <v>1</v>
      </c>
      <c r="G26" s="32" t="s">
        <v>24</v>
      </c>
      <c r="H26" s="33">
        <v>1</v>
      </c>
      <c r="I26" s="33" t="s">
        <v>94</v>
      </c>
      <c r="J26" s="663">
        <v>1680672</v>
      </c>
      <c r="K26" s="40">
        <f t="shared" si="5"/>
        <v>1680672</v>
      </c>
      <c r="L26" s="664">
        <v>1680672</v>
      </c>
      <c r="M26" s="35">
        <f>+L26*H26*F26</f>
        <v>1680672</v>
      </c>
      <c r="N26" s="132">
        <v>2000000</v>
      </c>
      <c r="O26" s="35">
        <f>+N26*H26*F26</f>
        <v>2000000</v>
      </c>
      <c r="P26" s="68">
        <f>+AVERAGE(J26,L26,N26)</f>
        <v>1787114.6666666667</v>
      </c>
      <c r="Q26" s="68">
        <f>+P26*H26*F26</f>
        <v>1787114.6666666667</v>
      </c>
      <c r="R26" s="68">
        <f t="shared" si="6"/>
        <v>150532.66281515858</v>
      </c>
      <c r="S26" s="69">
        <f t="shared" si="1"/>
        <v>8.4232235134599778E-2</v>
      </c>
      <c r="T26" s="68">
        <f t="shared" si="2"/>
        <v>1680672</v>
      </c>
      <c r="U26" s="68">
        <f t="shared" si="9"/>
        <v>1680672</v>
      </c>
      <c r="V26" s="69">
        <f t="shared" si="4"/>
        <v>8.9566948705731148E-2</v>
      </c>
      <c r="W26" s="84" t="s">
        <v>75</v>
      </c>
      <c r="X26" s="84" t="s">
        <v>76</v>
      </c>
      <c r="Y26" s="85" t="s">
        <v>41</v>
      </c>
      <c r="Z26" s="28"/>
      <c r="AA26" s="28"/>
      <c r="AB26" s="28"/>
      <c r="AC26" s="28"/>
      <c r="AD26" s="28"/>
      <c r="AE26" s="28"/>
      <c r="AF26" s="28"/>
      <c r="AG26" s="28"/>
      <c r="AH26" s="28"/>
      <c r="AI26" s="28"/>
      <c r="AJ26" s="28"/>
      <c r="AK26" s="28"/>
    </row>
    <row r="27" spans="1:37" ht="94.15" customHeight="1" x14ac:dyDescent="0.25">
      <c r="A27" s="13">
        <f t="shared" si="0"/>
        <v>3</v>
      </c>
      <c r="B27" s="675">
        <v>23</v>
      </c>
      <c r="C27" s="38">
        <v>23</v>
      </c>
      <c r="D27" s="49" t="s">
        <v>77</v>
      </c>
      <c r="E27" s="31" t="s">
        <v>78</v>
      </c>
      <c r="F27" s="32">
        <v>1</v>
      </c>
      <c r="G27" s="32" t="s">
        <v>24</v>
      </c>
      <c r="H27" s="33">
        <v>1</v>
      </c>
      <c r="I27" s="33" t="s">
        <v>60</v>
      </c>
      <c r="J27" s="663">
        <v>336134</v>
      </c>
      <c r="K27" s="40">
        <f t="shared" si="5"/>
        <v>336134</v>
      </c>
      <c r="L27" s="664">
        <v>357143</v>
      </c>
      <c r="M27" s="35">
        <f>+L27*H27*F27</f>
        <v>357143</v>
      </c>
      <c r="N27" s="664">
        <v>420168</v>
      </c>
      <c r="O27" s="41">
        <f>+N27*H27*F27</f>
        <v>420168</v>
      </c>
      <c r="P27" s="68">
        <f>+AVERAGE(J27,L27,N27)</f>
        <v>371148.33333333331</v>
      </c>
      <c r="Q27" s="68">
        <f>+P27*H27*F27</f>
        <v>371148.33333333331</v>
      </c>
      <c r="R27" s="68">
        <f t="shared" si="6"/>
        <v>35707.518445777714</v>
      </c>
      <c r="S27" s="69">
        <f t="shared" si="1"/>
        <v>9.6208214449149398E-2</v>
      </c>
      <c r="T27" s="68">
        <f t="shared" si="2"/>
        <v>357143</v>
      </c>
      <c r="U27" s="68">
        <f t="shared" si="9"/>
        <v>357143</v>
      </c>
      <c r="V27" s="69">
        <f t="shared" si="4"/>
        <v>9.9981011655772931E-2</v>
      </c>
      <c r="W27" s="86" t="s">
        <v>79</v>
      </c>
      <c r="X27" s="86" t="s">
        <v>80</v>
      </c>
      <c r="Y27" s="53" t="s">
        <v>81</v>
      </c>
      <c r="Z27" s="28"/>
      <c r="AA27" s="28"/>
      <c r="AB27" s="28"/>
      <c r="AC27" s="28"/>
      <c r="AD27" s="28"/>
      <c r="AE27" s="28"/>
      <c r="AF27" s="28"/>
      <c r="AG27" s="28"/>
      <c r="AH27" s="28"/>
      <c r="AI27" s="28"/>
      <c r="AJ27" s="28"/>
      <c r="AK27" s="28"/>
    </row>
    <row r="28" spans="1:37" ht="95.65" customHeight="1" x14ac:dyDescent="0.25">
      <c r="A28" s="90">
        <f t="shared" si="0"/>
        <v>1</v>
      </c>
      <c r="B28" s="675">
        <v>24</v>
      </c>
      <c r="C28" s="38">
        <v>29</v>
      </c>
      <c r="D28" s="65" t="s">
        <v>83</v>
      </c>
      <c r="E28" s="31" t="s">
        <v>84</v>
      </c>
      <c r="F28" s="91">
        <v>1</v>
      </c>
      <c r="G28" s="32" t="s">
        <v>24</v>
      </c>
      <c r="H28" s="33">
        <v>14</v>
      </c>
      <c r="I28" s="33" t="s">
        <v>60</v>
      </c>
      <c r="J28" s="64">
        <f>5635001/30</f>
        <v>187833.36666666667</v>
      </c>
      <c r="K28" s="64">
        <f t="shared" si="5"/>
        <v>2629667.1333333333</v>
      </c>
      <c r="L28" s="34"/>
      <c r="M28" s="34"/>
      <c r="N28" s="40"/>
      <c r="O28" s="41"/>
      <c r="P28" s="22">
        <f>+(ROUND(AVERAGE(J28),0))</f>
        <v>187833</v>
      </c>
      <c r="Q28" s="22">
        <f>+P28*F28*H28</f>
        <v>2629662</v>
      </c>
      <c r="R28" s="23">
        <f t="shared" si="6"/>
        <v>0</v>
      </c>
      <c r="S28" s="24">
        <f t="shared" si="1"/>
        <v>0</v>
      </c>
      <c r="T28" s="23">
        <f t="shared" si="2"/>
        <v>187833.36666666667</v>
      </c>
      <c r="U28" s="23">
        <f t="shared" si="9"/>
        <v>2629667.1333333333</v>
      </c>
      <c r="V28" s="24">
        <f t="shared" si="4"/>
        <v>0</v>
      </c>
      <c r="W28" s="25" t="s">
        <v>26</v>
      </c>
      <c r="X28" s="25"/>
      <c r="Y28" s="27"/>
      <c r="Z28" s="28"/>
      <c r="AA28" s="28"/>
      <c r="AB28" s="28"/>
      <c r="AC28" s="28"/>
      <c r="AD28" s="28"/>
      <c r="AE28" s="28"/>
      <c r="AF28" s="28"/>
      <c r="AG28" s="28"/>
      <c r="AH28" s="28"/>
      <c r="AI28" s="28"/>
      <c r="AJ28" s="28"/>
      <c r="AK28" s="28"/>
    </row>
    <row r="29" spans="1:37" ht="46.5" customHeight="1" x14ac:dyDescent="0.25">
      <c r="A29" s="90">
        <f t="shared" si="0"/>
        <v>1</v>
      </c>
      <c r="B29" s="675">
        <v>25</v>
      </c>
      <c r="C29" s="38">
        <v>30</v>
      </c>
      <c r="D29" s="65" t="s">
        <v>85</v>
      </c>
      <c r="E29" s="31" t="s">
        <v>86</v>
      </c>
      <c r="F29" s="91">
        <v>1</v>
      </c>
      <c r="G29" s="33" t="s">
        <v>24</v>
      </c>
      <c r="H29" s="33">
        <v>14</v>
      </c>
      <c r="I29" s="33" t="s">
        <v>60</v>
      </c>
      <c r="J29" s="64">
        <f>3500001/30</f>
        <v>116666.7</v>
      </c>
      <c r="K29" s="64">
        <f t="shared" si="5"/>
        <v>1633333.8</v>
      </c>
      <c r="L29" s="34"/>
      <c r="M29" s="34"/>
      <c r="N29" s="40"/>
      <c r="O29" s="41"/>
      <c r="P29" s="22">
        <f>+(ROUND(AVERAGE(J29),0))</f>
        <v>116667</v>
      </c>
      <c r="Q29" s="22">
        <f>+P29*F29*H29</f>
        <v>1633338</v>
      </c>
      <c r="R29" s="23">
        <f t="shared" si="6"/>
        <v>0</v>
      </c>
      <c r="S29" s="24">
        <f t="shared" si="1"/>
        <v>0</v>
      </c>
      <c r="T29" s="23">
        <f t="shared" si="2"/>
        <v>116666.7</v>
      </c>
      <c r="U29" s="23">
        <f t="shared" si="9"/>
        <v>1633333.8</v>
      </c>
      <c r="V29" s="24">
        <f t="shared" si="4"/>
        <v>0</v>
      </c>
      <c r="W29" s="25" t="s">
        <v>26</v>
      </c>
      <c r="X29" s="25"/>
      <c r="Y29" s="27"/>
      <c r="Z29" s="28"/>
      <c r="AA29" s="28"/>
      <c r="AB29" s="28"/>
      <c r="AC29" s="28"/>
      <c r="AD29" s="28"/>
      <c r="AE29" s="28"/>
      <c r="AF29" s="28"/>
      <c r="AG29" s="28"/>
      <c r="AH29" s="28"/>
      <c r="AI29" s="28"/>
      <c r="AJ29" s="28"/>
      <c r="AK29" s="28"/>
    </row>
    <row r="30" spans="1:37" ht="48" customHeight="1" x14ac:dyDescent="0.25">
      <c r="A30" s="92">
        <f t="shared" si="0"/>
        <v>1</v>
      </c>
      <c r="B30" s="675">
        <v>26</v>
      </c>
      <c r="C30" s="42">
        <v>31</v>
      </c>
      <c r="D30" s="93" t="s">
        <v>87</v>
      </c>
      <c r="E30" s="75" t="s">
        <v>88</v>
      </c>
      <c r="F30" s="94">
        <v>1</v>
      </c>
      <c r="G30" s="77" t="s">
        <v>24</v>
      </c>
      <c r="H30" s="33">
        <v>14</v>
      </c>
      <c r="I30" s="33" t="s">
        <v>60</v>
      </c>
      <c r="J30" s="64">
        <f>2063001/30</f>
        <v>68766.7</v>
      </c>
      <c r="K30" s="64">
        <f t="shared" si="5"/>
        <v>962733.79999999993</v>
      </c>
      <c r="L30" s="34"/>
      <c r="M30" s="34"/>
      <c r="N30" s="40"/>
      <c r="O30" s="41"/>
      <c r="P30" s="22">
        <f>+(ROUND(AVERAGE(J30),0))</f>
        <v>68767</v>
      </c>
      <c r="Q30" s="22">
        <f>+P30*F30*H30</f>
        <v>962738</v>
      </c>
      <c r="R30" s="23">
        <f t="shared" si="6"/>
        <v>0</v>
      </c>
      <c r="S30" s="24">
        <f t="shared" si="1"/>
        <v>0</v>
      </c>
      <c r="T30" s="23">
        <f t="shared" si="2"/>
        <v>68766.7</v>
      </c>
      <c r="U30" s="23">
        <f t="shared" si="9"/>
        <v>962733.79999999993</v>
      </c>
      <c r="V30" s="24">
        <f t="shared" si="4"/>
        <v>0</v>
      </c>
      <c r="W30" s="25" t="s">
        <v>26</v>
      </c>
      <c r="X30" s="25"/>
      <c r="Y30" s="27"/>
      <c r="Z30" s="28"/>
      <c r="AA30" s="28"/>
      <c r="AB30" s="28"/>
      <c r="AC30" s="28"/>
      <c r="AD30" s="28"/>
      <c r="AE30" s="28"/>
      <c r="AF30" s="28"/>
      <c r="AG30" s="28"/>
      <c r="AH30" s="28"/>
      <c r="AI30" s="28"/>
      <c r="AJ30" s="28"/>
      <c r="AK30" s="28"/>
    </row>
    <row r="31" spans="1:37" ht="35.65" customHeight="1" x14ac:dyDescent="0.25">
      <c r="A31" s="90">
        <f t="shared" si="0"/>
        <v>1</v>
      </c>
      <c r="B31" s="675">
        <v>27</v>
      </c>
      <c r="C31" s="38">
        <v>32</v>
      </c>
      <c r="D31" s="65" t="s">
        <v>89</v>
      </c>
      <c r="E31" s="31" t="s">
        <v>90</v>
      </c>
      <c r="F31" s="91">
        <v>4</v>
      </c>
      <c r="G31" s="33" t="s">
        <v>24</v>
      </c>
      <c r="H31" s="33">
        <v>14</v>
      </c>
      <c r="I31" s="33" t="s">
        <v>60</v>
      </c>
      <c r="J31" s="64">
        <f>1540000/30</f>
        <v>51333.333333333336</v>
      </c>
      <c r="K31" s="64">
        <f t="shared" si="5"/>
        <v>2874666.666666667</v>
      </c>
      <c r="L31" s="43"/>
      <c r="M31" s="43"/>
      <c r="N31" s="44"/>
      <c r="O31" s="41"/>
      <c r="P31" s="22">
        <f t="shared" ref="P31" si="10">+(ROUND(AVERAGE(J31),0))</f>
        <v>51333</v>
      </c>
      <c r="Q31" s="22">
        <f t="shared" ref="Q31" si="11">+P31*F31*H31</f>
        <v>2874648</v>
      </c>
      <c r="R31" s="23">
        <f t="shared" si="6"/>
        <v>0</v>
      </c>
      <c r="S31" s="24">
        <f t="shared" si="1"/>
        <v>0</v>
      </c>
      <c r="T31" s="23">
        <f t="shared" si="2"/>
        <v>51333.333333333336</v>
      </c>
      <c r="U31" s="23">
        <f t="shared" si="9"/>
        <v>2874666.666666667</v>
      </c>
      <c r="V31" s="24">
        <f t="shared" si="4"/>
        <v>0</v>
      </c>
      <c r="W31" s="25" t="s">
        <v>26</v>
      </c>
      <c r="X31" s="25"/>
      <c r="Y31" s="27"/>
      <c r="Z31" s="28"/>
      <c r="AA31" s="28"/>
      <c r="AB31" s="28"/>
      <c r="AC31" s="28"/>
      <c r="AD31" s="28"/>
      <c r="AE31" s="28"/>
      <c r="AF31" s="28"/>
      <c r="AG31" s="28"/>
      <c r="AH31" s="28"/>
      <c r="AI31" s="28"/>
      <c r="AJ31" s="28"/>
      <c r="AK31" s="28"/>
    </row>
    <row r="32" spans="1:37" ht="55.5" customHeight="1" x14ac:dyDescent="0.25">
      <c r="A32" s="90">
        <f t="shared" si="0"/>
        <v>1</v>
      </c>
      <c r="B32" s="675">
        <v>28</v>
      </c>
      <c r="C32" s="38">
        <v>33</v>
      </c>
      <c r="D32" s="65" t="s">
        <v>91</v>
      </c>
      <c r="E32" s="31" t="s">
        <v>92</v>
      </c>
      <c r="F32" s="91">
        <v>3</v>
      </c>
      <c r="G32" s="33" t="s">
        <v>24</v>
      </c>
      <c r="H32" s="33">
        <v>5</v>
      </c>
      <c r="I32" s="33" t="s">
        <v>60</v>
      </c>
      <c r="J32" s="64">
        <v>2000000</v>
      </c>
      <c r="K32" s="34">
        <f>+J32*F32</f>
        <v>6000000</v>
      </c>
      <c r="L32" s="43"/>
      <c r="M32" s="43"/>
      <c r="N32" s="44"/>
      <c r="O32" s="41"/>
      <c r="P32" s="22">
        <f>+(ROUND(AVERAGE(J32),0))</f>
        <v>2000000</v>
      </c>
      <c r="Q32" s="22">
        <f>+P32*F32*H32</f>
        <v>30000000</v>
      </c>
      <c r="R32" s="23">
        <f t="shared" si="6"/>
        <v>0</v>
      </c>
      <c r="S32" s="24">
        <f t="shared" si="1"/>
        <v>0</v>
      </c>
      <c r="T32" s="23">
        <f t="shared" si="2"/>
        <v>2000000</v>
      </c>
      <c r="U32" s="23">
        <f t="shared" si="9"/>
        <v>30000000</v>
      </c>
      <c r="V32" s="24">
        <f t="shared" si="4"/>
        <v>0</v>
      </c>
      <c r="W32" s="25" t="s">
        <v>26</v>
      </c>
      <c r="X32" s="25"/>
      <c r="Y32" s="27"/>
      <c r="Z32" s="28"/>
      <c r="AA32" s="28"/>
      <c r="AB32" s="28"/>
      <c r="AC32" s="28"/>
      <c r="AD32" s="28"/>
      <c r="AE32" s="28"/>
      <c r="AF32" s="28"/>
      <c r="AG32" s="28"/>
      <c r="AH32" s="28"/>
      <c r="AI32" s="28"/>
      <c r="AJ32" s="28"/>
      <c r="AK32" s="28"/>
    </row>
    <row r="33" spans="1:37" ht="47.25" customHeight="1" x14ac:dyDescent="0.25">
      <c r="A33" s="13">
        <f t="shared" si="0"/>
        <v>1</v>
      </c>
      <c r="B33" s="675">
        <v>29</v>
      </c>
      <c r="C33" s="42">
        <v>34</v>
      </c>
      <c r="D33" s="65" t="s">
        <v>52</v>
      </c>
      <c r="E33" s="31" t="s">
        <v>93</v>
      </c>
      <c r="F33" s="66">
        <v>1</v>
      </c>
      <c r="G33" s="32" t="s">
        <v>24</v>
      </c>
      <c r="H33" s="33">
        <v>1</v>
      </c>
      <c r="I33" s="33" t="s">
        <v>94</v>
      </c>
      <c r="J33" s="34">
        <f>5635001/30</f>
        <v>187833.36666666667</v>
      </c>
      <c r="K33" s="34">
        <f t="shared" ref="K33:K49" si="12">+J33*F33*H33</f>
        <v>187833.36666666667</v>
      </c>
      <c r="L33" s="34"/>
      <c r="M33" s="34"/>
      <c r="N33" s="40"/>
      <c r="O33" s="41"/>
      <c r="P33" s="22">
        <f t="shared" ref="P33:P42" si="13">+(ROUND(AVERAGE(J33),0))</f>
        <v>187833</v>
      </c>
      <c r="Q33" s="22">
        <f t="shared" ref="Q33:Q42" si="14">+P33*F33*H33</f>
        <v>187833</v>
      </c>
      <c r="R33" s="23">
        <f t="shared" si="6"/>
        <v>0</v>
      </c>
      <c r="S33" s="24">
        <f t="shared" si="1"/>
        <v>0</v>
      </c>
      <c r="T33" s="23">
        <f t="shared" si="2"/>
        <v>187833.36666666667</v>
      </c>
      <c r="U33" s="23">
        <f t="shared" si="9"/>
        <v>187833.36666666667</v>
      </c>
      <c r="V33" s="24">
        <f t="shared" si="4"/>
        <v>0</v>
      </c>
      <c r="W33" s="25" t="s">
        <v>26</v>
      </c>
      <c r="X33" s="25"/>
      <c r="Y33" s="27"/>
      <c r="Z33" s="28"/>
      <c r="AA33" s="28"/>
      <c r="AB33" s="28"/>
      <c r="AC33" s="28"/>
      <c r="AD33" s="28"/>
      <c r="AE33" s="28"/>
      <c r="AF33" s="28"/>
      <c r="AG33" s="28"/>
      <c r="AH33" s="28"/>
      <c r="AI33" s="28"/>
      <c r="AJ33" s="28"/>
      <c r="AK33" s="28"/>
    </row>
    <row r="34" spans="1:37" ht="54.6" customHeight="1" x14ac:dyDescent="0.25">
      <c r="A34" s="13">
        <f t="shared" si="0"/>
        <v>1</v>
      </c>
      <c r="B34" s="675">
        <v>30</v>
      </c>
      <c r="C34" s="38">
        <v>35</v>
      </c>
      <c r="D34" s="65" t="s">
        <v>47</v>
      </c>
      <c r="E34" s="31" t="s">
        <v>95</v>
      </c>
      <c r="F34" s="66">
        <v>1</v>
      </c>
      <c r="G34" s="32" t="s">
        <v>24</v>
      </c>
      <c r="H34" s="33">
        <v>1</v>
      </c>
      <c r="I34" s="33" t="s">
        <v>94</v>
      </c>
      <c r="J34" s="34">
        <f>5635001/30</f>
        <v>187833.36666666667</v>
      </c>
      <c r="K34" s="34">
        <f t="shared" si="12"/>
        <v>187833.36666666667</v>
      </c>
      <c r="L34" s="34"/>
      <c r="M34" s="34"/>
      <c r="N34" s="40"/>
      <c r="O34" s="41"/>
      <c r="P34" s="22">
        <f t="shared" si="13"/>
        <v>187833</v>
      </c>
      <c r="Q34" s="22">
        <f t="shared" si="14"/>
        <v>187833</v>
      </c>
      <c r="R34" s="23">
        <f t="shared" si="6"/>
        <v>0</v>
      </c>
      <c r="S34" s="24">
        <f t="shared" si="1"/>
        <v>0</v>
      </c>
      <c r="T34" s="23">
        <f t="shared" si="2"/>
        <v>187833.36666666667</v>
      </c>
      <c r="U34" s="23">
        <f t="shared" si="9"/>
        <v>187833.36666666667</v>
      </c>
      <c r="V34" s="24">
        <f t="shared" si="4"/>
        <v>0</v>
      </c>
      <c r="W34" s="25" t="s">
        <v>26</v>
      </c>
      <c r="X34" s="25"/>
      <c r="Y34" s="27"/>
      <c r="Z34" s="28"/>
      <c r="AA34" s="28"/>
      <c r="AB34" s="28"/>
      <c r="AC34" s="28"/>
      <c r="AD34" s="28"/>
      <c r="AE34" s="28"/>
      <c r="AF34" s="28"/>
      <c r="AG34" s="28"/>
      <c r="AH34" s="28"/>
      <c r="AI34" s="28"/>
      <c r="AJ34" s="28"/>
      <c r="AK34" s="28"/>
    </row>
    <row r="35" spans="1:37" ht="69.599999999999994" customHeight="1" x14ac:dyDescent="0.25">
      <c r="A35" s="13">
        <f t="shared" si="0"/>
        <v>1</v>
      </c>
      <c r="B35" s="675">
        <v>31</v>
      </c>
      <c r="C35" s="38">
        <v>36</v>
      </c>
      <c r="D35" s="65" t="s">
        <v>49</v>
      </c>
      <c r="E35" s="31" t="s">
        <v>96</v>
      </c>
      <c r="F35" s="66">
        <v>1</v>
      </c>
      <c r="G35" s="32" t="s">
        <v>24</v>
      </c>
      <c r="H35" s="33">
        <v>1</v>
      </c>
      <c r="I35" s="33" t="s">
        <v>94</v>
      </c>
      <c r="J35" s="34">
        <f>5635001/30</f>
        <v>187833.36666666667</v>
      </c>
      <c r="K35" s="34">
        <f t="shared" si="12"/>
        <v>187833.36666666667</v>
      </c>
      <c r="L35" s="34"/>
      <c r="M35" s="34"/>
      <c r="N35" s="40"/>
      <c r="O35" s="41"/>
      <c r="P35" s="22">
        <f t="shared" si="13"/>
        <v>187833</v>
      </c>
      <c r="Q35" s="22">
        <f t="shared" si="14"/>
        <v>187833</v>
      </c>
      <c r="R35" s="23">
        <f t="shared" si="6"/>
        <v>0</v>
      </c>
      <c r="S35" s="24">
        <f t="shared" si="1"/>
        <v>0</v>
      </c>
      <c r="T35" s="23">
        <f t="shared" si="2"/>
        <v>187833.36666666667</v>
      </c>
      <c r="U35" s="23">
        <f t="shared" si="9"/>
        <v>187833.36666666667</v>
      </c>
      <c r="V35" s="24">
        <f t="shared" si="4"/>
        <v>0</v>
      </c>
      <c r="W35" s="25" t="s">
        <v>26</v>
      </c>
      <c r="X35" s="25"/>
      <c r="Y35" s="27"/>
      <c r="Z35" s="28"/>
      <c r="AA35" s="28"/>
      <c r="AB35" s="28"/>
      <c r="AC35" s="28"/>
      <c r="AD35" s="28"/>
      <c r="AE35" s="28"/>
      <c r="AF35" s="28"/>
      <c r="AG35" s="28"/>
      <c r="AH35" s="28"/>
      <c r="AI35" s="28"/>
      <c r="AJ35" s="28"/>
      <c r="AK35" s="28"/>
    </row>
    <row r="36" spans="1:37" ht="84" customHeight="1" x14ac:dyDescent="0.25">
      <c r="A36" s="13">
        <f t="shared" si="0"/>
        <v>1</v>
      </c>
      <c r="B36" s="675">
        <v>32</v>
      </c>
      <c r="C36" s="42">
        <v>37</v>
      </c>
      <c r="D36" s="65" t="s">
        <v>34</v>
      </c>
      <c r="E36" s="31" t="s">
        <v>35</v>
      </c>
      <c r="F36" s="66">
        <v>30</v>
      </c>
      <c r="G36" s="32" t="s">
        <v>24</v>
      </c>
      <c r="H36" s="33">
        <v>1</v>
      </c>
      <c r="I36" s="33" t="s">
        <v>94</v>
      </c>
      <c r="J36" s="34">
        <f>+(1540000/30)</f>
        <v>51333.333333333336</v>
      </c>
      <c r="K36" s="34">
        <f t="shared" si="12"/>
        <v>1540000</v>
      </c>
      <c r="L36" s="34"/>
      <c r="M36" s="34"/>
      <c r="N36" s="40"/>
      <c r="O36" s="41"/>
      <c r="P36" s="22">
        <f t="shared" si="13"/>
        <v>51333</v>
      </c>
      <c r="Q36" s="22">
        <f t="shared" si="14"/>
        <v>1539990</v>
      </c>
      <c r="R36" s="23">
        <f t="shared" si="6"/>
        <v>0</v>
      </c>
      <c r="S36" s="24">
        <f t="shared" si="1"/>
        <v>0</v>
      </c>
      <c r="T36" s="23">
        <f t="shared" si="2"/>
        <v>51333.333333333336</v>
      </c>
      <c r="U36" s="23">
        <f t="shared" si="9"/>
        <v>1540000</v>
      </c>
      <c r="V36" s="24">
        <f t="shared" si="4"/>
        <v>0</v>
      </c>
      <c r="W36" s="25" t="s">
        <v>26</v>
      </c>
      <c r="X36" s="25"/>
      <c r="Y36" s="27"/>
      <c r="Z36" s="28"/>
      <c r="AA36" s="28"/>
      <c r="AB36" s="28"/>
      <c r="AC36" s="28"/>
      <c r="AD36" s="28"/>
      <c r="AE36" s="28"/>
      <c r="AF36" s="28"/>
      <c r="AG36" s="28"/>
      <c r="AH36" s="28"/>
      <c r="AI36" s="28"/>
      <c r="AJ36" s="28"/>
      <c r="AK36" s="28"/>
    </row>
    <row r="37" spans="1:37" ht="94.5" customHeight="1" x14ac:dyDescent="0.25">
      <c r="A37" s="13">
        <f t="shared" si="0"/>
        <v>1</v>
      </c>
      <c r="B37" s="675">
        <v>33</v>
      </c>
      <c r="C37" s="38">
        <v>38</v>
      </c>
      <c r="D37" s="96" t="s">
        <v>49</v>
      </c>
      <c r="E37" s="97" t="s">
        <v>97</v>
      </c>
      <c r="F37" s="98">
        <v>1</v>
      </c>
      <c r="G37" s="98" t="s">
        <v>24</v>
      </c>
      <c r="H37" s="99">
        <v>1</v>
      </c>
      <c r="I37" s="99" t="s">
        <v>29</v>
      </c>
      <c r="J37" s="34">
        <f>5635001/30</f>
        <v>187833.36666666667</v>
      </c>
      <c r="K37" s="34">
        <f t="shared" si="12"/>
        <v>187833.36666666667</v>
      </c>
      <c r="L37" s="34"/>
      <c r="M37" s="34"/>
      <c r="N37" s="40"/>
      <c r="O37" s="41"/>
      <c r="P37" s="60">
        <f t="shared" si="13"/>
        <v>187833</v>
      </c>
      <c r="Q37" s="60">
        <f t="shared" si="14"/>
        <v>187833</v>
      </c>
      <c r="R37" s="23">
        <f t="shared" si="6"/>
        <v>0</v>
      </c>
      <c r="S37" s="24">
        <f t="shared" si="1"/>
        <v>0</v>
      </c>
      <c r="T37" s="23">
        <f t="shared" si="2"/>
        <v>187833.36666666667</v>
      </c>
      <c r="U37" s="23">
        <f t="shared" si="9"/>
        <v>187833.36666666667</v>
      </c>
      <c r="V37" s="24">
        <f t="shared" si="4"/>
        <v>0</v>
      </c>
      <c r="W37" s="25" t="s">
        <v>26</v>
      </c>
      <c r="X37" s="100"/>
      <c r="Y37" s="100"/>
    </row>
    <row r="38" spans="1:37" ht="94.5" customHeight="1" x14ac:dyDescent="0.25">
      <c r="A38" s="13">
        <f t="shared" si="0"/>
        <v>1</v>
      </c>
      <c r="B38" s="675">
        <v>34</v>
      </c>
      <c r="C38" s="38">
        <v>39</v>
      </c>
      <c r="D38" s="96" t="s">
        <v>34</v>
      </c>
      <c r="E38" s="97" t="s">
        <v>35</v>
      </c>
      <c r="F38" s="98">
        <v>1</v>
      </c>
      <c r="G38" s="98" t="s">
        <v>24</v>
      </c>
      <c r="H38" s="99">
        <v>1</v>
      </c>
      <c r="I38" s="99" t="s">
        <v>29</v>
      </c>
      <c r="J38" s="34">
        <f>+(1540000/30)</f>
        <v>51333.333333333336</v>
      </c>
      <c r="K38" s="34">
        <f t="shared" si="12"/>
        <v>51333.333333333336</v>
      </c>
      <c r="L38" s="43"/>
      <c r="M38" s="43"/>
      <c r="N38" s="44"/>
      <c r="O38" s="41"/>
      <c r="P38" s="60">
        <f t="shared" si="13"/>
        <v>51333</v>
      </c>
      <c r="Q38" s="60">
        <f t="shared" si="14"/>
        <v>51333</v>
      </c>
      <c r="R38" s="23">
        <f t="shared" si="6"/>
        <v>0</v>
      </c>
      <c r="S38" s="24">
        <f t="shared" si="1"/>
        <v>0</v>
      </c>
      <c r="T38" s="23">
        <f t="shared" si="2"/>
        <v>51333.333333333336</v>
      </c>
      <c r="U38" s="23">
        <f t="shared" si="9"/>
        <v>51333.333333333336</v>
      </c>
      <c r="V38" s="24">
        <f t="shared" si="4"/>
        <v>0</v>
      </c>
      <c r="W38" s="25" t="s">
        <v>26</v>
      </c>
      <c r="X38" s="100"/>
      <c r="Y38" s="100"/>
    </row>
    <row r="39" spans="1:37" ht="94.5" customHeight="1" x14ac:dyDescent="0.25">
      <c r="A39" s="13">
        <f t="shared" si="0"/>
        <v>1</v>
      </c>
      <c r="B39" s="675">
        <v>35</v>
      </c>
      <c r="C39" s="42">
        <v>40</v>
      </c>
      <c r="D39" s="96" t="s">
        <v>52</v>
      </c>
      <c r="E39" s="97" t="s">
        <v>98</v>
      </c>
      <c r="F39" s="98">
        <v>1</v>
      </c>
      <c r="G39" s="98" t="s">
        <v>24</v>
      </c>
      <c r="H39" s="99">
        <v>1</v>
      </c>
      <c r="I39" s="99" t="s">
        <v>29</v>
      </c>
      <c r="J39" s="34">
        <f>4507001/30</f>
        <v>150233.36666666667</v>
      </c>
      <c r="K39" s="34">
        <f t="shared" si="12"/>
        <v>150233.36666666667</v>
      </c>
      <c r="L39" s="43"/>
      <c r="M39" s="43"/>
      <c r="N39" s="44"/>
      <c r="O39" s="41"/>
      <c r="P39" s="22">
        <f t="shared" si="13"/>
        <v>150233</v>
      </c>
      <c r="Q39" s="22">
        <f t="shared" si="14"/>
        <v>150233</v>
      </c>
      <c r="R39" s="23">
        <f t="shared" si="6"/>
        <v>0</v>
      </c>
      <c r="S39" s="24">
        <f t="shared" si="1"/>
        <v>0</v>
      </c>
      <c r="T39" s="23">
        <f t="shared" si="2"/>
        <v>150233.36666666667</v>
      </c>
      <c r="U39" s="23">
        <f t="shared" si="9"/>
        <v>150233.36666666667</v>
      </c>
      <c r="V39" s="24">
        <f t="shared" si="4"/>
        <v>0</v>
      </c>
      <c r="W39" s="47" t="s">
        <v>26</v>
      </c>
      <c r="X39" s="101"/>
      <c r="Y39" s="101"/>
    </row>
    <row r="40" spans="1:37" ht="94.5" customHeight="1" x14ac:dyDescent="0.25">
      <c r="A40" s="13">
        <f t="shared" si="0"/>
        <v>1</v>
      </c>
      <c r="B40" s="675">
        <v>36</v>
      </c>
      <c r="C40" s="38">
        <v>41</v>
      </c>
      <c r="D40" s="96" t="s">
        <v>47</v>
      </c>
      <c r="E40" s="97" t="s">
        <v>95</v>
      </c>
      <c r="F40" s="98">
        <v>1</v>
      </c>
      <c r="G40" s="98" t="s">
        <v>24</v>
      </c>
      <c r="H40" s="99">
        <v>1</v>
      </c>
      <c r="I40" s="99" t="s">
        <v>29</v>
      </c>
      <c r="J40" s="34">
        <f>3500001/30</f>
        <v>116666.7</v>
      </c>
      <c r="K40" s="40">
        <f t="shared" si="12"/>
        <v>116666.7</v>
      </c>
      <c r="L40" s="35"/>
      <c r="M40" s="35"/>
      <c r="N40" s="35"/>
      <c r="O40" s="41"/>
      <c r="P40" s="22">
        <f t="shared" si="13"/>
        <v>116667</v>
      </c>
      <c r="Q40" s="22">
        <f t="shared" si="14"/>
        <v>116667</v>
      </c>
      <c r="R40" s="23">
        <f t="shared" si="6"/>
        <v>0</v>
      </c>
      <c r="S40" s="24">
        <f t="shared" si="1"/>
        <v>0</v>
      </c>
      <c r="T40" s="23">
        <f t="shared" si="2"/>
        <v>116666.7</v>
      </c>
      <c r="U40" s="23">
        <f t="shared" si="9"/>
        <v>116666.7</v>
      </c>
      <c r="V40" s="24">
        <f t="shared" si="4"/>
        <v>0</v>
      </c>
      <c r="W40" s="25" t="s">
        <v>26</v>
      </c>
      <c r="X40" s="100"/>
      <c r="Y40" s="100"/>
    </row>
    <row r="41" spans="1:37" ht="164.65" customHeight="1" x14ac:dyDescent="0.25">
      <c r="A41" s="13">
        <f t="shared" si="0"/>
        <v>1</v>
      </c>
      <c r="B41" s="675">
        <v>37</v>
      </c>
      <c r="C41" s="38">
        <v>42</v>
      </c>
      <c r="D41" s="103" t="s">
        <v>83</v>
      </c>
      <c r="E41" s="104" t="s">
        <v>99</v>
      </c>
      <c r="F41" s="105">
        <v>1</v>
      </c>
      <c r="G41" s="105" t="s">
        <v>24</v>
      </c>
      <c r="H41" s="106">
        <v>5</v>
      </c>
      <c r="I41" s="106" t="s">
        <v>60</v>
      </c>
      <c r="J41" s="107">
        <f>+(963900*100)/119</f>
        <v>810000</v>
      </c>
      <c r="K41" s="108">
        <f t="shared" si="12"/>
        <v>4050000</v>
      </c>
      <c r="L41" s="35"/>
      <c r="M41" s="35"/>
      <c r="N41" s="35"/>
      <c r="O41" s="107"/>
      <c r="P41" s="109">
        <f t="shared" si="13"/>
        <v>810000</v>
      </c>
      <c r="Q41" s="109">
        <f t="shared" si="14"/>
        <v>4050000</v>
      </c>
      <c r="R41" s="110">
        <f t="shared" si="6"/>
        <v>0</v>
      </c>
      <c r="S41" s="111">
        <f t="shared" si="1"/>
        <v>0</v>
      </c>
      <c r="T41" s="110">
        <f t="shared" si="2"/>
        <v>810000</v>
      </c>
      <c r="U41" s="110">
        <f t="shared" si="9"/>
        <v>4050000</v>
      </c>
      <c r="V41" s="111">
        <f t="shared" si="4"/>
        <v>0</v>
      </c>
      <c r="W41" s="106" t="s">
        <v>100</v>
      </c>
      <c r="X41" s="106" t="s">
        <v>101</v>
      </c>
      <c r="Y41" s="48"/>
      <c r="Z41" s="28"/>
      <c r="AA41" s="28"/>
      <c r="AB41" s="28"/>
      <c r="AC41" s="28"/>
      <c r="AD41" s="28"/>
      <c r="AE41" s="28"/>
      <c r="AF41" s="28"/>
      <c r="AG41" s="28"/>
      <c r="AH41" s="28"/>
      <c r="AI41" s="28"/>
      <c r="AJ41" s="28"/>
      <c r="AK41" s="28"/>
    </row>
    <row r="42" spans="1:37" ht="181.5" customHeight="1" x14ac:dyDescent="0.25">
      <c r="A42" s="13">
        <f t="shared" si="0"/>
        <v>1</v>
      </c>
      <c r="B42" s="675">
        <v>38</v>
      </c>
      <c r="C42" s="42">
        <v>43</v>
      </c>
      <c r="D42" s="103" t="s">
        <v>102</v>
      </c>
      <c r="E42" s="112" t="s">
        <v>103</v>
      </c>
      <c r="F42" s="113">
        <v>1</v>
      </c>
      <c r="G42" s="113" t="s">
        <v>24</v>
      </c>
      <c r="H42" s="114">
        <v>5</v>
      </c>
      <c r="I42" s="114" t="s">
        <v>60</v>
      </c>
      <c r="J42" s="35">
        <f>+(1254855*100)/119</f>
        <v>1054500</v>
      </c>
      <c r="K42" s="35">
        <f t="shared" si="12"/>
        <v>5272500</v>
      </c>
      <c r="L42" s="35"/>
      <c r="M42" s="35"/>
      <c r="N42" s="115"/>
      <c r="O42" s="35"/>
      <c r="P42" s="22">
        <f t="shared" si="13"/>
        <v>1054500</v>
      </c>
      <c r="Q42" s="22">
        <f t="shared" si="14"/>
        <v>5272500</v>
      </c>
      <c r="R42" s="23">
        <f t="shared" si="6"/>
        <v>0</v>
      </c>
      <c r="S42" s="24">
        <f t="shared" si="1"/>
        <v>0</v>
      </c>
      <c r="T42" s="23">
        <f t="shared" si="2"/>
        <v>1054500</v>
      </c>
      <c r="U42" s="23">
        <f t="shared" si="9"/>
        <v>5272500</v>
      </c>
      <c r="V42" s="24">
        <f t="shared" si="4"/>
        <v>0</v>
      </c>
      <c r="W42" s="114" t="s">
        <v>100</v>
      </c>
      <c r="X42" s="114" t="s">
        <v>101</v>
      </c>
      <c r="Y42" s="27"/>
      <c r="Z42" s="28"/>
      <c r="AA42" s="28"/>
      <c r="AB42" s="28"/>
      <c r="AC42" s="28"/>
      <c r="AD42" s="28"/>
      <c r="AE42" s="28"/>
      <c r="AF42" s="28"/>
      <c r="AG42" s="28"/>
      <c r="AH42" s="28"/>
      <c r="AI42" s="28"/>
      <c r="AJ42" s="28"/>
      <c r="AK42" s="28"/>
    </row>
    <row r="43" spans="1:37" ht="267.75" customHeight="1" x14ac:dyDescent="0.25">
      <c r="A43" s="13">
        <f t="shared" si="0"/>
        <v>3</v>
      </c>
      <c r="B43" s="675">
        <v>39</v>
      </c>
      <c r="C43" s="38">
        <v>44</v>
      </c>
      <c r="D43" s="116" t="s">
        <v>104</v>
      </c>
      <c r="E43" s="117" t="s">
        <v>105</v>
      </c>
      <c r="F43" s="32">
        <v>5</v>
      </c>
      <c r="G43" s="32" t="s">
        <v>106</v>
      </c>
      <c r="H43" s="118">
        <v>1</v>
      </c>
      <c r="I43" s="118" t="s">
        <v>29</v>
      </c>
      <c r="J43" s="119">
        <f>+(200000*5.35%)+200000</f>
        <v>210700</v>
      </c>
      <c r="K43" s="120">
        <f t="shared" si="12"/>
        <v>1053500</v>
      </c>
      <c r="L43" s="121">
        <f>+(180000*5.35%)+180000</f>
        <v>189630</v>
      </c>
      <c r="M43" s="122">
        <f>+L43*H43*F43</f>
        <v>948150</v>
      </c>
      <c r="N43" s="121">
        <f>+(159500*5.35%)+159500</f>
        <v>168033.25</v>
      </c>
      <c r="O43" s="41">
        <f>+N43*H43*F43</f>
        <v>840166.25</v>
      </c>
      <c r="P43" s="68">
        <f>+AVERAGE(J43,L43,N43)</f>
        <v>189454.41666666666</v>
      </c>
      <c r="Q43" s="68">
        <f>+P43*H43*F43</f>
        <v>947272.08333333326</v>
      </c>
      <c r="R43" s="68">
        <f t="shared" si="6"/>
        <v>17419.070220514706</v>
      </c>
      <c r="S43" s="69">
        <f t="shared" si="1"/>
        <v>9.1943331419728699E-2</v>
      </c>
      <c r="T43" s="68">
        <f t="shared" si="2"/>
        <v>189630</v>
      </c>
      <c r="U43" s="68">
        <f t="shared" ref="U43:U49" si="15">+T43*F43*H43</f>
        <v>948150</v>
      </c>
      <c r="V43" s="69">
        <f t="shared" si="4"/>
        <v>9.1858198705451172E-2</v>
      </c>
      <c r="W43" s="123" t="s">
        <v>107</v>
      </c>
      <c r="X43" s="123" t="s">
        <v>108</v>
      </c>
      <c r="Y43" s="124" t="s">
        <v>109</v>
      </c>
      <c r="Z43" s="28"/>
      <c r="AA43" s="28"/>
      <c r="AB43" s="28"/>
      <c r="AC43" s="28"/>
      <c r="AD43" s="28"/>
      <c r="AE43" s="28"/>
      <c r="AF43" s="28"/>
      <c r="AG43" s="28"/>
      <c r="AH43" s="28"/>
      <c r="AI43" s="28"/>
      <c r="AJ43" s="28"/>
      <c r="AK43" s="28"/>
    </row>
    <row r="44" spans="1:37" ht="110.25" customHeight="1" x14ac:dyDescent="0.25">
      <c r="A44" s="13">
        <f t="shared" si="0"/>
        <v>1</v>
      </c>
      <c r="B44" s="675">
        <v>40</v>
      </c>
      <c r="C44" s="38">
        <v>45</v>
      </c>
      <c r="D44" s="116" t="s">
        <v>51</v>
      </c>
      <c r="E44" s="117" t="s">
        <v>110</v>
      </c>
      <c r="F44" s="125">
        <v>5</v>
      </c>
      <c r="G44" s="125" t="s">
        <v>106</v>
      </c>
      <c r="H44" s="126">
        <v>1</v>
      </c>
      <c r="I44" s="126" t="s">
        <v>29</v>
      </c>
      <c r="J44" s="34">
        <f>3100001/30</f>
        <v>103333.36666666667</v>
      </c>
      <c r="K44" s="34">
        <f t="shared" si="12"/>
        <v>516666.83333333337</v>
      </c>
      <c r="L44" s="43"/>
      <c r="M44" s="43"/>
      <c r="N44" s="44"/>
      <c r="O44" s="41"/>
      <c r="P44" s="22">
        <f>+(ROUND(AVERAGE(J44),0))</f>
        <v>103333</v>
      </c>
      <c r="Q44" s="22">
        <f>+P44*F44*H44</f>
        <v>516665</v>
      </c>
      <c r="R44" s="23">
        <f t="shared" si="6"/>
        <v>0</v>
      </c>
      <c r="S44" s="24">
        <f t="shared" si="1"/>
        <v>0</v>
      </c>
      <c r="T44" s="23">
        <f t="shared" si="2"/>
        <v>103333.36666666667</v>
      </c>
      <c r="U44" s="23">
        <f t="shared" si="15"/>
        <v>516666.83333333337</v>
      </c>
      <c r="V44" s="24">
        <f t="shared" si="4"/>
        <v>0</v>
      </c>
      <c r="W44" s="25" t="s">
        <v>26</v>
      </c>
      <c r="X44" s="127"/>
      <c r="Y44" s="27"/>
      <c r="Z44" s="28"/>
      <c r="AA44" s="28"/>
      <c r="AB44" s="28"/>
      <c r="AC44" s="28"/>
      <c r="AD44" s="28"/>
      <c r="AE44" s="28"/>
      <c r="AF44" s="28"/>
      <c r="AG44" s="28"/>
      <c r="AH44" s="28"/>
      <c r="AI44" s="28"/>
      <c r="AJ44" s="28"/>
      <c r="AK44" s="28"/>
    </row>
    <row r="45" spans="1:37" ht="75.599999999999994" customHeight="1" x14ac:dyDescent="0.25">
      <c r="A45" s="13">
        <f t="shared" si="0"/>
        <v>1</v>
      </c>
      <c r="B45" s="675">
        <v>41</v>
      </c>
      <c r="C45" s="42">
        <v>46</v>
      </c>
      <c r="D45" s="129" t="s">
        <v>111</v>
      </c>
      <c r="E45" s="130" t="s">
        <v>112</v>
      </c>
      <c r="F45" s="32">
        <v>5</v>
      </c>
      <c r="G45" s="32" t="s">
        <v>24</v>
      </c>
      <c r="H45" s="33">
        <v>1</v>
      </c>
      <c r="I45" s="33" t="s">
        <v>29</v>
      </c>
      <c r="J45" s="34">
        <f>5635001/30</f>
        <v>187833.36666666667</v>
      </c>
      <c r="K45" s="34">
        <f t="shared" si="12"/>
        <v>939166.83333333337</v>
      </c>
      <c r="L45" s="34"/>
      <c r="M45" s="34"/>
      <c r="N45" s="40"/>
      <c r="O45" s="41"/>
      <c r="P45" s="22">
        <f>+(ROUND(AVERAGE(J45),0))</f>
        <v>187833</v>
      </c>
      <c r="Q45" s="22">
        <f>+P45*F45*H45</f>
        <v>939165</v>
      </c>
      <c r="R45" s="23">
        <f t="shared" si="6"/>
        <v>0</v>
      </c>
      <c r="S45" s="24">
        <f t="shared" si="1"/>
        <v>0</v>
      </c>
      <c r="T45" s="23">
        <f t="shared" si="2"/>
        <v>187833.36666666667</v>
      </c>
      <c r="U45" s="23">
        <f t="shared" si="15"/>
        <v>939166.83333333337</v>
      </c>
      <c r="V45" s="24">
        <f t="shared" si="4"/>
        <v>0</v>
      </c>
      <c r="W45" s="25" t="s">
        <v>26</v>
      </c>
      <c r="X45" s="131"/>
      <c r="Y45" s="27"/>
      <c r="Z45" s="28"/>
      <c r="AA45" s="28"/>
      <c r="AB45" s="28"/>
      <c r="AC45" s="28"/>
      <c r="AD45" s="28"/>
      <c r="AE45" s="28"/>
      <c r="AF45" s="28"/>
      <c r="AG45" s="28"/>
      <c r="AH45" s="28"/>
      <c r="AI45" s="28"/>
      <c r="AJ45" s="28"/>
      <c r="AK45" s="28"/>
    </row>
    <row r="46" spans="1:37" ht="71.099999999999994" customHeight="1" x14ac:dyDescent="0.25">
      <c r="A46" s="13">
        <f t="shared" si="0"/>
        <v>3</v>
      </c>
      <c r="B46" s="675">
        <v>42</v>
      </c>
      <c r="C46" s="38">
        <v>47</v>
      </c>
      <c r="D46" s="129" t="s">
        <v>113</v>
      </c>
      <c r="E46" s="130" t="s">
        <v>114</v>
      </c>
      <c r="F46" s="32">
        <v>3</v>
      </c>
      <c r="G46" s="32" t="s">
        <v>24</v>
      </c>
      <c r="H46" s="33">
        <v>1</v>
      </c>
      <c r="I46" s="33" t="s">
        <v>29</v>
      </c>
      <c r="J46" s="132">
        <v>520000</v>
      </c>
      <c r="K46" s="34">
        <f t="shared" si="12"/>
        <v>1560000</v>
      </c>
      <c r="L46" s="133">
        <v>479343</v>
      </c>
      <c r="M46" s="58">
        <f>+L46*H46*F46</f>
        <v>1438029</v>
      </c>
      <c r="N46" s="134">
        <v>526750</v>
      </c>
      <c r="O46" s="41">
        <f>+N46*H46*F46</f>
        <v>1580250</v>
      </c>
      <c r="P46" s="22">
        <f t="shared" ref="P46" si="16">+(ROUND(AVERAGE(J46),0))</f>
        <v>520000</v>
      </c>
      <c r="Q46" s="22">
        <f t="shared" ref="Q46" si="17">+P46*F46*H46</f>
        <v>1560000</v>
      </c>
      <c r="R46" s="23">
        <f t="shared" si="6"/>
        <v>20939.006126260039</v>
      </c>
      <c r="S46" s="24">
        <f t="shared" si="1"/>
        <v>4.0267319473577E-2</v>
      </c>
      <c r="T46" s="23">
        <f t="shared" si="2"/>
        <v>520000</v>
      </c>
      <c r="U46" s="23">
        <f t="shared" si="15"/>
        <v>1560000</v>
      </c>
      <c r="V46" s="24">
        <f t="shared" si="4"/>
        <v>4.0267319473577E-2</v>
      </c>
      <c r="W46" s="135" t="s">
        <v>115</v>
      </c>
      <c r="X46" s="136" t="s">
        <v>116</v>
      </c>
      <c r="Y46" s="136" t="s">
        <v>117</v>
      </c>
      <c r="Z46" s="28"/>
      <c r="AA46" s="28"/>
      <c r="AB46" s="28"/>
      <c r="AC46" s="28"/>
      <c r="AD46" s="28"/>
      <c r="AE46" s="28"/>
      <c r="AF46" s="28"/>
      <c r="AG46" s="28"/>
      <c r="AH46" s="28"/>
      <c r="AI46" s="28"/>
      <c r="AJ46" s="28"/>
      <c r="AK46" s="28"/>
    </row>
    <row r="47" spans="1:37" ht="95.65" customHeight="1" x14ac:dyDescent="0.25">
      <c r="A47" s="13">
        <f t="shared" si="0"/>
        <v>1</v>
      </c>
      <c r="B47" s="675">
        <v>43</v>
      </c>
      <c r="C47" s="38">
        <v>48</v>
      </c>
      <c r="D47" s="129" t="s">
        <v>34</v>
      </c>
      <c r="E47" s="130" t="s">
        <v>35</v>
      </c>
      <c r="F47" s="32">
        <v>5</v>
      </c>
      <c r="G47" s="32" t="s">
        <v>24</v>
      </c>
      <c r="H47" s="33">
        <v>1</v>
      </c>
      <c r="I47" s="33" t="s">
        <v>29</v>
      </c>
      <c r="J47" s="34">
        <f t="shared" ref="J47:J49" si="18">+(1540000/30)</f>
        <v>51333.333333333336</v>
      </c>
      <c r="K47" s="34">
        <f t="shared" si="12"/>
        <v>256666.66666666669</v>
      </c>
      <c r="L47" s="43"/>
      <c r="M47" s="43"/>
      <c r="N47" s="44"/>
      <c r="O47" s="41"/>
      <c r="P47" s="22">
        <f>+(ROUND(AVERAGE(J47),0))</f>
        <v>51333</v>
      </c>
      <c r="Q47" s="22">
        <f>+P47*F47*H47</f>
        <v>256665</v>
      </c>
      <c r="R47" s="23">
        <f>+_xlfn.STDEV.P(J47,L47,N47)</f>
        <v>0</v>
      </c>
      <c r="S47" s="24">
        <f>+R47/P47</f>
        <v>0</v>
      </c>
      <c r="T47" s="23">
        <f>+MEDIAN(J47,L47,N47)</f>
        <v>51333.333333333336</v>
      </c>
      <c r="U47" s="23">
        <f t="shared" si="15"/>
        <v>256666.66666666669</v>
      </c>
      <c r="V47" s="24">
        <f>+R47/T47</f>
        <v>0</v>
      </c>
      <c r="W47" s="25" t="s">
        <v>26</v>
      </c>
      <c r="X47" s="131"/>
      <c r="Y47" s="27"/>
      <c r="Z47" s="28"/>
      <c r="AA47" s="28"/>
      <c r="AB47" s="28"/>
      <c r="AC47" s="28"/>
      <c r="AD47" s="28"/>
      <c r="AE47" s="28"/>
      <c r="AF47" s="28"/>
      <c r="AG47" s="28"/>
      <c r="AH47" s="28"/>
      <c r="AI47" s="28"/>
      <c r="AJ47" s="28"/>
      <c r="AK47" s="28"/>
    </row>
    <row r="48" spans="1:37" ht="111.4" customHeight="1" x14ac:dyDescent="0.25">
      <c r="A48" s="13">
        <f t="shared" si="0"/>
        <v>1</v>
      </c>
      <c r="B48" s="675">
        <v>44</v>
      </c>
      <c r="C48" s="42">
        <v>49</v>
      </c>
      <c r="D48" s="129" t="s">
        <v>34</v>
      </c>
      <c r="E48" s="130" t="s">
        <v>35</v>
      </c>
      <c r="F48" s="32">
        <v>5</v>
      </c>
      <c r="G48" s="32" t="s">
        <v>24</v>
      </c>
      <c r="H48" s="33">
        <v>1</v>
      </c>
      <c r="I48" s="33" t="s">
        <v>29</v>
      </c>
      <c r="J48" s="34">
        <f t="shared" si="18"/>
        <v>51333.333333333336</v>
      </c>
      <c r="K48" s="34">
        <f t="shared" si="12"/>
        <v>256666.66666666669</v>
      </c>
      <c r="L48" s="43"/>
      <c r="M48" s="43"/>
      <c r="N48" s="44"/>
      <c r="O48" s="41"/>
      <c r="P48" s="22">
        <f>+(ROUND(AVERAGE(J48),0))</f>
        <v>51333</v>
      </c>
      <c r="Q48" s="22">
        <f>+P48*F48*H48</f>
        <v>256665</v>
      </c>
      <c r="R48" s="23">
        <f>+_xlfn.STDEV.P(J48,L48,N48)</f>
        <v>0</v>
      </c>
      <c r="S48" s="24">
        <f>+R48/P48</f>
        <v>0</v>
      </c>
      <c r="T48" s="23">
        <f>+MEDIAN(J48,L48,N48)</f>
        <v>51333.333333333336</v>
      </c>
      <c r="U48" s="23">
        <f t="shared" si="15"/>
        <v>256666.66666666669</v>
      </c>
      <c r="V48" s="24">
        <f>+R48/T48</f>
        <v>0</v>
      </c>
      <c r="W48" s="88" t="s">
        <v>26</v>
      </c>
      <c r="X48" s="137"/>
      <c r="Y48" s="89"/>
      <c r="Z48" s="28"/>
      <c r="AA48" s="28"/>
      <c r="AB48" s="28"/>
      <c r="AC48" s="28"/>
      <c r="AD48" s="28"/>
      <c r="AE48" s="28"/>
      <c r="AF48" s="28"/>
      <c r="AG48" s="28"/>
      <c r="AH48" s="28"/>
      <c r="AI48" s="28"/>
      <c r="AJ48" s="28"/>
      <c r="AK48" s="28"/>
    </row>
    <row r="49" spans="1:37" ht="91.9" customHeight="1" x14ac:dyDescent="0.25">
      <c r="A49" s="13">
        <f t="shared" si="0"/>
        <v>1</v>
      </c>
      <c r="B49" s="675">
        <v>45</v>
      </c>
      <c r="C49" s="38">
        <v>50</v>
      </c>
      <c r="D49" s="138" t="s">
        <v>34</v>
      </c>
      <c r="E49" s="139" t="s">
        <v>35</v>
      </c>
      <c r="F49" s="76">
        <v>10</v>
      </c>
      <c r="G49" s="76" t="s">
        <v>24</v>
      </c>
      <c r="H49" s="77">
        <v>1</v>
      </c>
      <c r="I49" s="77" t="s">
        <v>29</v>
      </c>
      <c r="J49" s="34">
        <f t="shared" si="18"/>
        <v>51333.333333333336</v>
      </c>
      <c r="K49" s="40">
        <f t="shared" si="12"/>
        <v>513333.33333333337</v>
      </c>
      <c r="L49" s="35"/>
      <c r="M49" s="35"/>
      <c r="N49" s="35"/>
      <c r="O49" s="41"/>
      <c r="P49" s="22">
        <f>+(ROUND(AVERAGE(J49),0))</f>
        <v>51333</v>
      </c>
      <c r="Q49" s="22">
        <f>+P49*F49*H49</f>
        <v>513330</v>
      </c>
      <c r="R49" s="23">
        <f>+_xlfn.STDEV.P(J49,L49,N49)</f>
        <v>0</v>
      </c>
      <c r="S49" s="24">
        <f>+R49/P49</f>
        <v>0</v>
      </c>
      <c r="T49" s="23">
        <f>+MEDIAN(J49,L49,N49)</f>
        <v>51333.333333333336</v>
      </c>
      <c r="U49" s="23">
        <f t="shared" si="15"/>
        <v>513333.33333333337</v>
      </c>
      <c r="V49" s="24">
        <f>+R49/T49</f>
        <v>0</v>
      </c>
      <c r="W49" s="88" t="s">
        <v>26</v>
      </c>
      <c r="X49" s="137"/>
      <c r="Y49" s="89"/>
      <c r="Z49" s="28"/>
      <c r="AA49" s="28"/>
      <c r="AB49" s="28"/>
      <c r="AC49" s="28"/>
      <c r="AD49" s="28"/>
      <c r="AE49" s="28"/>
      <c r="AF49" s="28"/>
      <c r="AG49" s="28"/>
      <c r="AH49" s="28"/>
      <c r="AI49" s="28"/>
      <c r="AJ49" s="28"/>
      <c r="AK49" s="28"/>
    </row>
    <row r="50" spans="1:37" ht="75.599999999999994" customHeight="1" x14ac:dyDescent="0.25">
      <c r="A50" s="13">
        <f t="shared" si="0"/>
        <v>3</v>
      </c>
      <c r="B50" s="675">
        <v>46</v>
      </c>
      <c r="C50" s="38">
        <v>51</v>
      </c>
      <c r="D50" s="140" t="s">
        <v>118</v>
      </c>
      <c r="E50" s="141" t="s">
        <v>119</v>
      </c>
      <c r="F50" s="113">
        <v>3</v>
      </c>
      <c r="G50" s="113" t="s">
        <v>24</v>
      </c>
      <c r="H50" s="57">
        <v>1</v>
      </c>
      <c r="I50" s="57" t="s">
        <v>29</v>
      </c>
      <c r="J50" s="132">
        <v>520000</v>
      </c>
      <c r="K50" s="35">
        <f>+J50*F50+H50</f>
        <v>1560001</v>
      </c>
      <c r="L50" s="142">
        <f>+(455000*5.35%)+455000</f>
        <v>479342.5</v>
      </c>
      <c r="M50" s="35">
        <f>+L50*H50*F50</f>
        <v>1438027.5</v>
      </c>
      <c r="N50" s="142">
        <f>+(500000*5.35%)+500000</f>
        <v>526750</v>
      </c>
      <c r="O50" s="143">
        <f>+N50*F50</f>
        <v>1580250</v>
      </c>
      <c r="P50" s="68">
        <f t="shared" ref="P50" si="19">+AVERAGE(J50,L50,N50)</f>
        <v>508697.5</v>
      </c>
      <c r="Q50" s="68">
        <f t="shared" ref="Q50" si="20">+P50*H50*F50</f>
        <v>1526092.5</v>
      </c>
      <c r="R50" s="68">
        <f t="shared" ref="R50:R87" si="21">+_xlfn.STDEV.P(J50,L50,N50)</f>
        <v>20939.239778463783</v>
      </c>
      <c r="S50" s="69">
        <f t="shared" ref="S50:S87" si="22">+R50/P50</f>
        <v>4.1162458589758713E-2</v>
      </c>
      <c r="T50" s="68">
        <f t="shared" ref="T50:T87" si="23">+MEDIAN(J50,L50,N50)</f>
        <v>520000</v>
      </c>
      <c r="U50" s="68">
        <f>+T50*F50</f>
        <v>1560000</v>
      </c>
      <c r="V50" s="69">
        <f t="shared" ref="V50:V87" si="24">+R50/T50</f>
        <v>4.0267768804738042E-2</v>
      </c>
      <c r="W50" s="135" t="s">
        <v>115</v>
      </c>
      <c r="X50" s="136" t="s">
        <v>116</v>
      </c>
      <c r="Y50" s="136" t="s">
        <v>117</v>
      </c>
      <c r="Z50" s="28"/>
      <c r="AA50" s="28"/>
      <c r="AB50" s="28"/>
      <c r="AC50" s="28"/>
      <c r="AD50" s="28"/>
      <c r="AE50" s="28"/>
      <c r="AF50" s="28"/>
      <c r="AG50" s="28"/>
      <c r="AH50" s="28"/>
      <c r="AI50" s="28"/>
      <c r="AJ50" s="28"/>
      <c r="AK50" s="28"/>
    </row>
    <row r="51" spans="1:37" ht="110.25" customHeight="1" x14ac:dyDescent="0.25">
      <c r="A51" s="13">
        <f t="shared" si="0"/>
        <v>1</v>
      </c>
      <c r="B51" s="675">
        <v>47</v>
      </c>
      <c r="C51" s="42">
        <v>52</v>
      </c>
      <c r="D51" s="144" t="s">
        <v>120</v>
      </c>
      <c r="E51" s="145" t="s">
        <v>121</v>
      </c>
      <c r="F51" s="56">
        <v>1</v>
      </c>
      <c r="G51" s="56" t="s">
        <v>24</v>
      </c>
      <c r="H51" s="57">
        <v>1</v>
      </c>
      <c r="I51" s="57" t="s">
        <v>29</v>
      </c>
      <c r="J51" s="34">
        <f>5635001/30</f>
        <v>187833.36666666667</v>
      </c>
      <c r="K51" s="40">
        <f>+J51*F51*H51</f>
        <v>187833.36666666667</v>
      </c>
      <c r="L51" s="35"/>
      <c r="M51" s="35"/>
      <c r="N51" s="35"/>
      <c r="O51" s="41"/>
      <c r="P51" s="22">
        <f>+(ROUND(AVERAGE(J51),0))</f>
        <v>187833</v>
      </c>
      <c r="Q51" s="22">
        <f>+P51*F51*H51</f>
        <v>187833</v>
      </c>
      <c r="R51" s="23">
        <f t="shared" si="21"/>
        <v>0</v>
      </c>
      <c r="S51" s="24">
        <f t="shared" si="22"/>
        <v>0</v>
      </c>
      <c r="T51" s="23">
        <f t="shared" si="23"/>
        <v>187833.36666666667</v>
      </c>
      <c r="U51" s="23">
        <f>+T51*F51*H51</f>
        <v>187833.36666666667</v>
      </c>
      <c r="V51" s="24">
        <f t="shared" si="24"/>
        <v>0</v>
      </c>
      <c r="W51" s="47" t="s">
        <v>26</v>
      </c>
      <c r="X51" s="146"/>
      <c r="Y51" s="48"/>
      <c r="Z51" s="28"/>
      <c r="AA51" s="28"/>
      <c r="AB51" s="28"/>
      <c r="AC51" s="28"/>
      <c r="AD51" s="28"/>
      <c r="AE51" s="28"/>
      <c r="AF51" s="28"/>
      <c r="AG51" s="28"/>
      <c r="AH51" s="28"/>
      <c r="AI51" s="28"/>
      <c r="AJ51" s="28"/>
      <c r="AK51" s="28"/>
    </row>
    <row r="52" spans="1:37" ht="47.25" customHeight="1" x14ac:dyDescent="0.25">
      <c r="A52" s="13">
        <f t="shared" si="0"/>
        <v>1</v>
      </c>
      <c r="B52" s="675">
        <v>48</v>
      </c>
      <c r="C52" s="38">
        <v>53</v>
      </c>
      <c r="D52" s="129" t="s">
        <v>122</v>
      </c>
      <c r="E52" s="130" t="s">
        <v>123</v>
      </c>
      <c r="F52" s="32">
        <v>1</v>
      </c>
      <c r="G52" s="32" t="s">
        <v>24</v>
      </c>
      <c r="H52" s="33">
        <v>1</v>
      </c>
      <c r="I52" s="33" t="s">
        <v>29</v>
      </c>
      <c r="J52" s="34">
        <f>6000000/30</f>
        <v>200000</v>
      </c>
      <c r="K52" s="34">
        <f>+J52*F52*H52</f>
        <v>200000</v>
      </c>
      <c r="L52" s="147"/>
      <c r="M52" s="147"/>
      <c r="N52" s="148"/>
      <c r="O52" s="41"/>
      <c r="P52" s="22">
        <f t="shared" ref="P52" si="25">+(ROUND(AVERAGE(J52),0))</f>
        <v>200000</v>
      </c>
      <c r="Q52" s="22">
        <f t="shared" ref="Q52" si="26">+P52*F52*H52</f>
        <v>200000</v>
      </c>
      <c r="R52" s="23">
        <f t="shared" si="21"/>
        <v>0</v>
      </c>
      <c r="S52" s="24">
        <f t="shared" si="22"/>
        <v>0</v>
      </c>
      <c r="T52" s="23">
        <f t="shared" si="23"/>
        <v>200000</v>
      </c>
      <c r="U52" s="23">
        <f>+T52*F52*H52</f>
        <v>200000</v>
      </c>
      <c r="V52" s="24">
        <f t="shared" si="24"/>
        <v>0</v>
      </c>
      <c r="W52" s="131" t="s">
        <v>124</v>
      </c>
      <c r="X52" s="131"/>
      <c r="Y52" s="27"/>
      <c r="Z52" s="28"/>
      <c r="AA52" s="28"/>
      <c r="AB52" s="28"/>
      <c r="AC52" s="28"/>
      <c r="AD52" s="28"/>
      <c r="AE52" s="28"/>
      <c r="AF52" s="28"/>
      <c r="AG52" s="28"/>
      <c r="AH52" s="28"/>
      <c r="AI52" s="28"/>
      <c r="AJ52" s="28"/>
      <c r="AK52" s="28"/>
    </row>
    <row r="53" spans="1:37" ht="78.75" customHeight="1" x14ac:dyDescent="0.25">
      <c r="A53" s="13">
        <f t="shared" si="0"/>
        <v>1</v>
      </c>
      <c r="B53" s="675">
        <v>49</v>
      </c>
      <c r="C53" s="38">
        <v>54</v>
      </c>
      <c r="D53" s="149" t="s">
        <v>34</v>
      </c>
      <c r="E53" s="150" t="s">
        <v>125</v>
      </c>
      <c r="F53" s="32">
        <v>15</v>
      </c>
      <c r="G53" s="32" t="s">
        <v>24</v>
      </c>
      <c r="H53" s="33">
        <v>1</v>
      </c>
      <c r="I53" s="33" t="s">
        <v>29</v>
      </c>
      <c r="J53" s="43">
        <f>1540000/30</f>
        <v>51333.333333333336</v>
      </c>
      <c r="K53" s="34">
        <f>+J53*F53*H53</f>
        <v>770000</v>
      </c>
      <c r="L53" s="43"/>
      <c r="M53" s="43"/>
      <c r="N53" s="44"/>
      <c r="O53" s="41"/>
      <c r="P53" s="22">
        <f>+(ROUND(AVERAGE(J53),0))</f>
        <v>51333</v>
      </c>
      <c r="Q53" s="22">
        <f>+P53*F53*H53</f>
        <v>769995</v>
      </c>
      <c r="R53" s="23">
        <f t="shared" si="21"/>
        <v>0</v>
      </c>
      <c r="S53" s="24">
        <f t="shared" si="22"/>
        <v>0</v>
      </c>
      <c r="T53" s="23">
        <f t="shared" si="23"/>
        <v>51333.333333333336</v>
      </c>
      <c r="U53" s="23">
        <f>+T53*F53*H53</f>
        <v>770000</v>
      </c>
      <c r="V53" s="24">
        <f t="shared" si="24"/>
        <v>0</v>
      </c>
      <c r="W53" s="88" t="s">
        <v>26</v>
      </c>
      <c r="X53" s="89"/>
      <c r="Y53" s="89"/>
      <c r="Z53" s="28"/>
      <c r="AA53" s="28"/>
      <c r="AB53" s="28"/>
      <c r="AC53" s="28"/>
      <c r="AD53" s="28"/>
      <c r="AE53" s="28"/>
      <c r="AF53" s="28"/>
      <c r="AG53" s="28"/>
      <c r="AH53" s="28"/>
      <c r="AI53" s="28"/>
      <c r="AJ53" s="28"/>
      <c r="AK53" s="28"/>
    </row>
    <row r="54" spans="1:37" ht="85.5" customHeight="1" x14ac:dyDescent="0.25">
      <c r="A54" s="13">
        <f t="shared" si="0"/>
        <v>1</v>
      </c>
      <c r="B54" s="675">
        <v>50</v>
      </c>
      <c r="C54" s="42">
        <v>55</v>
      </c>
      <c r="D54" s="61" t="s">
        <v>34</v>
      </c>
      <c r="E54" s="152" t="s">
        <v>126</v>
      </c>
      <c r="F54" s="33">
        <v>15</v>
      </c>
      <c r="G54" s="33" t="s">
        <v>24</v>
      </c>
      <c r="H54" s="33">
        <v>8</v>
      </c>
      <c r="I54" s="33" t="s">
        <v>127</v>
      </c>
      <c r="J54" s="43">
        <f>1540000/30</f>
        <v>51333.333333333336</v>
      </c>
      <c r="K54" s="40">
        <f>+J54*F54*H54</f>
        <v>6160000</v>
      </c>
      <c r="L54" s="35"/>
      <c r="M54" s="35"/>
      <c r="N54" s="35"/>
      <c r="O54" s="41"/>
      <c r="P54" s="22">
        <f t="shared" ref="P54:P55" si="27">+(ROUND(AVERAGE(J54),0))</f>
        <v>51333</v>
      </c>
      <c r="Q54" s="22">
        <f t="shared" ref="Q54:Q55" si="28">+P54*F54*H54</f>
        <v>6159960</v>
      </c>
      <c r="R54" s="23">
        <f t="shared" si="21"/>
        <v>0</v>
      </c>
      <c r="S54" s="24">
        <f t="shared" si="22"/>
        <v>0</v>
      </c>
      <c r="T54" s="23">
        <f t="shared" si="23"/>
        <v>51333.333333333336</v>
      </c>
      <c r="U54" s="23">
        <f>+T54*F54*H54</f>
        <v>6160000</v>
      </c>
      <c r="V54" s="24">
        <f t="shared" si="24"/>
        <v>0</v>
      </c>
      <c r="W54" s="25" t="s">
        <v>26</v>
      </c>
      <c r="X54" s="27"/>
      <c r="Y54" s="27"/>
      <c r="Z54" s="28"/>
      <c r="AA54" s="28"/>
      <c r="AB54" s="28"/>
      <c r="AC54" s="28"/>
      <c r="AD54" s="28"/>
      <c r="AE54" s="28"/>
      <c r="AF54" s="28"/>
      <c r="AG54" s="28"/>
      <c r="AH54" s="28"/>
      <c r="AI54" s="28"/>
      <c r="AJ54" s="28"/>
      <c r="AK54" s="28"/>
    </row>
    <row r="55" spans="1:37" ht="181.15" customHeight="1" x14ac:dyDescent="0.25">
      <c r="A55" s="153">
        <f t="shared" si="0"/>
        <v>3</v>
      </c>
      <c r="B55" s="675">
        <v>51</v>
      </c>
      <c r="C55" s="38">
        <v>56</v>
      </c>
      <c r="D55" s="154" t="s">
        <v>55</v>
      </c>
      <c r="E55" s="155" t="s">
        <v>128</v>
      </c>
      <c r="F55" s="77">
        <v>4</v>
      </c>
      <c r="G55" s="77" t="s">
        <v>24</v>
      </c>
      <c r="H55" s="77">
        <v>8</v>
      </c>
      <c r="I55" s="77" t="s">
        <v>129</v>
      </c>
      <c r="J55" s="43">
        <v>700000</v>
      </c>
      <c r="K55" s="43">
        <f>+J55*F55*H55</f>
        <v>22400000</v>
      </c>
      <c r="L55" s="147">
        <v>784000</v>
      </c>
      <c r="M55" s="147">
        <f>+L55*H55*F55</f>
        <v>25088000</v>
      </c>
      <c r="N55" s="148">
        <v>826000</v>
      </c>
      <c r="O55" s="156">
        <f>+N55*H55*F55</f>
        <v>26432000</v>
      </c>
      <c r="P55" s="157">
        <f t="shared" si="27"/>
        <v>700000</v>
      </c>
      <c r="Q55" s="157">
        <f t="shared" si="28"/>
        <v>22400000</v>
      </c>
      <c r="R55" s="23">
        <f t="shared" si="21"/>
        <v>52383.203414835181</v>
      </c>
      <c r="S55" s="24">
        <f t="shared" si="22"/>
        <v>7.4833147735478833E-2</v>
      </c>
      <c r="T55" s="23">
        <f t="shared" si="23"/>
        <v>784000</v>
      </c>
      <c r="U55" s="23">
        <f>+T55*F55*H55</f>
        <v>25088000</v>
      </c>
      <c r="V55" s="24">
        <f t="shared" si="24"/>
        <v>6.6815310478106099E-2</v>
      </c>
      <c r="W55" s="88" t="s">
        <v>41</v>
      </c>
      <c r="X55" s="158" t="s">
        <v>42</v>
      </c>
      <c r="Y55" s="89" t="s">
        <v>43</v>
      </c>
      <c r="Z55" s="28"/>
      <c r="AA55" s="28"/>
      <c r="AB55" s="28"/>
      <c r="AC55" s="28"/>
      <c r="AD55" s="28"/>
      <c r="AE55" s="28"/>
      <c r="AF55" s="28"/>
      <c r="AG55" s="28"/>
      <c r="AH55" s="28"/>
      <c r="AI55" s="28"/>
      <c r="AJ55" s="28"/>
      <c r="AK55" s="28"/>
    </row>
    <row r="56" spans="1:37" s="180" customFormat="1" ht="114.75" customHeight="1" x14ac:dyDescent="0.25">
      <c r="A56" s="13"/>
      <c r="B56" s="675">
        <v>52</v>
      </c>
      <c r="C56" s="38">
        <v>57</v>
      </c>
      <c r="D56" s="160" t="s">
        <v>130</v>
      </c>
      <c r="E56" s="161" t="s">
        <v>131</v>
      </c>
      <c r="F56" s="125">
        <v>1</v>
      </c>
      <c r="G56" s="17" t="s">
        <v>24</v>
      </c>
      <c r="H56" s="17">
        <v>1</v>
      </c>
      <c r="I56" s="17" t="s">
        <v>46</v>
      </c>
      <c r="J56" s="162">
        <f>(7688000)</f>
        <v>7688000</v>
      </c>
      <c r="K56" s="35">
        <f t="shared" ref="K56:K67" si="29">+J56*F56*H56</f>
        <v>7688000</v>
      </c>
      <c r="L56" s="35"/>
      <c r="M56" s="35"/>
      <c r="N56" s="35"/>
      <c r="O56" s="35"/>
      <c r="P56" s="36">
        <f>+(ROUND(AVERAGE(J56),0))</f>
        <v>7688000</v>
      </c>
      <c r="Q56" s="163">
        <f>+P56*F56</f>
        <v>7688000</v>
      </c>
      <c r="R56" s="164">
        <f t="shared" si="21"/>
        <v>0</v>
      </c>
      <c r="S56" s="165">
        <f t="shared" si="22"/>
        <v>0</v>
      </c>
      <c r="T56" s="164">
        <f t="shared" si="23"/>
        <v>7688000</v>
      </c>
      <c r="U56" s="163">
        <f>+T56*F56</f>
        <v>7688000</v>
      </c>
      <c r="V56" s="165">
        <f t="shared" si="24"/>
        <v>0</v>
      </c>
      <c r="W56" s="166" t="s">
        <v>26</v>
      </c>
      <c r="X56" s="166"/>
      <c r="Y56" s="81"/>
      <c r="Z56" s="81"/>
      <c r="AA56" s="658"/>
      <c r="AB56" s="179"/>
      <c r="AC56" s="179"/>
      <c r="AD56" s="179"/>
      <c r="AE56" s="179"/>
      <c r="AF56" s="179"/>
      <c r="AG56" s="179"/>
      <c r="AH56" s="179"/>
      <c r="AI56" s="179"/>
      <c r="AJ56" s="179"/>
      <c r="AK56" s="179"/>
    </row>
    <row r="57" spans="1:37" s="180" customFormat="1" ht="120.6" customHeight="1" x14ac:dyDescent="0.25">
      <c r="A57" s="168">
        <f t="shared" ref="A57:A119" si="30">+COUNT(J57,L57,N57)</f>
        <v>3</v>
      </c>
      <c r="B57" s="675">
        <v>53</v>
      </c>
      <c r="C57" s="42">
        <v>58</v>
      </c>
      <c r="D57" s="170" t="s">
        <v>132</v>
      </c>
      <c r="E57" s="171" t="s">
        <v>133</v>
      </c>
      <c r="F57" s="172">
        <v>1</v>
      </c>
      <c r="G57" s="172" t="s">
        <v>24</v>
      </c>
      <c r="H57" s="173">
        <v>2</v>
      </c>
      <c r="I57" s="173" t="s">
        <v>29</v>
      </c>
      <c r="J57" s="58">
        <v>7800000</v>
      </c>
      <c r="K57" s="58">
        <f t="shared" si="29"/>
        <v>15600000</v>
      </c>
      <c r="L57" s="58">
        <v>8700000</v>
      </c>
      <c r="M57" s="58">
        <f t="shared" ref="M57:M64" si="31">+L57*H57*F57</f>
        <v>17400000</v>
      </c>
      <c r="N57" s="174">
        <v>9200000</v>
      </c>
      <c r="O57" s="107">
        <f t="shared" ref="O57:O64" si="32">+N57*H57*F57</f>
        <v>18400000</v>
      </c>
      <c r="P57" s="175">
        <f t="shared" ref="P57:P64" si="33">+AVERAGE(J57,L57,N57)</f>
        <v>8566666.666666666</v>
      </c>
      <c r="Q57" s="175">
        <f t="shared" ref="Q57:Q64" si="34">+P57*H57*F57</f>
        <v>17133333.333333332</v>
      </c>
      <c r="R57" s="175">
        <f t="shared" si="21"/>
        <v>579271.57323275891</v>
      </c>
      <c r="S57" s="176">
        <f t="shared" si="22"/>
        <v>6.7619249793707273E-2</v>
      </c>
      <c r="T57" s="175">
        <f t="shared" si="23"/>
        <v>8700000</v>
      </c>
      <c r="U57" s="175">
        <f>+T57*F57*H57</f>
        <v>17400000</v>
      </c>
      <c r="V57" s="176">
        <f t="shared" si="24"/>
        <v>6.6582939452041259E-2</v>
      </c>
      <c r="W57" s="173" t="s">
        <v>41</v>
      </c>
      <c r="X57" s="177" t="s">
        <v>42</v>
      </c>
      <c r="Y57" s="178" t="s">
        <v>43</v>
      </c>
      <c r="Z57" s="179"/>
      <c r="AA57" s="179"/>
      <c r="AB57" s="179"/>
      <c r="AC57" s="179"/>
      <c r="AD57" s="179"/>
      <c r="AE57" s="179"/>
      <c r="AF57" s="179"/>
      <c r="AG57" s="179"/>
      <c r="AH57" s="179"/>
      <c r="AI57" s="179"/>
      <c r="AJ57" s="179"/>
      <c r="AK57" s="179"/>
    </row>
    <row r="58" spans="1:37" s="180" customFormat="1" ht="94.5" x14ac:dyDescent="0.25">
      <c r="A58" s="13">
        <f t="shared" si="30"/>
        <v>3</v>
      </c>
      <c r="B58" s="675">
        <v>54</v>
      </c>
      <c r="C58" s="38">
        <v>59</v>
      </c>
      <c r="D58" s="181" t="s">
        <v>134</v>
      </c>
      <c r="E58" s="50" t="s">
        <v>135</v>
      </c>
      <c r="F58" s="51">
        <v>1</v>
      </c>
      <c r="G58" s="51" t="s">
        <v>24</v>
      </c>
      <c r="H58" s="52">
        <v>2</v>
      </c>
      <c r="I58" s="52" t="s">
        <v>29</v>
      </c>
      <c r="J58" s="34">
        <f>+(2975000*100)/119</f>
        <v>2500000</v>
      </c>
      <c r="K58" s="40">
        <f t="shared" si="29"/>
        <v>5000000</v>
      </c>
      <c r="L58" s="35">
        <f>+(3332000*100)/119</f>
        <v>2800000</v>
      </c>
      <c r="M58" s="35">
        <f t="shared" si="31"/>
        <v>5600000</v>
      </c>
      <c r="N58" s="182">
        <f>+(1800000*5.35%)+1800000</f>
        <v>1896300</v>
      </c>
      <c r="O58" s="35">
        <f t="shared" si="32"/>
        <v>3792600</v>
      </c>
      <c r="P58" s="163">
        <f t="shared" si="33"/>
        <v>2398766.6666666665</v>
      </c>
      <c r="Q58" s="163">
        <f t="shared" si="34"/>
        <v>4797533.333333333</v>
      </c>
      <c r="R58" s="163">
        <f t="shared" si="21"/>
        <v>375814.28333094995</v>
      </c>
      <c r="S58" s="183">
        <f t="shared" si="22"/>
        <v>0.15666979558840655</v>
      </c>
      <c r="T58" s="163">
        <f t="shared" si="23"/>
        <v>2500000</v>
      </c>
      <c r="U58" s="163">
        <f>+T58*F58*H58</f>
        <v>5000000</v>
      </c>
      <c r="V58" s="183">
        <f t="shared" si="24"/>
        <v>0.15032571333237998</v>
      </c>
      <c r="W58" s="166" t="s">
        <v>136</v>
      </c>
      <c r="X58" s="166" t="s">
        <v>137</v>
      </c>
      <c r="Y58" s="81" t="s">
        <v>138</v>
      </c>
      <c r="Z58" s="179"/>
      <c r="AA58" s="179"/>
      <c r="AB58" s="179"/>
      <c r="AC58" s="179"/>
      <c r="AD58" s="179"/>
      <c r="AE58" s="179"/>
      <c r="AF58" s="179"/>
      <c r="AG58" s="179"/>
      <c r="AH58" s="179"/>
      <c r="AI58" s="179"/>
      <c r="AJ58" s="179"/>
      <c r="AK58" s="179"/>
    </row>
    <row r="59" spans="1:37" s="180" customFormat="1" ht="116.1" customHeight="1" x14ac:dyDescent="0.25">
      <c r="A59" s="13">
        <f t="shared" si="30"/>
        <v>3</v>
      </c>
      <c r="B59" s="675">
        <v>55</v>
      </c>
      <c r="C59" s="38">
        <v>60</v>
      </c>
      <c r="D59" s="181" t="s">
        <v>139</v>
      </c>
      <c r="E59" s="475" t="s">
        <v>140</v>
      </c>
      <c r="F59" s="51">
        <v>1</v>
      </c>
      <c r="G59" s="51" t="s">
        <v>24</v>
      </c>
      <c r="H59" s="52">
        <v>2</v>
      </c>
      <c r="I59" s="52" t="s">
        <v>127</v>
      </c>
      <c r="J59" s="43">
        <v>3200000</v>
      </c>
      <c r="K59" s="40">
        <f t="shared" si="29"/>
        <v>6400000</v>
      </c>
      <c r="L59" s="35">
        <v>3600000</v>
      </c>
      <c r="M59" s="35">
        <f t="shared" si="31"/>
        <v>7200000</v>
      </c>
      <c r="N59" s="35">
        <v>3800000</v>
      </c>
      <c r="O59" s="35">
        <f t="shared" si="32"/>
        <v>7600000</v>
      </c>
      <c r="P59" s="163">
        <f t="shared" si="33"/>
        <v>3533333.3333333335</v>
      </c>
      <c r="Q59" s="163">
        <f t="shared" si="34"/>
        <v>7066666.666666667</v>
      </c>
      <c r="R59" s="163">
        <f t="shared" si="21"/>
        <v>249443.82578492945</v>
      </c>
      <c r="S59" s="183">
        <f t="shared" si="22"/>
        <v>7.0597309184413995E-2</v>
      </c>
      <c r="T59" s="163">
        <f t="shared" si="23"/>
        <v>3600000</v>
      </c>
      <c r="U59" s="163">
        <f>+T59*F59*H59</f>
        <v>7200000</v>
      </c>
      <c r="V59" s="183">
        <f t="shared" si="24"/>
        <v>6.9289951606924846E-2</v>
      </c>
      <c r="W59" s="501" t="s">
        <v>41</v>
      </c>
      <c r="X59" s="81" t="s">
        <v>42</v>
      </c>
      <c r="Y59" s="81" t="s">
        <v>43</v>
      </c>
      <c r="Z59" s="179"/>
      <c r="AA59" s="179"/>
      <c r="AB59" s="179"/>
      <c r="AC59" s="179"/>
      <c r="AD59" s="179"/>
      <c r="AE59" s="179"/>
      <c r="AF59" s="179"/>
      <c r="AG59" s="179"/>
      <c r="AH59" s="179"/>
      <c r="AI59" s="179"/>
      <c r="AJ59" s="179"/>
      <c r="AK59" s="179"/>
    </row>
    <row r="60" spans="1:37" s="180" customFormat="1" ht="63" customHeight="1" x14ac:dyDescent="0.25">
      <c r="A60" s="13">
        <f t="shared" si="30"/>
        <v>3</v>
      </c>
      <c r="B60" s="675">
        <v>56</v>
      </c>
      <c r="C60" s="42">
        <v>61</v>
      </c>
      <c r="D60" s="285" t="s">
        <v>141</v>
      </c>
      <c r="E60" s="514" t="s">
        <v>142</v>
      </c>
      <c r="F60" s="51">
        <v>1</v>
      </c>
      <c r="G60" s="51" t="s">
        <v>24</v>
      </c>
      <c r="H60" s="52">
        <v>1</v>
      </c>
      <c r="I60" s="52" t="s">
        <v>29</v>
      </c>
      <c r="J60" s="34">
        <f>+(6902000*100)/119</f>
        <v>5800000</v>
      </c>
      <c r="K60" s="34">
        <f t="shared" si="29"/>
        <v>5800000</v>
      </c>
      <c r="L60" s="43">
        <f>+(3391500*100)/119</f>
        <v>2850000</v>
      </c>
      <c r="M60" s="147">
        <f t="shared" si="31"/>
        <v>2850000</v>
      </c>
      <c r="N60" s="43">
        <v>5800000</v>
      </c>
      <c r="O60" s="35">
        <f t="shared" si="32"/>
        <v>5800000</v>
      </c>
      <c r="P60" s="163">
        <f t="shared" si="33"/>
        <v>4816666.666666667</v>
      </c>
      <c r="Q60" s="163">
        <f t="shared" si="34"/>
        <v>4816666.666666667</v>
      </c>
      <c r="R60" s="163">
        <f t="shared" si="21"/>
        <v>1390643.3363335435</v>
      </c>
      <c r="S60" s="183">
        <f t="shared" si="22"/>
        <v>0.28871487951561453</v>
      </c>
      <c r="T60" s="163">
        <f t="shared" si="23"/>
        <v>5800000</v>
      </c>
      <c r="U60" s="163">
        <f t="shared" ref="U60:U87" si="35">+T60*F60*H60</f>
        <v>5800000</v>
      </c>
      <c r="V60" s="183">
        <f t="shared" si="24"/>
        <v>0.2397660924713006</v>
      </c>
      <c r="W60" s="300" t="s">
        <v>143</v>
      </c>
      <c r="X60" s="301" t="s">
        <v>144</v>
      </c>
      <c r="Y60" s="649" t="s">
        <v>41</v>
      </c>
      <c r="Z60" s="179"/>
      <c r="AA60" s="179"/>
      <c r="AB60" s="179"/>
      <c r="AC60" s="179"/>
      <c r="AD60" s="179"/>
      <c r="AE60" s="179"/>
      <c r="AF60" s="179"/>
      <c r="AG60" s="179"/>
      <c r="AH60" s="179"/>
      <c r="AI60" s="179"/>
      <c r="AJ60" s="179"/>
      <c r="AK60" s="179"/>
    </row>
    <row r="61" spans="1:37" s="180" customFormat="1" ht="63" customHeight="1" x14ac:dyDescent="0.25">
      <c r="A61" s="13">
        <f t="shared" si="30"/>
        <v>3</v>
      </c>
      <c r="B61" s="675">
        <v>57</v>
      </c>
      <c r="C61" s="38">
        <v>62</v>
      </c>
      <c r="D61" s="181" t="s">
        <v>134</v>
      </c>
      <c r="E61" s="475" t="s">
        <v>145</v>
      </c>
      <c r="F61" s="51">
        <v>1</v>
      </c>
      <c r="G61" s="51" t="s">
        <v>24</v>
      </c>
      <c r="H61" s="52">
        <v>1</v>
      </c>
      <c r="I61" s="52" t="s">
        <v>29</v>
      </c>
      <c r="J61" s="43">
        <f>+(2975000*100)/119</f>
        <v>2500000</v>
      </c>
      <c r="K61" s="40">
        <f t="shared" si="29"/>
        <v>2500000</v>
      </c>
      <c r="L61" s="327">
        <f>+(3332000*100)/119</f>
        <v>2800000</v>
      </c>
      <c r="M61" s="432">
        <f t="shared" si="31"/>
        <v>2800000</v>
      </c>
      <c r="N61" s="483">
        <f>+(1800000*5.35%)+1800000</f>
        <v>1896300</v>
      </c>
      <c r="O61" s="35">
        <f t="shared" si="32"/>
        <v>1896300</v>
      </c>
      <c r="P61" s="163">
        <f t="shared" si="33"/>
        <v>2398766.6666666665</v>
      </c>
      <c r="Q61" s="163">
        <f t="shared" si="34"/>
        <v>2398766.6666666665</v>
      </c>
      <c r="R61" s="163">
        <f t="shared" si="21"/>
        <v>375814.28333094995</v>
      </c>
      <c r="S61" s="183">
        <f t="shared" si="22"/>
        <v>0.15666979558840655</v>
      </c>
      <c r="T61" s="163">
        <f t="shared" si="23"/>
        <v>2500000</v>
      </c>
      <c r="U61" s="163">
        <f t="shared" si="35"/>
        <v>2500000</v>
      </c>
      <c r="V61" s="183">
        <f t="shared" si="24"/>
        <v>0.15032571333237998</v>
      </c>
      <c r="W61" s="327" t="s">
        <v>136</v>
      </c>
      <c r="X61" s="327" t="s">
        <v>137</v>
      </c>
      <c r="Y61" s="328" t="s">
        <v>146</v>
      </c>
      <c r="Z61" s="179"/>
      <c r="AA61" s="179"/>
      <c r="AB61" s="179"/>
      <c r="AC61" s="179"/>
      <c r="AD61" s="179"/>
      <c r="AE61" s="179"/>
      <c r="AF61" s="179"/>
      <c r="AG61" s="179"/>
      <c r="AH61" s="179"/>
      <c r="AI61" s="179"/>
      <c r="AJ61" s="179"/>
      <c r="AK61" s="179"/>
    </row>
    <row r="62" spans="1:37" s="180" customFormat="1" ht="78.75" customHeight="1" x14ac:dyDescent="0.25">
      <c r="A62" s="13">
        <f t="shared" si="30"/>
        <v>3</v>
      </c>
      <c r="B62" s="675">
        <v>58</v>
      </c>
      <c r="C62" s="38">
        <v>63</v>
      </c>
      <c r="D62" s="49" t="s">
        <v>134</v>
      </c>
      <c r="E62" s="50" t="s">
        <v>147</v>
      </c>
      <c r="F62" s="305">
        <v>1</v>
      </c>
      <c r="G62" s="51" t="s">
        <v>24</v>
      </c>
      <c r="H62" s="52">
        <v>1</v>
      </c>
      <c r="I62" s="52" t="s">
        <v>29</v>
      </c>
      <c r="J62" s="34">
        <f>+(2618000*100)/119</f>
        <v>2200000</v>
      </c>
      <c r="K62" s="40">
        <f t="shared" si="29"/>
        <v>2200000</v>
      </c>
      <c r="L62" s="35">
        <f>+(2618000*100)/119</f>
        <v>2200000</v>
      </c>
      <c r="M62" s="35">
        <f t="shared" si="31"/>
        <v>2200000</v>
      </c>
      <c r="N62" s="35">
        <f>+(1550000*100)/119</f>
        <v>1302521.0084033613</v>
      </c>
      <c r="O62" s="35">
        <f t="shared" si="32"/>
        <v>1302521.0084033613</v>
      </c>
      <c r="P62" s="163">
        <f t="shared" si="33"/>
        <v>1900840.3361344535</v>
      </c>
      <c r="Q62" s="163">
        <f t="shared" si="34"/>
        <v>1900840.3361344535</v>
      </c>
      <c r="R62" s="163">
        <f t="shared" si="21"/>
        <v>423075.65395363251</v>
      </c>
      <c r="S62" s="183">
        <f t="shared" si="22"/>
        <v>0.22257295676605782</v>
      </c>
      <c r="T62" s="163">
        <f t="shared" si="23"/>
        <v>2200000</v>
      </c>
      <c r="U62" s="163">
        <f t="shared" si="35"/>
        <v>2200000</v>
      </c>
      <c r="V62" s="183">
        <f t="shared" si="24"/>
        <v>0.19230711543346932</v>
      </c>
      <c r="W62" s="70" t="s">
        <v>136</v>
      </c>
      <c r="X62" s="70" t="s">
        <v>137</v>
      </c>
      <c r="Y62" s="71" t="s">
        <v>148</v>
      </c>
      <c r="Z62" s="179"/>
      <c r="AA62" s="179"/>
      <c r="AB62" s="179"/>
      <c r="AC62" s="179"/>
      <c r="AD62" s="179"/>
      <c r="AE62" s="179"/>
      <c r="AF62" s="179"/>
      <c r="AG62" s="179"/>
      <c r="AH62" s="179"/>
      <c r="AI62" s="179"/>
      <c r="AJ62" s="179"/>
      <c r="AK62" s="179"/>
    </row>
    <row r="63" spans="1:37" s="180" customFormat="1" ht="63" customHeight="1" x14ac:dyDescent="0.25">
      <c r="A63" s="13">
        <f t="shared" si="30"/>
        <v>3</v>
      </c>
      <c r="B63" s="675">
        <v>59</v>
      </c>
      <c r="C63" s="42">
        <v>64</v>
      </c>
      <c r="D63" s="458" t="s">
        <v>134</v>
      </c>
      <c r="E63" s="426" t="s">
        <v>135</v>
      </c>
      <c r="F63" s="51">
        <v>1</v>
      </c>
      <c r="G63" s="51" t="s">
        <v>24</v>
      </c>
      <c r="H63" s="52">
        <v>1</v>
      </c>
      <c r="I63" s="52" t="s">
        <v>29</v>
      </c>
      <c r="J63" s="43">
        <f>+(2975000*100)/119</f>
        <v>2500000</v>
      </c>
      <c r="K63" s="40">
        <f t="shared" si="29"/>
        <v>2500000</v>
      </c>
      <c r="L63" s="196">
        <f>+(3332000*100)/119</f>
        <v>2800000</v>
      </c>
      <c r="M63" s="196">
        <f t="shared" si="31"/>
        <v>2800000</v>
      </c>
      <c r="N63" s="196">
        <f>+(2142000*100)/119</f>
        <v>1800000</v>
      </c>
      <c r="O63" s="35">
        <f t="shared" si="32"/>
        <v>1800000</v>
      </c>
      <c r="P63" s="163">
        <f t="shared" si="33"/>
        <v>2366666.6666666665</v>
      </c>
      <c r="Q63" s="163">
        <f t="shared" si="34"/>
        <v>2366666.6666666665</v>
      </c>
      <c r="R63" s="163">
        <f t="shared" si="21"/>
        <v>418993.50299921783</v>
      </c>
      <c r="S63" s="183">
        <f t="shared" si="22"/>
        <v>0.17703950830952866</v>
      </c>
      <c r="T63" s="163">
        <f t="shared" si="23"/>
        <v>2500000</v>
      </c>
      <c r="U63" s="163">
        <f t="shared" si="35"/>
        <v>2500000</v>
      </c>
      <c r="V63" s="183">
        <f t="shared" si="24"/>
        <v>0.16759740119968713</v>
      </c>
      <c r="W63" s="650" t="s">
        <v>149</v>
      </c>
      <c r="X63" s="650" t="s">
        <v>137</v>
      </c>
      <c r="Y63" s="650" t="s">
        <v>146</v>
      </c>
      <c r="Z63" s="179"/>
      <c r="AA63" s="179"/>
      <c r="AB63" s="179"/>
      <c r="AC63" s="179"/>
      <c r="AD63" s="179"/>
      <c r="AE63" s="179"/>
      <c r="AF63" s="179"/>
      <c r="AG63" s="179"/>
      <c r="AH63" s="179"/>
      <c r="AI63" s="179"/>
      <c r="AJ63" s="179"/>
      <c r="AK63" s="179"/>
    </row>
    <row r="64" spans="1:37" s="180" customFormat="1" ht="78.75" customHeight="1" x14ac:dyDescent="0.25">
      <c r="A64" s="13">
        <f t="shared" si="30"/>
        <v>3</v>
      </c>
      <c r="B64" s="675">
        <v>60</v>
      </c>
      <c r="C64" s="38">
        <v>65</v>
      </c>
      <c r="D64" s="49" t="s">
        <v>150</v>
      </c>
      <c r="E64" s="50" t="s">
        <v>151</v>
      </c>
      <c r="F64" s="305">
        <v>1</v>
      </c>
      <c r="G64" s="51" t="s">
        <v>24</v>
      </c>
      <c r="H64" s="52">
        <v>1</v>
      </c>
      <c r="I64" s="52" t="s">
        <v>29</v>
      </c>
      <c r="J64" s="34">
        <v>7800000</v>
      </c>
      <c r="K64" s="34">
        <f t="shared" si="29"/>
        <v>7800000</v>
      </c>
      <c r="L64" s="34">
        <v>8700000</v>
      </c>
      <c r="M64" s="58">
        <f t="shared" si="31"/>
        <v>8700000</v>
      </c>
      <c r="N64" s="34">
        <v>9200000</v>
      </c>
      <c r="O64" s="35">
        <f t="shared" si="32"/>
        <v>9200000</v>
      </c>
      <c r="P64" s="163">
        <f t="shared" si="33"/>
        <v>8566666.666666666</v>
      </c>
      <c r="Q64" s="163">
        <f t="shared" si="34"/>
        <v>8566666.666666666</v>
      </c>
      <c r="R64" s="163">
        <f t="shared" si="21"/>
        <v>579271.57323275891</v>
      </c>
      <c r="S64" s="183">
        <f t="shared" si="22"/>
        <v>6.7619249793707273E-2</v>
      </c>
      <c r="T64" s="163">
        <f t="shared" si="23"/>
        <v>8700000</v>
      </c>
      <c r="U64" s="163">
        <f t="shared" si="35"/>
        <v>8700000</v>
      </c>
      <c r="V64" s="183">
        <f t="shared" si="24"/>
        <v>6.6582939452041259E-2</v>
      </c>
      <c r="W64" s="166" t="s">
        <v>41</v>
      </c>
      <c r="X64" s="166" t="s">
        <v>42</v>
      </c>
      <c r="Y64" s="347" t="s">
        <v>43</v>
      </c>
      <c r="Z64" s="179"/>
      <c r="AA64" s="179"/>
      <c r="AB64" s="179"/>
      <c r="AC64" s="179"/>
      <c r="AD64" s="179"/>
      <c r="AE64" s="179"/>
      <c r="AF64" s="179"/>
      <c r="AG64" s="179"/>
      <c r="AH64" s="179"/>
      <c r="AI64" s="179"/>
      <c r="AJ64" s="179"/>
      <c r="AK64" s="179"/>
    </row>
    <row r="65" spans="1:37" s="180" customFormat="1" ht="47.25" customHeight="1" x14ac:dyDescent="0.25">
      <c r="A65" s="13">
        <f t="shared" si="30"/>
        <v>1</v>
      </c>
      <c r="B65" s="675">
        <v>61</v>
      </c>
      <c r="C65" s="38">
        <v>66</v>
      </c>
      <c r="D65" s="49" t="s">
        <v>152</v>
      </c>
      <c r="E65" s="50" t="s">
        <v>153</v>
      </c>
      <c r="F65" s="51">
        <v>1</v>
      </c>
      <c r="G65" s="51" t="s">
        <v>24</v>
      </c>
      <c r="H65" s="52">
        <v>2</v>
      </c>
      <c r="I65" s="52" t="s">
        <v>60</v>
      </c>
      <c r="J65" s="34">
        <f>+(3100001/30)</f>
        <v>103333.36666666667</v>
      </c>
      <c r="K65" s="34">
        <f t="shared" si="29"/>
        <v>206666.73333333334</v>
      </c>
      <c r="L65" s="300"/>
      <c r="M65" s="300"/>
      <c r="N65" s="301"/>
      <c r="O65" s="35"/>
      <c r="P65" s="36">
        <f>+(ROUND(AVERAGE(J65),0))</f>
        <v>103333</v>
      </c>
      <c r="Q65" s="36">
        <f>+P65*F65*H65</f>
        <v>206666</v>
      </c>
      <c r="R65" s="473">
        <f t="shared" si="21"/>
        <v>0</v>
      </c>
      <c r="S65" s="474">
        <f t="shared" si="22"/>
        <v>0</v>
      </c>
      <c r="T65" s="473">
        <f t="shared" si="23"/>
        <v>103333.36666666667</v>
      </c>
      <c r="U65" s="473">
        <f t="shared" si="35"/>
        <v>206666.73333333334</v>
      </c>
      <c r="V65" s="474">
        <f t="shared" si="24"/>
        <v>0</v>
      </c>
      <c r="W65" s="166" t="s">
        <v>26</v>
      </c>
      <c r="X65" s="166"/>
      <c r="Y65" s="81"/>
      <c r="Z65" s="651"/>
      <c r="AA65" s="179"/>
      <c r="AB65" s="179"/>
      <c r="AC65" s="179"/>
      <c r="AD65" s="179"/>
      <c r="AE65" s="179"/>
      <c r="AF65" s="179"/>
      <c r="AG65" s="179"/>
      <c r="AH65" s="179"/>
      <c r="AI65" s="179"/>
      <c r="AJ65" s="179"/>
      <c r="AK65" s="179"/>
    </row>
    <row r="66" spans="1:37" s="180" customFormat="1" ht="63" customHeight="1" x14ac:dyDescent="0.25">
      <c r="A66" s="13">
        <f t="shared" si="30"/>
        <v>3</v>
      </c>
      <c r="B66" s="675">
        <v>62</v>
      </c>
      <c r="C66" s="42">
        <v>67</v>
      </c>
      <c r="D66" s="159" t="s">
        <v>134</v>
      </c>
      <c r="E66" s="392" t="s">
        <v>154</v>
      </c>
      <c r="F66" s="329">
        <v>1</v>
      </c>
      <c r="G66" s="329" t="s">
        <v>24</v>
      </c>
      <c r="H66" s="409">
        <v>1</v>
      </c>
      <c r="I66" s="409" t="s">
        <v>29</v>
      </c>
      <c r="J66" s="122">
        <f>+(1344538*5.35%)+1344538</f>
        <v>1416470.7830000001</v>
      </c>
      <c r="K66" s="44">
        <f t="shared" si="29"/>
        <v>1416470.7830000001</v>
      </c>
      <c r="L66" s="122">
        <f>+(1109244*5.35%)+1109244</f>
        <v>1168588.554</v>
      </c>
      <c r="M66" s="35">
        <f>+L66*H66*F66</f>
        <v>1168588.554</v>
      </c>
      <c r="N66" s="122">
        <f>+(1092437*5.35%)+1092437</f>
        <v>1150882.3795</v>
      </c>
      <c r="O66" s="35">
        <f>+N66*H66*F66</f>
        <v>1150882.3795</v>
      </c>
      <c r="P66" s="163">
        <f>+AVERAGE(J66,L66,N66)</f>
        <v>1245313.9055000001</v>
      </c>
      <c r="Q66" s="163">
        <f>+P66*H66*F66</f>
        <v>1245313.9055000001</v>
      </c>
      <c r="R66" s="163">
        <f t="shared" si="21"/>
        <v>121241.86485566395</v>
      </c>
      <c r="S66" s="183">
        <f t="shared" si="22"/>
        <v>9.7358476702293556E-2</v>
      </c>
      <c r="T66" s="163">
        <f t="shared" si="23"/>
        <v>1168588.554</v>
      </c>
      <c r="U66" s="163">
        <f t="shared" si="35"/>
        <v>1168588.554</v>
      </c>
      <c r="V66" s="183">
        <f t="shared" si="24"/>
        <v>0.1037506866216182</v>
      </c>
      <c r="W66" s="652" t="s">
        <v>138</v>
      </c>
      <c r="X66" s="652" t="s">
        <v>155</v>
      </c>
      <c r="Y66" s="650" t="s">
        <v>156</v>
      </c>
      <c r="Z66" s="179"/>
      <c r="AA66" s="179"/>
      <c r="AB66" s="179"/>
      <c r="AC66" s="179"/>
      <c r="AD66" s="179"/>
      <c r="AE66" s="179"/>
      <c r="AF66" s="179"/>
      <c r="AG66" s="179"/>
      <c r="AH66" s="179"/>
      <c r="AI66" s="179"/>
      <c r="AJ66" s="179"/>
      <c r="AK66" s="179"/>
    </row>
    <row r="67" spans="1:37" s="180" customFormat="1" ht="94.5" customHeight="1" x14ac:dyDescent="0.25">
      <c r="A67" s="13">
        <f t="shared" si="30"/>
        <v>3</v>
      </c>
      <c r="B67" s="675">
        <v>63</v>
      </c>
      <c r="C67" s="38">
        <v>68</v>
      </c>
      <c r="D67" s="304" t="s">
        <v>134</v>
      </c>
      <c r="E67" s="366" t="s">
        <v>135</v>
      </c>
      <c r="F67" s="653">
        <v>1</v>
      </c>
      <c r="G67" s="653" t="s">
        <v>24</v>
      </c>
      <c r="H67" s="654">
        <v>1</v>
      </c>
      <c r="I67" s="654" t="s">
        <v>29</v>
      </c>
      <c r="J67" s="275">
        <f>+(2975000*100)/119</f>
        <v>2500000</v>
      </c>
      <c r="K67" s="40">
        <f t="shared" si="29"/>
        <v>2500000</v>
      </c>
      <c r="L67" s="132">
        <f>+(3332000*100)/119</f>
        <v>2800000</v>
      </c>
      <c r="M67" s="35">
        <f>+L67*H67*F67</f>
        <v>2800000</v>
      </c>
      <c r="N67" s="132">
        <f>+(1800000*100)/119</f>
        <v>1512605.0420168068</v>
      </c>
      <c r="O67" s="35">
        <f>+N67*H67*F67</f>
        <v>1512605.0420168068</v>
      </c>
      <c r="P67" s="163">
        <f>+AVERAGE(J67,L67,N67)</f>
        <v>2270868.3473389358</v>
      </c>
      <c r="Q67" s="163">
        <f>+P67*H67*F67</f>
        <v>2270868.3473389358</v>
      </c>
      <c r="R67" s="163">
        <f t="shared" si="21"/>
        <v>549983.29074529163</v>
      </c>
      <c r="S67" s="183">
        <f t="shared" si="22"/>
        <v>0.24219074231660181</v>
      </c>
      <c r="T67" s="163">
        <f t="shared" si="23"/>
        <v>2500000</v>
      </c>
      <c r="U67" s="163">
        <f t="shared" si="35"/>
        <v>2500000</v>
      </c>
      <c r="V67" s="183">
        <f t="shared" si="24"/>
        <v>0.21999331629811664</v>
      </c>
      <c r="W67" s="336" t="s">
        <v>136</v>
      </c>
      <c r="X67" s="336" t="s">
        <v>137</v>
      </c>
      <c r="Y67" s="650" t="s">
        <v>138</v>
      </c>
    </row>
    <row r="68" spans="1:37" ht="174" customHeight="1" x14ac:dyDescent="0.25">
      <c r="A68" s="13">
        <f t="shared" si="30"/>
        <v>3</v>
      </c>
      <c r="B68" s="675">
        <v>64</v>
      </c>
      <c r="C68" s="38">
        <v>69</v>
      </c>
      <c r="D68" s="185" t="s">
        <v>157</v>
      </c>
      <c r="E68" s="186" t="s">
        <v>158</v>
      </c>
      <c r="F68" s="187">
        <v>1</v>
      </c>
      <c r="G68" s="187" t="s">
        <v>159</v>
      </c>
      <c r="H68" s="188">
        <v>2850</v>
      </c>
      <c r="I68" s="188" t="s">
        <v>160</v>
      </c>
      <c r="J68" s="67">
        <f>+(8075*5.35%)+8075</f>
        <v>8507.0125000000007</v>
      </c>
      <c r="K68" s="195">
        <f t="shared" ref="K68" si="36">+J68*H68*F68</f>
        <v>24244985.625000004</v>
      </c>
      <c r="L68" s="648">
        <f>+(8245*5.35%)+8245</f>
        <v>8686.1075000000001</v>
      </c>
      <c r="M68" s="645">
        <f>+L68*H68</f>
        <v>24755406.375</v>
      </c>
      <c r="N68" s="648">
        <f>+(9180*5.35%)+9180</f>
        <v>9671.1299999999992</v>
      </c>
      <c r="O68" s="163">
        <f>+N68*H68*F68</f>
        <v>27562720.499999996</v>
      </c>
      <c r="P68" s="68">
        <f>+AVERAGE(J68,L68,N68)</f>
        <v>8954.75</v>
      </c>
      <c r="Q68" s="68">
        <f>+P68*H68*F68</f>
        <v>25521037.5</v>
      </c>
      <c r="R68" s="68">
        <f t="shared" si="21"/>
        <v>511.80659306437821</v>
      </c>
      <c r="S68" s="69">
        <f t="shared" si="22"/>
        <v>5.7154760664940754E-2</v>
      </c>
      <c r="T68" s="68">
        <f t="shared" si="23"/>
        <v>8686.1075000000001</v>
      </c>
      <c r="U68" s="68">
        <f t="shared" si="35"/>
        <v>24755406.375</v>
      </c>
      <c r="V68" s="69">
        <f t="shared" si="24"/>
        <v>5.8922433675196652E-2</v>
      </c>
      <c r="W68" s="25" t="s">
        <v>161</v>
      </c>
      <c r="X68" s="25" t="s">
        <v>162</v>
      </c>
      <c r="Y68" s="25" t="s">
        <v>163</v>
      </c>
      <c r="Z68" s="78" t="s">
        <v>164</v>
      </c>
      <c r="AA68" s="659" t="s">
        <v>165</v>
      </c>
    </row>
    <row r="69" spans="1:37" ht="174" customHeight="1" x14ac:dyDescent="0.25">
      <c r="A69" s="13"/>
      <c r="B69" s="675">
        <v>65</v>
      </c>
      <c r="C69" s="42">
        <v>70</v>
      </c>
      <c r="D69" s="643" t="s">
        <v>1071</v>
      </c>
      <c r="E69" s="647" t="s">
        <v>1070</v>
      </c>
      <c r="F69" s="187">
        <v>1</v>
      </c>
      <c r="G69" s="187" t="s">
        <v>159</v>
      </c>
      <c r="H69" s="166">
        <v>1</v>
      </c>
      <c r="I69" s="166" t="s">
        <v>302</v>
      </c>
      <c r="J69" s="644">
        <v>30000000</v>
      </c>
      <c r="K69" s="35">
        <f t="shared" ref="K69" si="37">+J69*F69*H69</f>
        <v>30000000</v>
      </c>
      <c r="L69" s="324"/>
      <c r="M69" s="189"/>
      <c r="N69" s="324"/>
      <c r="O69" s="646"/>
      <c r="P69" s="163">
        <f t="shared" ref="P69" si="38">+AVERAGE(J69,L69,N69)</f>
        <v>30000000</v>
      </c>
      <c r="Q69" s="163">
        <f t="shared" ref="Q69" si="39">+P69*H69*F69</f>
        <v>30000000</v>
      </c>
      <c r="R69" s="163">
        <f t="shared" si="21"/>
        <v>0</v>
      </c>
      <c r="S69" s="183">
        <f t="shared" si="22"/>
        <v>0</v>
      </c>
      <c r="T69" s="163">
        <f t="shared" si="23"/>
        <v>30000000</v>
      </c>
      <c r="U69" s="163">
        <f t="shared" si="35"/>
        <v>30000000</v>
      </c>
      <c r="V69" s="183">
        <f t="shared" si="24"/>
        <v>0</v>
      </c>
      <c r="W69" s="88"/>
      <c r="X69" s="88"/>
      <c r="Y69" s="88"/>
      <c r="Z69" s="600"/>
      <c r="AA69" s="600"/>
    </row>
    <row r="70" spans="1:37" ht="135" customHeight="1" x14ac:dyDescent="0.25">
      <c r="A70" s="13">
        <f t="shared" si="30"/>
        <v>3</v>
      </c>
      <c r="B70" s="675">
        <v>66</v>
      </c>
      <c r="C70" s="38">
        <v>71</v>
      </c>
      <c r="D70" s="190" t="s">
        <v>166</v>
      </c>
      <c r="E70" s="191" t="s">
        <v>1072</v>
      </c>
      <c r="F70" s="192">
        <v>1</v>
      </c>
      <c r="G70" s="192" t="s">
        <v>159</v>
      </c>
      <c r="H70" s="193"/>
      <c r="I70" s="193"/>
      <c r="J70" s="194">
        <v>28500000</v>
      </c>
      <c r="K70" s="195">
        <f>+J70*F70</f>
        <v>28500000</v>
      </c>
      <c r="L70" s="194">
        <v>32000000</v>
      </c>
      <c r="M70" s="194">
        <f>+L70*F70</f>
        <v>32000000</v>
      </c>
      <c r="N70" s="194">
        <v>28500000</v>
      </c>
      <c r="O70" s="196">
        <f>+N70*F70</f>
        <v>28500000</v>
      </c>
      <c r="P70" s="197">
        <f t="shared" ref="P70:P87" si="40">+AVERAGE(J70,L70,N70)</f>
        <v>29666666.666666668</v>
      </c>
      <c r="Q70" s="197">
        <f>+P70*F70</f>
        <v>29666666.666666668</v>
      </c>
      <c r="R70" s="197">
        <f t="shared" si="21"/>
        <v>1649915.8227686109</v>
      </c>
      <c r="S70" s="198">
        <f t="shared" si="22"/>
        <v>5.561514009332396E-2</v>
      </c>
      <c r="T70" s="197">
        <f t="shared" si="23"/>
        <v>28500000</v>
      </c>
      <c r="U70" s="197">
        <f>+T70*F70</f>
        <v>28500000</v>
      </c>
      <c r="V70" s="198">
        <f t="shared" si="24"/>
        <v>5.7891783255038978E-2</v>
      </c>
      <c r="W70" s="199" t="s">
        <v>41</v>
      </c>
      <c r="X70" s="199" t="s">
        <v>1075</v>
      </c>
      <c r="Y70" s="199" t="s">
        <v>43</v>
      </c>
      <c r="Z70" s="200">
        <f>SUM(Q5:Q70)</f>
        <v>315165520.12230676</v>
      </c>
      <c r="AA70" s="201">
        <f>SUM(U5:U70)</f>
        <v>318326433.21866667</v>
      </c>
    </row>
    <row r="71" spans="1:37" ht="69" customHeight="1" x14ac:dyDescent="0.25">
      <c r="A71" s="202"/>
      <c r="B71" s="202"/>
      <c r="C71" s="202"/>
      <c r="D71" s="687" t="s">
        <v>168</v>
      </c>
      <c r="E71" s="687"/>
      <c r="F71" s="203"/>
      <c r="G71" s="203"/>
      <c r="H71" s="203"/>
      <c r="I71" s="203"/>
      <c r="J71" s="203"/>
      <c r="K71" s="203"/>
      <c r="L71" s="203"/>
      <c r="M71" s="203"/>
      <c r="N71" s="203"/>
      <c r="O71" s="203"/>
      <c r="P71" s="203"/>
      <c r="Q71" s="204"/>
      <c r="R71" s="204"/>
      <c r="S71" s="204"/>
      <c r="T71" s="204"/>
      <c r="U71" s="204"/>
      <c r="V71" s="204"/>
      <c r="W71" s="204"/>
      <c r="X71" s="204"/>
      <c r="Y71" s="205"/>
      <c r="Z71" s="28"/>
      <c r="AA71" s="28"/>
      <c r="AB71" s="28"/>
      <c r="AC71" s="28"/>
      <c r="AD71" s="28"/>
      <c r="AE71" s="28"/>
      <c r="AF71" s="28"/>
      <c r="AG71" s="28"/>
      <c r="AH71" s="28"/>
      <c r="AI71" s="28"/>
      <c r="AJ71" s="28"/>
      <c r="AK71" s="28"/>
    </row>
    <row r="72" spans="1:37" ht="15" customHeight="1" x14ac:dyDescent="0.25">
      <c r="A72" s="206"/>
      <c r="B72" s="206"/>
      <c r="C72" s="206"/>
      <c r="D72" s="688" t="s">
        <v>169</v>
      </c>
      <c r="E72" s="688"/>
      <c r="F72" s="207"/>
      <c r="G72" s="207"/>
      <c r="H72" s="207"/>
      <c r="I72" s="207"/>
      <c r="J72" s="207"/>
      <c r="K72" s="207"/>
      <c r="L72" s="207"/>
      <c r="M72" s="207"/>
      <c r="N72" s="207"/>
      <c r="O72" s="207"/>
      <c r="P72" s="207"/>
      <c r="Q72" s="206"/>
      <c r="R72" s="206"/>
      <c r="S72" s="206"/>
      <c r="T72" s="206"/>
      <c r="U72" s="206"/>
      <c r="V72" s="206"/>
      <c r="W72" s="206"/>
      <c r="X72" s="206"/>
      <c r="Y72" s="208"/>
    </row>
    <row r="73" spans="1:37" ht="123" customHeight="1" x14ac:dyDescent="0.25">
      <c r="A73" s="13">
        <f t="shared" si="30"/>
        <v>3</v>
      </c>
      <c r="B73" s="675">
        <v>67</v>
      </c>
      <c r="C73" s="29">
        <v>72</v>
      </c>
      <c r="D73" s="54" t="s">
        <v>170</v>
      </c>
      <c r="E73" s="55" t="s">
        <v>171</v>
      </c>
      <c r="F73" s="57">
        <v>10</v>
      </c>
      <c r="G73" s="56" t="s">
        <v>24</v>
      </c>
      <c r="H73" s="57">
        <v>8</v>
      </c>
      <c r="I73" s="57" t="s">
        <v>29</v>
      </c>
      <c r="J73" s="58">
        <v>450000</v>
      </c>
      <c r="K73" s="58">
        <f t="shared" ref="K73:K136" si="41">+J73*F73*H73</f>
        <v>36000000</v>
      </c>
      <c r="L73" s="58">
        <v>500000</v>
      </c>
      <c r="M73" s="58">
        <f t="shared" ref="M73:M75" si="42">+L73*H73*F73</f>
        <v>40000000</v>
      </c>
      <c r="N73" s="58">
        <v>531000</v>
      </c>
      <c r="O73" s="107">
        <f t="shared" ref="O73:O119" si="43">+N73*H73*F73</f>
        <v>42480000</v>
      </c>
      <c r="P73" s="209">
        <f t="shared" si="40"/>
        <v>493666.66666666669</v>
      </c>
      <c r="Q73" s="209">
        <f t="shared" ref="Q73:Q87" si="44">+P73*H73*F73</f>
        <v>39493333.333333336</v>
      </c>
      <c r="R73" s="209">
        <f t="shared" si="21"/>
        <v>33369.979855486214</v>
      </c>
      <c r="S73" s="210">
        <f t="shared" si="22"/>
        <v>6.7596177965198276E-2</v>
      </c>
      <c r="T73" s="209">
        <f t="shared" si="23"/>
        <v>500000</v>
      </c>
      <c r="U73" s="209">
        <f>+T73*F73*H73</f>
        <v>40000000</v>
      </c>
      <c r="V73" s="210">
        <f t="shared" si="24"/>
        <v>6.6739959710972421E-2</v>
      </c>
      <c r="W73" s="211" t="s">
        <v>172</v>
      </c>
      <c r="X73" s="71" t="s">
        <v>42</v>
      </c>
      <c r="Y73" s="71" t="s">
        <v>43</v>
      </c>
      <c r="Z73" s="28"/>
      <c r="AA73" s="28"/>
      <c r="AB73" s="28"/>
      <c r="AC73" s="28"/>
      <c r="AD73" s="28"/>
      <c r="AE73" s="28"/>
      <c r="AF73" s="28"/>
      <c r="AG73" s="28"/>
      <c r="AH73" s="28"/>
      <c r="AI73" s="28"/>
      <c r="AJ73" s="28"/>
      <c r="AK73" s="28"/>
    </row>
    <row r="74" spans="1:37" ht="76.150000000000006" customHeight="1" x14ac:dyDescent="0.25">
      <c r="A74" s="13">
        <f t="shared" si="30"/>
        <v>3</v>
      </c>
      <c r="B74" s="675">
        <v>68</v>
      </c>
      <c r="C74" s="42">
        <v>73</v>
      </c>
      <c r="D74" s="30" t="s">
        <v>173</v>
      </c>
      <c r="E74" s="87" t="s">
        <v>174</v>
      </c>
      <c r="F74" s="33">
        <v>10</v>
      </c>
      <c r="G74" s="32" t="s">
        <v>24</v>
      </c>
      <c r="H74" s="33">
        <v>8</v>
      </c>
      <c r="I74" s="212" t="s">
        <v>167</v>
      </c>
      <c r="J74" s="213">
        <v>20000</v>
      </c>
      <c r="K74" s="64">
        <f>+J74*F74*H74</f>
        <v>1600000</v>
      </c>
      <c r="L74" s="34">
        <v>22000</v>
      </c>
      <c r="M74" s="58">
        <f t="shared" si="42"/>
        <v>1760000</v>
      </c>
      <c r="N74" s="34">
        <v>24000</v>
      </c>
      <c r="O74" s="35">
        <f t="shared" si="43"/>
        <v>1920000</v>
      </c>
      <c r="P74" s="68">
        <f t="shared" si="40"/>
        <v>22000</v>
      </c>
      <c r="Q74" s="68">
        <f t="shared" si="44"/>
        <v>1760000</v>
      </c>
      <c r="R74" s="68">
        <f t="shared" si="21"/>
        <v>1632.9931618554519</v>
      </c>
      <c r="S74" s="69">
        <f t="shared" si="22"/>
        <v>7.4226961902520538E-2</v>
      </c>
      <c r="T74" s="68">
        <f t="shared" si="23"/>
        <v>22000</v>
      </c>
      <c r="U74" s="68">
        <f t="shared" si="35"/>
        <v>1760000</v>
      </c>
      <c r="V74" s="69">
        <f t="shared" si="24"/>
        <v>7.4226961902520538E-2</v>
      </c>
      <c r="W74" s="37" t="s">
        <v>41</v>
      </c>
      <c r="X74" s="71" t="s">
        <v>42</v>
      </c>
      <c r="Y74" s="71" t="s">
        <v>43</v>
      </c>
      <c r="Z74" s="28"/>
      <c r="AA74" s="28"/>
      <c r="AB74" s="28"/>
      <c r="AC74" s="28"/>
      <c r="AD74" s="28"/>
      <c r="AE74" s="28"/>
      <c r="AF74" s="28"/>
      <c r="AG74" s="28"/>
      <c r="AH74" s="28"/>
      <c r="AI74" s="28"/>
      <c r="AJ74" s="28"/>
      <c r="AK74" s="28"/>
    </row>
    <row r="75" spans="1:37" ht="90.75" customHeight="1" x14ac:dyDescent="0.25">
      <c r="A75" s="13">
        <f t="shared" ref="A75:A87" si="45">+COUNT(J75,L75,N75)</f>
        <v>3</v>
      </c>
      <c r="B75" s="675">
        <v>69</v>
      </c>
      <c r="C75" s="29">
        <v>74</v>
      </c>
      <c r="D75" s="30" t="s">
        <v>175</v>
      </c>
      <c r="E75" s="31" t="s">
        <v>176</v>
      </c>
      <c r="F75" s="33">
        <v>10</v>
      </c>
      <c r="G75" s="32" t="s">
        <v>24</v>
      </c>
      <c r="H75" s="33">
        <v>8</v>
      </c>
      <c r="I75" s="33" t="s">
        <v>29</v>
      </c>
      <c r="J75" s="214">
        <v>35000</v>
      </c>
      <c r="K75" s="64">
        <f t="shared" si="41"/>
        <v>2800000</v>
      </c>
      <c r="L75" s="34">
        <v>39000</v>
      </c>
      <c r="M75" s="58">
        <f t="shared" si="42"/>
        <v>3120000</v>
      </c>
      <c r="N75" s="34">
        <v>41000</v>
      </c>
      <c r="O75" s="35">
        <f t="shared" si="43"/>
        <v>3280000</v>
      </c>
      <c r="P75" s="68">
        <f t="shared" si="40"/>
        <v>38333.333333333336</v>
      </c>
      <c r="Q75" s="68">
        <f t="shared" si="44"/>
        <v>3066666.666666667</v>
      </c>
      <c r="R75" s="68">
        <f t="shared" si="21"/>
        <v>2494.4382578492941</v>
      </c>
      <c r="S75" s="69">
        <f t="shared" si="22"/>
        <v>6.5072302378677241E-2</v>
      </c>
      <c r="T75" s="68">
        <f t="shared" si="23"/>
        <v>39000</v>
      </c>
      <c r="U75" s="68">
        <f t="shared" si="35"/>
        <v>3120000</v>
      </c>
      <c r="V75" s="69">
        <f t="shared" si="24"/>
        <v>6.3959955329469076E-2</v>
      </c>
      <c r="W75" s="37" t="s">
        <v>41</v>
      </c>
      <c r="X75" s="71" t="s">
        <v>42</v>
      </c>
      <c r="Y75" s="71" t="s">
        <v>43</v>
      </c>
      <c r="Z75" s="28"/>
      <c r="AA75" s="28"/>
      <c r="AB75" s="28"/>
      <c r="AC75" s="28"/>
      <c r="AD75" s="28"/>
      <c r="AE75" s="28"/>
      <c r="AF75" s="28"/>
      <c r="AG75" s="28"/>
      <c r="AH75" s="28"/>
      <c r="AI75" s="28"/>
      <c r="AJ75" s="28"/>
      <c r="AK75" s="28"/>
    </row>
    <row r="76" spans="1:37" ht="126" x14ac:dyDescent="0.25">
      <c r="A76" s="13">
        <f t="shared" si="45"/>
        <v>3</v>
      </c>
      <c r="B76" s="675">
        <v>70</v>
      </c>
      <c r="C76" s="42">
        <v>75</v>
      </c>
      <c r="D76" s="30" t="s">
        <v>177</v>
      </c>
      <c r="E76" s="31" t="s">
        <v>178</v>
      </c>
      <c r="F76" s="32">
        <v>150</v>
      </c>
      <c r="G76" s="32" t="s">
        <v>24</v>
      </c>
      <c r="H76" s="33">
        <v>1</v>
      </c>
      <c r="I76" s="33" t="s">
        <v>29</v>
      </c>
      <c r="J76" s="80">
        <v>1700000</v>
      </c>
      <c r="K76" s="40">
        <f>+J76*H76</f>
        <v>1700000</v>
      </c>
      <c r="L76" s="83">
        <v>1450000</v>
      </c>
      <c r="M76" s="35">
        <f>+L76*H76</f>
        <v>1450000</v>
      </c>
      <c r="N76" s="83">
        <v>1428000</v>
      </c>
      <c r="O76" s="35">
        <f>+N76*H76</f>
        <v>1428000</v>
      </c>
      <c r="P76" s="163">
        <f t="shared" si="40"/>
        <v>1526000</v>
      </c>
      <c r="Q76" s="68">
        <f>+P76*H76</f>
        <v>1526000</v>
      </c>
      <c r="R76" s="68">
        <f t="shared" si="21"/>
        <v>123363.96016125077</v>
      </c>
      <c r="S76" s="69">
        <f t="shared" si="22"/>
        <v>8.0841389358617802E-2</v>
      </c>
      <c r="T76" s="68">
        <f t="shared" si="23"/>
        <v>1450000</v>
      </c>
      <c r="U76" s="68">
        <f>+T76*H76</f>
        <v>1450000</v>
      </c>
      <c r="V76" s="69">
        <f t="shared" si="24"/>
        <v>8.5078593214655704E-2</v>
      </c>
      <c r="W76" s="86" t="s">
        <v>179</v>
      </c>
      <c r="X76" s="86" t="s">
        <v>180</v>
      </c>
      <c r="Y76" s="53" t="s">
        <v>181</v>
      </c>
      <c r="Z76" s="28"/>
      <c r="AA76" s="28"/>
      <c r="AB76" s="28"/>
      <c r="AC76" s="28"/>
      <c r="AD76" s="28"/>
      <c r="AE76" s="28"/>
      <c r="AF76" s="28"/>
      <c r="AG76" s="28"/>
      <c r="AH76" s="28"/>
      <c r="AI76" s="28"/>
      <c r="AJ76" s="28"/>
      <c r="AK76" s="28"/>
    </row>
    <row r="77" spans="1:37" ht="210.6" customHeight="1" x14ac:dyDescent="0.25">
      <c r="A77" s="13">
        <f t="shared" si="45"/>
        <v>3</v>
      </c>
      <c r="B77" s="675">
        <v>71</v>
      </c>
      <c r="C77" s="29">
        <v>76</v>
      </c>
      <c r="D77" s="215" t="s">
        <v>182</v>
      </c>
      <c r="E77" s="27" t="s">
        <v>183</v>
      </c>
      <c r="F77" s="32">
        <v>7</v>
      </c>
      <c r="G77" s="32" t="s">
        <v>24</v>
      </c>
      <c r="H77" s="33"/>
      <c r="I77" s="33"/>
      <c r="J77" s="216">
        <v>3157895</v>
      </c>
      <c r="K77" s="64">
        <f>+J77*F77</f>
        <v>22105265</v>
      </c>
      <c r="L77" s="216">
        <v>3157895</v>
      </c>
      <c r="M77" s="217">
        <f>+L77*F77</f>
        <v>22105265</v>
      </c>
      <c r="N77" s="216">
        <v>3157895</v>
      </c>
      <c r="O77" s="41">
        <f>+N77*F77</f>
        <v>22105265</v>
      </c>
      <c r="P77" s="68">
        <f t="shared" si="40"/>
        <v>3157895</v>
      </c>
      <c r="Q77" s="68">
        <f>+P77*F77</f>
        <v>22105265</v>
      </c>
      <c r="R77" s="68">
        <f t="shared" si="21"/>
        <v>0</v>
      </c>
      <c r="S77" s="69">
        <f t="shared" si="22"/>
        <v>0</v>
      </c>
      <c r="T77" s="68">
        <f t="shared" si="23"/>
        <v>3157895</v>
      </c>
      <c r="U77" s="68">
        <f>+T77*F77</f>
        <v>22105265</v>
      </c>
      <c r="V77" s="69">
        <f t="shared" si="24"/>
        <v>0</v>
      </c>
      <c r="W77" s="37"/>
      <c r="X77" s="37"/>
      <c r="Y77" s="27"/>
      <c r="Z77" s="28"/>
      <c r="AA77" s="28"/>
      <c r="AB77" s="28"/>
      <c r="AC77" s="28"/>
      <c r="AD77" s="28"/>
      <c r="AE77" s="28"/>
      <c r="AF77" s="28"/>
      <c r="AG77" s="28"/>
      <c r="AH77" s="28"/>
      <c r="AI77" s="28"/>
      <c r="AJ77" s="28"/>
      <c r="AK77" s="28"/>
    </row>
    <row r="78" spans="1:37" ht="209.1" customHeight="1" x14ac:dyDescent="0.25">
      <c r="A78" s="13">
        <f t="shared" si="45"/>
        <v>3</v>
      </c>
      <c r="B78" s="675">
        <v>72</v>
      </c>
      <c r="C78" s="42">
        <v>77</v>
      </c>
      <c r="D78" s="215" t="s">
        <v>184</v>
      </c>
      <c r="E78" s="218" t="s">
        <v>185</v>
      </c>
      <c r="F78" s="32">
        <v>5</v>
      </c>
      <c r="G78" s="32" t="s">
        <v>24</v>
      </c>
      <c r="H78" s="33"/>
      <c r="I78" s="33"/>
      <c r="J78" s="216">
        <v>2631579</v>
      </c>
      <c r="K78" s="64">
        <f>+J78*F78</f>
        <v>13157895</v>
      </c>
      <c r="L78" s="216">
        <v>2631579</v>
      </c>
      <c r="M78" s="217">
        <f>+L78*F78</f>
        <v>13157895</v>
      </c>
      <c r="N78" s="216">
        <v>2631579</v>
      </c>
      <c r="O78" s="41">
        <f>+N78*F78</f>
        <v>13157895</v>
      </c>
      <c r="P78" s="68">
        <f t="shared" si="40"/>
        <v>2631579</v>
      </c>
      <c r="Q78" s="68">
        <f t="shared" ref="Q78:Q82" si="46">+P78*F78</f>
        <v>13157895</v>
      </c>
      <c r="R78" s="68">
        <f t="shared" si="21"/>
        <v>0</v>
      </c>
      <c r="S78" s="69">
        <f t="shared" si="22"/>
        <v>0</v>
      </c>
      <c r="T78" s="68">
        <f t="shared" si="23"/>
        <v>2631579</v>
      </c>
      <c r="U78" s="68">
        <f t="shared" ref="U78:U82" si="47">+T78*F78</f>
        <v>13157895</v>
      </c>
      <c r="V78" s="69">
        <f t="shared" si="24"/>
        <v>0</v>
      </c>
      <c r="W78" s="37"/>
      <c r="X78" s="37"/>
      <c r="Y78" s="27"/>
      <c r="Z78" s="28"/>
      <c r="AA78" s="28"/>
      <c r="AB78" s="28"/>
      <c r="AC78" s="28"/>
      <c r="AD78" s="28"/>
      <c r="AE78" s="28"/>
      <c r="AF78" s="28"/>
      <c r="AG78" s="28"/>
      <c r="AH78" s="28"/>
      <c r="AI78" s="28"/>
      <c r="AJ78" s="28"/>
      <c r="AK78" s="28"/>
    </row>
    <row r="79" spans="1:37" ht="210.6" customHeight="1" x14ac:dyDescent="0.25">
      <c r="A79" s="13">
        <f t="shared" si="45"/>
        <v>3</v>
      </c>
      <c r="B79" s="675">
        <v>73</v>
      </c>
      <c r="C79" s="29">
        <v>78</v>
      </c>
      <c r="D79" s="215" t="s">
        <v>186</v>
      </c>
      <c r="E79" s="218" t="s">
        <v>187</v>
      </c>
      <c r="F79" s="32">
        <v>3</v>
      </c>
      <c r="G79" s="32" t="s">
        <v>24</v>
      </c>
      <c r="H79" s="33"/>
      <c r="I79" s="33"/>
      <c r="J79" s="216">
        <v>1578947</v>
      </c>
      <c r="K79" s="64">
        <f>+J79*F79</f>
        <v>4736841</v>
      </c>
      <c r="L79" s="216">
        <v>1578947</v>
      </c>
      <c r="M79" s="217">
        <f>+L79*F79</f>
        <v>4736841</v>
      </c>
      <c r="N79" s="216">
        <v>1578947</v>
      </c>
      <c r="O79" s="41">
        <f>+N79*F79</f>
        <v>4736841</v>
      </c>
      <c r="P79" s="68">
        <f t="shared" si="40"/>
        <v>1578947</v>
      </c>
      <c r="Q79" s="68">
        <f t="shared" si="46"/>
        <v>4736841</v>
      </c>
      <c r="R79" s="68">
        <f t="shared" si="21"/>
        <v>0</v>
      </c>
      <c r="S79" s="69">
        <f t="shared" si="22"/>
        <v>0</v>
      </c>
      <c r="T79" s="68">
        <f t="shared" si="23"/>
        <v>1578947</v>
      </c>
      <c r="U79" s="68">
        <f t="shared" si="47"/>
        <v>4736841</v>
      </c>
      <c r="V79" s="69">
        <f t="shared" si="24"/>
        <v>0</v>
      </c>
      <c r="W79" s="37"/>
      <c r="X79" s="37"/>
      <c r="Y79" s="27"/>
      <c r="Z79" s="28"/>
      <c r="AA79" s="28"/>
      <c r="AB79" s="28"/>
      <c r="AC79" s="28"/>
      <c r="AD79" s="28"/>
      <c r="AE79" s="28"/>
      <c r="AF79" s="28"/>
      <c r="AG79" s="28"/>
      <c r="AH79" s="28"/>
      <c r="AI79" s="28"/>
      <c r="AJ79" s="28"/>
      <c r="AK79" s="28"/>
    </row>
    <row r="80" spans="1:37" ht="200.65" customHeight="1" x14ac:dyDescent="0.25">
      <c r="A80" s="13">
        <f t="shared" si="45"/>
        <v>3</v>
      </c>
      <c r="B80" s="675">
        <v>74</v>
      </c>
      <c r="C80" s="42">
        <v>79</v>
      </c>
      <c r="D80" s="215" t="s">
        <v>188</v>
      </c>
      <c r="E80" s="218" t="s">
        <v>189</v>
      </c>
      <c r="F80" s="32">
        <v>3</v>
      </c>
      <c r="G80" s="32" t="s">
        <v>24</v>
      </c>
      <c r="H80" s="33"/>
      <c r="I80" s="33"/>
      <c r="J80" s="216">
        <v>1052632</v>
      </c>
      <c r="K80" s="64">
        <f t="shared" ref="K80:K82" si="48">+J80*F80</f>
        <v>3157896</v>
      </c>
      <c r="L80" s="216">
        <v>1052632</v>
      </c>
      <c r="M80" s="217">
        <f t="shared" ref="M80:M82" si="49">+L80*F80</f>
        <v>3157896</v>
      </c>
      <c r="N80" s="216">
        <v>1052632</v>
      </c>
      <c r="O80" s="41">
        <f t="shared" ref="O80:O82" si="50">+N80*F80</f>
        <v>3157896</v>
      </c>
      <c r="P80" s="68">
        <f t="shared" si="40"/>
        <v>1052632</v>
      </c>
      <c r="Q80" s="68">
        <f t="shared" si="46"/>
        <v>3157896</v>
      </c>
      <c r="R80" s="68">
        <f t="shared" si="21"/>
        <v>0</v>
      </c>
      <c r="S80" s="69">
        <f t="shared" si="22"/>
        <v>0</v>
      </c>
      <c r="T80" s="68">
        <f t="shared" si="23"/>
        <v>1052632</v>
      </c>
      <c r="U80" s="68">
        <f t="shared" si="47"/>
        <v>3157896</v>
      </c>
      <c r="V80" s="69">
        <f t="shared" si="24"/>
        <v>0</v>
      </c>
      <c r="W80" s="25"/>
      <c r="X80" s="25"/>
      <c r="Y80" s="27"/>
      <c r="Z80" s="28"/>
      <c r="AA80" s="28"/>
      <c r="AB80" s="28"/>
      <c r="AC80" s="28"/>
      <c r="AD80" s="28"/>
      <c r="AE80" s="28"/>
      <c r="AF80" s="28"/>
      <c r="AG80" s="28"/>
      <c r="AH80" s="28"/>
      <c r="AI80" s="28"/>
      <c r="AJ80" s="28"/>
      <c r="AK80" s="28"/>
    </row>
    <row r="81" spans="1:37" ht="240.6" customHeight="1" x14ac:dyDescent="0.25">
      <c r="A81" s="13">
        <f t="shared" si="45"/>
        <v>3</v>
      </c>
      <c r="B81" s="675">
        <v>75</v>
      </c>
      <c r="C81" s="29">
        <v>80</v>
      </c>
      <c r="D81" s="215" t="s">
        <v>190</v>
      </c>
      <c r="E81" s="218" t="s">
        <v>191</v>
      </c>
      <c r="F81" s="32">
        <v>2</v>
      </c>
      <c r="G81" s="32" t="s">
        <v>24</v>
      </c>
      <c r="H81" s="33"/>
      <c r="I81" s="33"/>
      <c r="J81" s="216">
        <v>526316</v>
      </c>
      <c r="K81" s="64">
        <f t="shared" si="48"/>
        <v>1052632</v>
      </c>
      <c r="L81" s="216">
        <v>526316</v>
      </c>
      <c r="M81" s="217">
        <f t="shared" si="49"/>
        <v>1052632</v>
      </c>
      <c r="N81" s="216">
        <v>526316</v>
      </c>
      <c r="O81" s="41">
        <f t="shared" si="50"/>
        <v>1052632</v>
      </c>
      <c r="P81" s="68">
        <f t="shared" si="40"/>
        <v>526316</v>
      </c>
      <c r="Q81" s="68">
        <f t="shared" si="46"/>
        <v>1052632</v>
      </c>
      <c r="R81" s="68">
        <f t="shared" si="21"/>
        <v>0</v>
      </c>
      <c r="S81" s="69">
        <f t="shared" si="22"/>
        <v>0</v>
      </c>
      <c r="T81" s="68">
        <f t="shared" si="23"/>
        <v>526316</v>
      </c>
      <c r="U81" s="68">
        <f t="shared" si="47"/>
        <v>1052632</v>
      </c>
      <c r="V81" s="69">
        <f t="shared" si="24"/>
        <v>0</v>
      </c>
      <c r="W81" s="25"/>
      <c r="X81" s="25"/>
      <c r="Y81" s="27"/>
      <c r="Z81" s="28"/>
      <c r="AA81" s="28"/>
      <c r="AB81" s="28"/>
      <c r="AC81" s="28"/>
      <c r="AD81" s="28"/>
      <c r="AE81" s="28"/>
      <c r="AF81" s="28"/>
      <c r="AG81" s="28"/>
      <c r="AH81" s="28"/>
      <c r="AI81" s="28"/>
      <c r="AJ81" s="28"/>
      <c r="AK81" s="28"/>
    </row>
    <row r="82" spans="1:37" ht="196.15" customHeight="1" x14ac:dyDescent="0.25">
      <c r="A82" s="13">
        <f t="shared" si="45"/>
        <v>3</v>
      </c>
      <c r="B82" s="675">
        <v>76</v>
      </c>
      <c r="C82" s="42">
        <v>81</v>
      </c>
      <c r="D82" s="215" t="s">
        <v>192</v>
      </c>
      <c r="E82" s="218" t="s">
        <v>193</v>
      </c>
      <c r="F82" s="32">
        <v>5</v>
      </c>
      <c r="G82" s="32" t="s">
        <v>24</v>
      </c>
      <c r="H82" s="33"/>
      <c r="I82" s="33"/>
      <c r="J82" s="216">
        <v>105263</v>
      </c>
      <c r="K82" s="64">
        <f t="shared" si="48"/>
        <v>526315</v>
      </c>
      <c r="L82" s="216">
        <v>105263</v>
      </c>
      <c r="M82" s="217">
        <f t="shared" si="49"/>
        <v>526315</v>
      </c>
      <c r="N82" s="216">
        <v>105263</v>
      </c>
      <c r="O82" s="41">
        <f t="shared" si="50"/>
        <v>526315</v>
      </c>
      <c r="P82" s="68">
        <f t="shared" si="40"/>
        <v>105263</v>
      </c>
      <c r="Q82" s="68">
        <f t="shared" si="46"/>
        <v>526315</v>
      </c>
      <c r="R82" s="68">
        <f t="shared" si="21"/>
        <v>0</v>
      </c>
      <c r="S82" s="69">
        <f t="shared" si="22"/>
        <v>0</v>
      </c>
      <c r="T82" s="68">
        <f t="shared" si="23"/>
        <v>105263</v>
      </c>
      <c r="U82" s="68">
        <f t="shared" si="47"/>
        <v>526315</v>
      </c>
      <c r="V82" s="69">
        <f t="shared" si="24"/>
        <v>0</v>
      </c>
      <c r="W82" s="25"/>
      <c r="X82" s="25"/>
      <c r="Y82" s="27"/>
      <c r="Z82" s="28"/>
      <c r="AA82" s="28"/>
      <c r="AB82" s="28"/>
      <c r="AC82" s="28"/>
      <c r="AD82" s="28"/>
      <c r="AE82" s="28"/>
      <c r="AF82" s="28"/>
      <c r="AG82" s="28"/>
      <c r="AH82" s="28"/>
      <c r="AI82" s="28"/>
      <c r="AJ82" s="28"/>
      <c r="AK82" s="28"/>
    </row>
    <row r="83" spans="1:37" ht="31.5" x14ac:dyDescent="0.25">
      <c r="A83" s="13">
        <f t="shared" si="45"/>
        <v>3</v>
      </c>
      <c r="B83" s="675">
        <v>77</v>
      </c>
      <c r="C83" s="29">
        <v>82</v>
      </c>
      <c r="D83" s="49" t="s">
        <v>194</v>
      </c>
      <c r="E83" s="50" t="s">
        <v>195</v>
      </c>
      <c r="F83" s="32">
        <v>1</v>
      </c>
      <c r="G83" s="32" t="s">
        <v>24</v>
      </c>
      <c r="H83" s="33">
        <v>1</v>
      </c>
      <c r="I83" s="33" t="s">
        <v>29</v>
      </c>
      <c r="J83" s="67">
        <v>120000</v>
      </c>
      <c r="K83" s="34">
        <f t="shared" si="41"/>
        <v>120000</v>
      </c>
      <c r="L83" s="34">
        <v>134000</v>
      </c>
      <c r="M83" s="58">
        <f t="shared" ref="M83:M87" si="51">+L83*H83*F83</f>
        <v>134000</v>
      </c>
      <c r="N83" s="80">
        <v>142000</v>
      </c>
      <c r="O83" s="41">
        <f t="shared" si="43"/>
        <v>142000</v>
      </c>
      <c r="P83" s="68">
        <f t="shared" si="40"/>
        <v>132000</v>
      </c>
      <c r="Q83" s="68">
        <f t="shared" si="44"/>
        <v>132000</v>
      </c>
      <c r="R83" s="68">
        <f t="shared" si="21"/>
        <v>9092.1211313239037</v>
      </c>
      <c r="S83" s="69">
        <f t="shared" si="22"/>
        <v>6.8879705540332598E-2</v>
      </c>
      <c r="T83" s="68">
        <f t="shared" si="23"/>
        <v>134000</v>
      </c>
      <c r="U83" s="68">
        <f t="shared" si="35"/>
        <v>134000</v>
      </c>
      <c r="V83" s="69">
        <f t="shared" si="24"/>
        <v>6.7851650233760469E-2</v>
      </c>
      <c r="W83" s="25" t="s">
        <v>41</v>
      </c>
      <c r="X83" s="25" t="s">
        <v>42</v>
      </c>
      <c r="Y83" s="53" t="s">
        <v>43</v>
      </c>
      <c r="Z83" s="28"/>
      <c r="AA83" s="28"/>
      <c r="AB83" s="28"/>
      <c r="AC83" s="28"/>
      <c r="AD83" s="28"/>
      <c r="AE83" s="28"/>
      <c r="AF83" s="28"/>
      <c r="AG83" s="28"/>
      <c r="AH83" s="28"/>
      <c r="AI83" s="28"/>
      <c r="AJ83" s="28"/>
      <c r="AK83" s="28"/>
    </row>
    <row r="84" spans="1:37" ht="47.25" x14ac:dyDescent="0.25">
      <c r="A84" s="13">
        <f t="shared" si="45"/>
        <v>3</v>
      </c>
      <c r="B84" s="675">
        <v>78</v>
      </c>
      <c r="C84" s="42">
        <v>83</v>
      </c>
      <c r="D84" s="49" t="s">
        <v>196</v>
      </c>
      <c r="E84" s="50" t="s">
        <v>197</v>
      </c>
      <c r="F84" s="32">
        <v>15</v>
      </c>
      <c r="G84" s="32" t="s">
        <v>24</v>
      </c>
      <c r="H84" s="33">
        <v>1</v>
      </c>
      <c r="I84" s="33" t="s">
        <v>29</v>
      </c>
      <c r="J84" s="67">
        <v>14000</v>
      </c>
      <c r="K84" s="34">
        <f t="shared" si="41"/>
        <v>210000</v>
      </c>
      <c r="L84" s="34">
        <v>16000</v>
      </c>
      <c r="M84" s="58">
        <f t="shared" si="51"/>
        <v>240000</v>
      </c>
      <c r="N84" s="80">
        <v>17000</v>
      </c>
      <c r="O84" s="41">
        <f t="shared" si="43"/>
        <v>255000</v>
      </c>
      <c r="P84" s="68">
        <f t="shared" si="40"/>
        <v>15666.666666666666</v>
      </c>
      <c r="Q84" s="68">
        <f t="shared" si="44"/>
        <v>235000</v>
      </c>
      <c r="R84" s="68">
        <f t="shared" si="21"/>
        <v>1247.2191289246471</v>
      </c>
      <c r="S84" s="69">
        <f t="shared" si="22"/>
        <v>7.9609731633488112E-2</v>
      </c>
      <c r="T84" s="68">
        <f t="shared" si="23"/>
        <v>16000</v>
      </c>
      <c r="U84" s="68">
        <f t="shared" si="35"/>
        <v>240000</v>
      </c>
      <c r="V84" s="69">
        <f t="shared" si="24"/>
        <v>7.795119555779044E-2</v>
      </c>
      <c r="W84" s="25" t="s">
        <v>41</v>
      </c>
      <c r="X84" s="25" t="s">
        <v>42</v>
      </c>
      <c r="Y84" s="53" t="s">
        <v>43</v>
      </c>
      <c r="Z84" s="28"/>
      <c r="AA84" s="28"/>
      <c r="AB84" s="28"/>
      <c r="AC84" s="28"/>
      <c r="AD84" s="28"/>
      <c r="AE84" s="28"/>
      <c r="AF84" s="28"/>
      <c r="AG84" s="28"/>
      <c r="AH84" s="28"/>
      <c r="AI84" s="28"/>
      <c r="AJ84" s="28"/>
      <c r="AK84" s="28"/>
    </row>
    <row r="85" spans="1:37" ht="63" x14ac:dyDescent="0.25">
      <c r="A85" s="13">
        <f t="shared" si="45"/>
        <v>3</v>
      </c>
      <c r="B85" s="675">
        <v>79</v>
      </c>
      <c r="C85" s="29">
        <v>84</v>
      </c>
      <c r="D85" s="30" t="s">
        <v>198</v>
      </c>
      <c r="E85" s="31" t="s">
        <v>199</v>
      </c>
      <c r="F85" s="32">
        <v>15</v>
      </c>
      <c r="G85" s="32" t="s">
        <v>24</v>
      </c>
      <c r="H85" s="33">
        <v>1</v>
      </c>
      <c r="I85" s="33" t="s">
        <v>29</v>
      </c>
      <c r="J85" s="34">
        <v>4500</v>
      </c>
      <c r="K85" s="34">
        <f t="shared" si="41"/>
        <v>67500</v>
      </c>
      <c r="L85" s="43">
        <v>5000</v>
      </c>
      <c r="M85" s="147">
        <f t="shared" si="51"/>
        <v>75000</v>
      </c>
      <c r="N85" s="43">
        <v>5000</v>
      </c>
      <c r="O85" s="41">
        <f t="shared" si="43"/>
        <v>75000</v>
      </c>
      <c r="P85" s="68">
        <f t="shared" si="40"/>
        <v>4833.333333333333</v>
      </c>
      <c r="Q85" s="68">
        <f t="shared" si="44"/>
        <v>72500</v>
      </c>
      <c r="R85" s="68">
        <f t="shared" si="21"/>
        <v>235.70226039551585</v>
      </c>
      <c r="S85" s="69">
        <f t="shared" si="22"/>
        <v>4.8765984909417075E-2</v>
      </c>
      <c r="T85" s="68">
        <f t="shared" si="23"/>
        <v>5000</v>
      </c>
      <c r="U85" s="68">
        <f t="shared" si="35"/>
        <v>75000</v>
      </c>
      <c r="V85" s="69">
        <f t="shared" si="24"/>
        <v>4.7140452079103168E-2</v>
      </c>
      <c r="W85" s="25" t="s">
        <v>41</v>
      </c>
      <c r="X85" s="25" t="s">
        <v>42</v>
      </c>
      <c r="Y85" s="53" t="s">
        <v>43</v>
      </c>
      <c r="Z85" s="28"/>
      <c r="AA85" s="28"/>
      <c r="AB85" s="28"/>
      <c r="AC85" s="28"/>
      <c r="AD85" s="28"/>
      <c r="AE85" s="28"/>
      <c r="AF85" s="28"/>
      <c r="AG85" s="28"/>
      <c r="AH85" s="28"/>
      <c r="AI85" s="28"/>
      <c r="AJ85" s="28"/>
      <c r="AK85" s="28"/>
    </row>
    <row r="86" spans="1:37" ht="31.5" x14ac:dyDescent="0.25">
      <c r="A86" s="13">
        <f t="shared" si="45"/>
        <v>3</v>
      </c>
      <c r="B86" s="675">
        <v>80</v>
      </c>
      <c r="C86" s="42">
        <v>85</v>
      </c>
      <c r="D86" s="30" t="s">
        <v>200</v>
      </c>
      <c r="E86" s="31" t="s">
        <v>201</v>
      </c>
      <c r="F86" s="32">
        <v>2</v>
      </c>
      <c r="G86" s="32" t="s">
        <v>24</v>
      </c>
      <c r="H86" s="33">
        <v>1</v>
      </c>
      <c r="I86" s="33" t="s">
        <v>29</v>
      </c>
      <c r="J86" s="34">
        <f>+(19500*100)/119</f>
        <v>16386.55462184874</v>
      </c>
      <c r="K86" s="40">
        <f t="shared" si="41"/>
        <v>32773.10924369748</v>
      </c>
      <c r="L86" s="35">
        <f>+(17407*100)/119</f>
        <v>14627.731092436974</v>
      </c>
      <c r="M86" s="35">
        <f t="shared" si="51"/>
        <v>29255.462184873948</v>
      </c>
      <c r="N86" s="115">
        <f>+(16650*100)/119</f>
        <v>13991.596638655463</v>
      </c>
      <c r="O86" s="41">
        <f t="shared" si="43"/>
        <v>27983.193277310926</v>
      </c>
      <c r="P86" s="68">
        <f t="shared" si="40"/>
        <v>15001.960784313726</v>
      </c>
      <c r="Q86" s="68">
        <f t="shared" si="44"/>
        <v>30003.921568627451</v>
      </c>
      <c r="R86" s="68">
        <f t="shared" si="21"/>
        <v>1012.913893025769</v>
      </c>
      <c r="S86" s="69">
        <f t="shared" si="22"/>
        <v>6.7518766885785148E-2</v>
      </c>
      <c r="T86" s="68">
        <f t="shared" si="23"/>
        <v>14627.731092436974</v>
      </c>
      <c r="U86" s="68">
        <f t="shared" si="35"/>
        <v>29255.462184873948</v>
      </c>
      <c r="V86" s="69">
        <f t="shared" si="24"/>
        <v>6.9246138490300743E-2</v>
      </c>
      <c r="W86" s="25" t="s">
        <v>202</v>
      </c>
      <c r="X86" s="25" t="s">
        <v>203</v>
      </c>
      <c r="Y86" s="27" t="s">
        <v>204</v>
      </c>
      <c r="Z86" s="28" t="s">
        <v>205</v>
      </c>
      <c r="AA86" s="28" t="s">
        <v>206</v>
      </c>
      <c r="AB86" s="28"/>
      <c r="AC86" s="28"/>
      <c r="AD86" s="28"/>
      <c r="AE86" s="28"/>
      <c r="AF86" s="28"/>
      <c r="AG86" s="28"/>
      <c r="AH86" s="28"/>
      <c r="AI86" s="28"/>
      <c r="AJ86" s="28"/>
      <c r="AK86" s="28"/>
    </row>
    <row r="87" spans="1:37" ht="157.5" x14ac:dyDescent="0.25">
      <c r="A87" s="13">
        <f t="shared" si="45"/>
        <v>3</v>
      </c>
      <c r="B87" s="675">
        <v>81</v>
      </c>
      <c r="C87" s="29">
        <v>86</v>
      </c>
      <c r="D87" s="30" t="s">
        <v>207</v>
      </c>
      <c r="E87" s="31" t="s">
        <v>208</v>
      </c>
      <c r="F87" s="32">
        <v>30</v>
      </c>
      <c r="G87" s="32" t="s">
        <v>24</v>
      </c>
      <c r="H87" s="33">
        <v>1</v>
      </c>
      <c r="I87" s="33" t="s">
        <v>29</v>
      </c>
      <c r="J87" s="34">
        <f>+(10756*100)/119</f>
        <v>9038.6554621848736</v>
      </c>
      <c r="K87" s="40">
        <f t="shared" si="41"/>
        <v>271159.66386554623</v>
      </c>
      <c r="L87" s="35">
        <f>+(12017*100)/119</f>
        <v>10098.319327731093</v>
      </c>
      <c r="M87" s="35">
        <f t="shared" si="51"/>
        <v>302949.57983193279</v>
      </c>
      <c r="N87" s="35">
        <f>+(10900*100)/119</f>
        <v>9159.6638655462193</v>
      </c>
      <c r="O87" s="41">
        <f t="shared" si="43"/>
        <v>274789.91596638656</v>
      </c>
      <c r="P87" s="68">
        <f t="shared" si="40"/>
        <v>9432.212885154062</v>
      </c>
      <c r="Q87" s="68">
        <f t="shared" si="44"/>
        <v>282966.38655462186</v>
      </c>
      <c r="R87" s="68">
        <f t="shared" si="21"/>
        <v>473.59202066264169</v>
      </c>
      <c r="S87" s="69">
        <f t="shared" si="22"/>
        <v>5.0210064852125764E-2</v>
      </c>
      <c r="T87" s="68">
        <f t="shared" si="23"/>
        <v>9159.6638655462193</v>
      </c>
      <c r="U87" s="68">
        <f t="shared" si="35"/>
        <v>274789.91596638656</v>
      </c>
      <c r="V87" s="69">
        <f t="shared" si="24"/>
        <v>5.1704082989774636E-2</v>
      </c>
      <c r="W87" s="47" t="s">
        <v>209</v>
      </c>
      <c r="X87" s="47" t="s">
        <v>210</v>
      </c>
      <c r="Y87" s="48" t="s">
        <v>211</v>
      </c>
      <c r="Z87" s="219">
        <f>SUM(Q73:Q87)</f>
        <v>91335314.308123261</v>
      </c>
      <c r="AA87" s="219">
        <f>SUM(U73:U87)</f>
        <v>91819889.378151268</v>
      </c>
      <c r="AB87" s="28"/>
      <c r="AC87" s="28"/>
      <c r="AD87" s="28"/>
      <c r="AE87" s="28"/>
      <c r="AF87" s="28"/>
      <c r="AG87" s="28"/>
      <c r="AH87" s="28"/>
      <c r="AI87" s="28"/>
      <c r="AJ87" s="28"/>
      <c r="AK87" s="28"/>
    </row>
    <row r="88" spans="1:37" ht="21" customHeight="1" x14ac:dyDescent="0.25">
      <c r="A88" s="220"/>
      <c r="B88" s="220"/>
      <c r="C88" s="220"/>
      <c r="D88" s="220"/>
      <c r="E88" s="221" t="s">
        <v>212</v>
      </c>
      <c r="F88" s="222"/>
      <c r="G88" s="222"/>
      <c r="H88" s="222"/>
      <c r="I88" s="222"/>
      <c r="J88" s="222"/>
      <c r="K88" s="222"/>
      <c r="L88" s="222"/>
      <c r="M88" s="222"/>
      <c r="N88" s="222"/>
      <c r="O88" s="222"/>
      <c r="P88" s="222"/>
      <c r="Q88" s="222"/>
      <c r="R88" s="222"/>
      <c r="S88" s="222"/>
      <c r="T88" s="222"/>
      <c r="U88" s="222"/>
      <c r="V88" s="222"/>
      <c r="W88" s="222"/>
      <c r="X88" s="222"/>
      <c r="Y88" s="223"/>
      <c r="Z88" s="28"/>
      <c r="AA88" s="28"/>
      <c r="AB88" s="28"/>
      <c r="AC88" s="28"/>
      <c r="AD88" s="28"/>
      <c r="AE88" s="28"/>
      <c r="AF88" s="28"/>
      <c r="AG88" s="28"/>
      <c r="AH88" s="28"/>
      <c r="AI88" s="28"/>
      <c r="AJ88" s="28"/>
      <c r="AK88" s="28"/>
    </row>
    <row r="89" spans="1:37" ht="126" x14ac:dyDescent="0.25">
      <c r="A89" s="13">
        <f t="shared" si="30"/>
        <v>3</v>
      </c>
      <c r="B89" s="675">
        <v>82</v>
      </c>
      <c r="C89" s="38">
        <v>87</v>
      </c>
      <c r="D89" s="224" t="s">
        <v>177</v>
      </c>
      <c r="E89" s="225" t="s">
        <v>213</v>
      </c>
      <c r="F89" s="32">
        <v>100</v>
      </c>
      <c r="G89" s="32" t="s">
        <v>24</v>
      </c>
      <c r="H89" s="33">
        <v>1</v>
      </c>
      <c r="I89" s="33" t="s">
        <v>29</v>
      </c>
      <c r="J89" s="80">
        <v>1700000</v>
      </c>
      <c r="K89" s="40">
        <f>+J89*H89</f>
        <v>1700000</v>
      </c>
      <c r="L89" s="83">
        <v>1450000</v>
      </c>
      <c r="M89" s="35">
        <f>+L89*H89</f>
        <v>1450000</v>
      </c>
      <c r="N89" s="83">
        <v>1428000</v>
      </c>
      <c r="O89" s="41">
        <f>+N89*H89</f>
        <v>1428000</v>
      </c>
      <c r="P89" s="68">
        <f t="shared" ref="P89:P106" si="52">+AVERAGE(J89,L89,N89)</f>
        <v>1526000</v>
      </c>
      <c r="Q89" s="68">
        <f>+P89*H89</f>
        <v>1526000</v>
      </c>
      <c r="R89" s="68">
        <f t="shared" ref="R89:R106" si="53">+_xlfn.STDEV.P(J89,L89,N89)</f>
        <v>123363.96016125077</v>
      </c>
      <c r="S89" s="69">
        <f t="shared" ref="S89:S106" si="54">+R89/P89</f>
        <v>8.0841389358617802E-2</v>
      </c>
      <c r="T89" s="68">
        <f t="shared" ref="T89:T106" si="55">+MEDIAN(J89,L89,N89)</f>
        <v>1450000</v>
      </c>
      <c r="U89" s="68">
        <f>+T89*H89</f>
        <v>1450000</v>
      </c>
      <c r="V89" s="69">
        <f t="shared" ref="V89:V106" si="56">+R89/T89</f>
        <v>8.5078593214655704E-2</v>
      </c>
      <c r="W89" s="226" t="s">
        <v>179</v>
      </c>
      <c r="X89" s="226" t="s">
        <v>180</v>
      </c>
      <c r="Y89" s="227" t="s">
        <v>181</v>
      </c>
      <c r="Z89" s="28"/>
      <c r="AA89" s="28"/>
      <c r="AB89" s="28"/>
      <c r="AC89" s="28"/>
      <c r="AD89" s="28"/>
      <c r="AE89" s="28"/>
      <c r="AF89" s="28"/>
      <c r="AG89" s="28"/>
      <c r="AH89" s="28"/>
      <c r="AI89" s="28"/>
      <c r="AJ89" s="28"/>
      <c r="AK89" s="28"/>
    </row>
    <row r="90" spans="1:37" ht="209.1" customHeight="1" x14ac:dyDescent="0.25">
      <c r="A90" s="13">
        <f t="shared" si="30"/>
        <v>3</v>
      </c>
      <c r="B90" s="675">
        <v>83</v>
      </c>
      <c r="C90" s="42">
        <v>88</v>
      </c>
      <c r="D90" s="215" t="s">
        <v>214</v>
      </c>
      <c r="E90" s="218" t="s">
        <v>215</v>
      </c>
      <c r="F90" s="32">
        <v>5</v>
      </c>
      <c r="G90" s="32" t="s">
        <v>24</v>
      </c>
      <c r="H90" s="33"/>
      <c r="I90" s="33"/>
      <c r="J90" s="228">
        <v>2631579</v>
      </c>
      <c r="K90" s="64">
        <f t="shared" ref="K90:K95" si="57">+J90*F90</f>
        <v>13157895</v>
      </c>
      <c r="L90" s="228">
        <v>2631579</v>
      </c>
      <c r="M90" s="217">
        <f t="shared" ref="M90:M95" si="58">+L90*F90</f>
        <v>13157895</v>
      </c>
      <c r="N90" s="228">
        <v>2631579</v>
      </c>
      <c r="O90" s="41">
        <f t="shared" ref="O90:O95" si="59">+N90*F90</f>
        <v>13157895</v>
      </c>
      <c r="P90" s="68">
        <f t="shared" si="52"/>
        <v>2631579</v>
      </c>
      <c r="Q90" s="68">
        <f t="shared" ref="Q90:Q92" si="60">+P90*F90</f>
        <v>13157895</v>
      </c>
      <c r="R90" s="68">
        <f t="shared" si="53"/>
        <v>0</v>
      </c>
      <c r="S90" s="69">
        <f t="shared" si="54"/>
        <v>0</v>
      </c>
      <c r="T90" s="68">
        <f t="shared" si="55"/>
        <v>2631579</v>
      </c>
      <c r="U90" s="68">
        <f t="shared" ref="U90:U92" si="61">+T90*F90</f>
        <v>13157895</v>
      </c>
      <c r="V90" s="69">
        <f t="shared" si="56"/>
        <v>0</v>
      </c>
      <c r="W90" s="28" t="s">
        <v>216</v>
      </c>
      <c r="X90" s="33"/>
      <c r="Y90" s="28"/>
      <c r="Z90" s="28"/>
      <c r="AA90" s="28"/>
      <c r="AB90" s="28"/>
      <c r="AC90" s="28"/>
      <c r="AD90" s="28"/>
      <c r="AE90" s="28"/>
      <c r="AF90" s="28"/>
      <c r="AG90" s="28"/>
      <c r="AH90" s="28"/>
      <c r="AI90" s="28"/>
      <c r="AJ90" s="28"/>
      <c r="AK90" s="28"/>
    </row>
    <row r="91" spans="1:37" ht="204" customHeight="1" x14ac:dyDescent="0.25">
      <c r="A91" s="13">
        <f t="shared" si="30"/>
        <v>3</v>
      </c>
      <c r="B91" s="675">
        <v>84</v>
      </c>
      <c r="C91" s="38">
        <v>89</v>
      </c>
      <c r="D91" s="215" t="s">
        <v>217</v>
      </c>
      <c r="E91" s="218" t="s">
        <v>187</v>
      </c>
      <c r="F91" s="32">
        <v>3</v>
      </c>
      <c r="G91" s="32" t="s">
        <v>24</v>
      </c>
      <c r="H91" s="33"/>
      <c r="I91" s="33"/>
      <c r="J91" s="228">
        <v>1578947</v>
      </c>
      <c r="K91" s="64">
        <f t="shared" si="57"/>
        <v>4736841</v>
      </c>
      <c r="L91" s="228">
        <v>1578947</v>
      </c>
      <c r="M91" s="217">
        <f t="shared" si="58"/>
        <v>4736841</v>
      </c>
      <c r="N91" s="228">
        <v>1578947</v>
      </c>
      <c r="O91" s="41">
        <f t="shared" si="59"/>
        <v>4736841</v>
      </c>
      <c r="P91" s="68">
        <f t="shared" si="52"/>
        <v>1578947</v>
      </c>
      <c r="Q91" s="68">
        <f t="shared" si="60"/>
        <v>4736841</v>
      </c>
      <c r="R91" s="68">
        <f t="shared" si="53"/>
        <v>0</v>
      </c>
      <c r="S91" s="69">
        <f t="shared" si="54"/>
        <v>0</v>
      </c>
      <c r="T91" s="68">
        <f t="shared" si="55"/>
        <v>1578947</v>
      </c>
      <c r="U91" s="68">
        <f t="shared" si="61"/>
        <v>4736841</v>
      </c>
      <c r="V91" s="69">
        <f t="shared" si="56"/>
        <v>0</v>
      </c>
      <c r="W91" s="28" t="s">
        <v>216</v>
      </c>
      <c r="X91" s="33"/>
      <c r="Y91" s="28"/>
      <c r="Z91" s="28"/>
      <c r="AA91" s="28"/>
      <c r="AB91" s="28"/>
      <c r="AC91" s="28"/>
      <c r="AD91" s="28"/>
      <c r="AE91" s="28"/>
      <c r="AF91" s="28"/>
      <c r="AG91" s="28"/>
      <c r="AH91" s="28"/>
      <c r="AI91" s="28"/>
      <c r="AJ91" s="28"/>
      <c r="AK91" s="28"/>
    </row>
    <row r="92" spans="1:37" ht="200.65" customHeight="1" x14ac:dyDescent="0.25">
      <c r="A92" s="13">
        <f t="shared" si="30"/>
        <v>3</v>
      </c>
      <c r="B92" s="675">
        <v>85</v>
      </c>
      <c r="C92" s="42">
        <v>90</v>
      </c>
      <c r="D92" s="215" t="s">
        <v>218</v>
      </c>
      <c r="E92" s="218" t="s">
        <v>219</v>
      </c>
      <c r="F92" s="32">
        <v>3</v>
      </c>
      <c r="G92" s="32" t="s">
        <v>24</v>
      </c>
      <c r="H92" s="33"/>
      <c r="I92" s="33"/>
      <c r="J92" s="228">
        <v>1578947</v>
      </c>
      <c r="K92" s="64">
        <f t="shared" si="57"/>
        <v>4736841</v>
      </c>
      <c r="L92" s="228">
        <v>1578947</v>
      </c>
      <c r="M92" s="217">
        <f t="shared" si="58"/>
        <v>4736841</v>
      </c>
      <c r="N92" s="228">
        <v>1578947</v>
      </c>
      <c r="O92" s="41">
        <f t="shared" si="59"/>
        <v>4736841</v>
      </c>
      <c r="P92" s="68">
        <f t="shared" si="52"/>
        <v>1578947</v>
      </c>
      <c r="Q92" s="68">
        <f t="shared" si="60"/>
        <v>4736841</v>
      </c>
      <c r="R92" s="68">
        <f t="shared" si="53"/>
        <v>0</v>
      </c>
      <c r="S92" s="69">
        <f t="shared" si="54"/>
        <v>0</v>
      </c>
      <c r="T92" s="68">
        <f t="shared" si="55"/>
        <v>1578947</v>
      </c>
      <c r="U92" s="68">
        <f t="shared" si="61"/>
        <v>4736841</v>
      </c>
      <c r="V92" s="69">
        <f t="shared" si="56"/>
        <v>0</v>
      </c>
      <c r="W92" s="28" t="s">
        <v>216</v>
      </c>
      <c r="X92" s="33"/>
      <c r="Y92" s="28"/>
      <c r="Z92" s="28"/>
      <c r="AA92" s="28"/>
      <c r="AB92" s="28"/>
      <c r="AC92" s="28"/>
      <c r="AD92" s="28"/>
      <c r="AE92" s="28"/>
      <c r="AF92" s="28"/>
      <c r="AG92" s="28"/>
      <c r="AH92" s="28"/>
      <c r="AI92" s="28"/>
      <c r="AJ92" s="28"/>
      <c r="AK92" s="28"/>
    </row>
    <row r="93" spans="1:37" ht="201" customHeight="1" x14ac:dyDescent="0.25">
      <c r="A93" s="13">
        <f t="shared" si="30"/>
        <v>3</v>
      </c>
      <c r="B93" s="675">
        <v>86</v>
      </c>
      <c r="C93" s="38">
        <v>91</v>
      </c>
      <c r="D93" s="229" t="s">
        <v>220</v>
      </c>
      <c r="E93" s="230" t="s">
        <v>221</v>
      </c>
      <c r="F93" s="32">
        <v>3</v>
      </c>
      <c r="G93" s="32" t="s">
        <v>24</v>
      </c>
      <c r="H93" s="33">
        <v>1</v>
      </c>
      <c r="I93" s="33" t="s">
        <v>29</v>
      </c>
      <c r="J93" s="228">
        <v>526316</v>
      </c>
      <c r="K93" s="64">
        <f t="shared" si="41"/>
        <v>1578948</v>
      </c>
      <c r="L93" s="228">
        <v>526316</v>
      </c>
      <c r="M93" s="217">
        <f t="shared" ref="M93:M106" si="62">+L93*H93*F93</f>
        <v>1578948</v>
      </c>
      <c r="N93" s="228">
        <v>526316</v>
      </c>
      <c r="O93" s="41">
        <f t="shared" si="43"/>
        <v>1578948</v>
      </c>
      <c r="P93" s="68">
        <f t="shared" si="52"/>
        <v>526316</v>
      </c>
      <c r="Q93" s="68">
        <f t="shared" ref="Q93:Q106" si="63">+P93*H93*F93</f>
        <v>1578948</v>
      </c>
      <c r="R93" s="68">
        <f t="shared" si="53"/>
        <v>0</v>
      </c>
      <c r="S93" s="69">
        <f t="shared" si="54"/>
        <v>0</v>
      </c>
      <c r="T93" s="68">
        <f t="shared" si="55"/>
        <v>526316</v>
      </c>
      <c r="U93" s="68">
        <f t="shared" ref="U93:U106" si="64">+T93*F93*H93</f>
        <v>1578948</v>
      </c>
      <c r="V93" s="69">
        <f t="shared" si="56"/>
        <v>0</v>
      </c>
      <c r="W93" s="28" t="s">
        <v>216</v>
      </c>
      <c r="X93" s="33"/>
      <c r="Y93" s="28"/>
      <c r="Z93" s="28"/>
      <c r="AA93" s="28"/>
      <c r="AB93" s="28"/>
      <c r="AC93" s="28"/>
      <c r="AD93" s="28"/>
      <c r="AE93" s="28"/>
      <c r="AF93" s="28"/>
      <c r="AG93" s="28"/>
      <c r="AH93" s="28"/>
      <c r="AI93" s="28"/>
      <c r="AJ93" s="28"/>
      <c r="AK93" s="28"/>
    </row>
    <row r="94" spans="1:37" ht="203.1" customHeight="1" x14ac:dyDescent="0.25">
      <c r="A94" s="13">
        <f t="shared" si="30"/>
        <v>3</v>
      </c>
      <c r="B94" s="675">
        <v>87</v>
      </c>
      <c r="C94" s="42">
        <v>92</v>
      </c>
      <c r="D94" s="215" t="s">
        <v>188</v>
      </c>
      <c r="E94" s="218" t="s">
        <v>222</v>
      </c>
      <c r="F94" s="32">
        <v>3</v>
      </c>
      <c r="G94" s="32" t="s">
        <v>24</v>
      </c>
      <c r="H94" s="33"/>
      <c r="I94" s="33"/>
      <c r="J94" s="228">
        <v>1052632</v>
      </c>
      <c r="K94" s="64">
        <f t="shared" si="57"/>
        <v>3157896</v>
      </c>
      <c r="L94" s="228">
        <v>1052632</v>
      </c>
      <c r="M94" s="217">
        <f t="shared" si="58"/>
        <v>3157896</v>
      </c>
      <c r="N94" s="228">
        <v>1052632</v>
      </c>
      <c r="O94" s="41">
        <f t="shared" si="59"/>
        <v>3157896</v>
      </c>
      <c r="P94" s="68">
        <f t="shared" si="52"/>
        <v>1052632</v>
      </c>
      <c r="Q94" s="68">
        <f t="shared" ref="Q94:Q95" si="65">+P94*F94</f>
        <v>3157896</v>
      </c>
      <c r="R94" s="68">
        <f t="shared" si="53"/>
        <v>0</v>
      </c>
      <c r="S94" s="69">
        <f t="shared" si="54"/>
        <v>0</v>
      </c>
      <c r="T94" s="68">
        <f t="shared" si="55"/>
        <v>1052632</v>
      </c>
      <c r="U94" s="68">
        <f t="shared" ref="U94:U95" si="66">+T94*F94</f>
        <v>3157896</v>
      </c>
      <c r="V94" s="69">
        <f t="shared" si="56"/>
        <v>0</v>
      </c>
      <c r="W94" s="28" t="s">
        <v>216</v>
      </c>
      <c r="X94" s="33"/>
      <c r="Y94" s="28"/>
      <c r="Z94" s="28"/>
      <c r="AA94" s="28"/>
      <c r="AB94" s="28"/>
      <c r="AC94" s="28"/>
      <c r="AD94" s="28"/>
      <c r="AE94" s="28"/>
      <c r="AF94" s="28"/>
      <c r="AG94" s="28"/>
      <c r="AH94" s="28"/>
      <c r="AI94" s="28"/>
      <c r="AJ94" s="28"/>
      <c r="AK94" s="28"/>
    </row>
    <row r="95" spans="1:37" ht="147.6" customHeight="1" x14ac:dyDescent="0.25">
      <c r="A95" s="13">
        <f t="shared" si="30"/>
        <v>3</v>
      </c>
      <c r="B95" s="675">
        <v>88</v>
      </c>
      <c r="C95" s="38">
        <v>93</v>
      </c>
      <c r="D95" s="212" t="s">
        <v>223</v>
      </c>
      <c r="E95" s="218" t="s">
        <v>224</v>
      </c>
      <c r="F95" s="32">
        <v>2</v>
      </c>
      <c r="G95" s="32" t="s">
        <v>24</v>
      </c>
      <c r="H95" s="33"/>
      <c r="I95" s="33"/>
      <c r="J95" s="228">
        <v>526316</v>
      </c>
      <c r="K95" s="64">
        <f t="shared" si="57"/>
        <v>1052632</v>
      </c>
      <c r="L95" s="228">
        <v>526316</v>
      </c>
      <c r="M95" s="217">
        <f t="shared" si="58"/>
        <v>1052632</v>
      </c>
      <c r="N95" s="228">
        <v>526316</v>
      </c>
      <c r="O95" s="41">
        <f t="shared" si="59"/>
        <v>1052632</v>
      </c>
      <c r="P95" s="68">
        <f t="shared" si="52"/>
        <v>526316</v>
      </c>
      <c r="Q95" s="68">
        <f t="shared" si="65"/>
        <v>1052632</v>
      </c>
      <c r="R95" s="68">
        <f t="shared" si="53"/>
        <v>0</v>
      </c>
      <c r="S95" s="69">
        <f t="shared" si="54"/>
        <v>0</v>
      </c>
      <c r="T95" s="68">
        <f t="shared" si="55"/>
        <v>526316</v>
      </c>
      <c r="U95" s="68">
        <f t="shared" si="66"/>
        <v>1052632</v>
      </c>
      <c r="V95" s="69">
        <f t="shared" si="56"/>
        <v>0</v>
      </c>
      <c r="W95" s="28" t="s">
        <v>216</v>
      </c>
      <c r="X95" s="77"/>
      <c r="Y95" s="28"/>
      <c r="Z95" s="28"/>
      <c r="AA95" s="28"/>
      <c r="AB95" s="28"/>
      <c r="AC95" s="28"/>
      <c r="AD95" s="28"/>
      <c r="AE95" s="28"/>
      <c r="AF95" s="28"/>
      <c r="AG95" s="28"/>
      <c r="AH95" s="28"/>
      <c r="AI95" s="28"/>
      <c r="AJ95" s="28"/>
      <c r="AK95" s="28"/>
    </row>
    <row r="96" spans="1:37" ht="97.15" customHeight="1" x14ac:dyDescent="0.25">
      <c r="A96" s="13">
        <f t="shared" si="30"/>
        <v>3</v>
      </c>
      <c r="B96" s="675">
        <v>89</v>
      </c>
      <c r="C96" s="42">
        <v>94</v>
      </c>
      <c r="D96" s="49" t="s">
        <v>225</v>
      </c>
      <c r="E96" s="50" t="s">
        <v>226</v>
      </c>
      <c r="F96" s="32">
        <v>2</v>
      </c>
      <c r="G96" s="32" t="s">
        <v>24</v>
      </c>
      <c r="H96" s="33">
        <v>1</v>
      </c>
      <c r="I96" s="33" t="s">
        <v>29</v>
      </c>
      <c r="J96" s="231">
        <v>155462</v>
      </c>
      <c r="K96" s="45">
        <f t="shared" si="41"/>
        <v>310924</v>
      </c>
      <c r="L96" s="231">
        <v>141008</v>
      </c>
      <c r="M96" s="232">
        <f t="shared" si="62"/>
        <v>282016</v>
      </c>
      <c r="N96" s="231">
        <f>+(140000*5.35%)+140000</f>
        <v>147490</v>
      </c>
      <c r="O96" s="41">
        <f t="shared" si="43"/>
        <v>294980</v>
      </c>
      <c r="P96" s="68">
        <f t="shared" si="52"/>
        <v>147986.66666666666</v>
      </c>
      <c r="Q96" s="68">
        <f t="shared" si="63"/>
        <v>295973.33333333331</v>
      </c>
      <c r="R96" s="68">
        <f t="shared" si="53"/>
        <v>5911.2625460969748</v>
      </c>
      <c r="S96" s="69">
        <f t="shared" si="54"/>
        <v>3.9944561758471317E-2</v>
      </c>
      <c r="T96" s="68">
        <f t="shared" si="55"/>
        <v>147490</v>
      </c>
      <c r="U96" s="68">
        <f t="shared" si="64"/>
        <v>294980</v>
      </c>
      <c r="V96" s="69">
        <f t="shared" si="56"/>
        <v>4.0079073470045253E-2</v>
      </c>
      <c r="W96" s="86" t="s">
        <v>227</v>
      </c>
      <c r="X96" s="86" t="s">
        <v>228</v>
      </c>
      <c r="Y96" s="53" t="s">
        <v>229</v>
      </c>
      <c r="Z96" s="28"/>
      <c r="AA96" s="28"/>
      <c r="AB96" s="28"/>
      <c r="AC96" s="28"/>
      <c r="AD96" s="28"/>
      <c r="AE96" s="28"/>
      <c r="AF96" s="28"/>
      <c r="AG96" s="28"/>
      <c r="AH96" s="28"/>
      <c r="AI96" s="28"/>
      <c r="AJ96" s="28"/>
      <c r="AK96" s="28"/>
    </row>
    <row r="97" spans="1:37" ht="63" x14ac:dyDescent="0.25">
      <c r="A97" s="13">
        <f t="shared" si="30"/>
        <v>3</v>
      </c>
      <c r="B97" s="675">
        <v>90</v>
      </c>
      <c r="C97" s="38">
        <v>95</v>
      </c>
      <c r="D97" s="30" t="s">
        <v>198</v>
      </c>
      <c r="E97" s="31" t="s">
        <v>199</v>
      </c>
      <c r="F97" s="32">
        <v>17</v>
      </c>
      <c r="G97" s="32" t="s">
        <v>24</v>
      </c>
      <c r="H97" s="33">
        <v>1</v>
      </c>
      <c r="I97" s="33" t="s">
        <v>29</v>
      </c>
      <c r="J97" s="45">
        <v>4500</v>
      </c>
      <c r="K97" s="45">
        <f t="shared" si="41"/>
        <v>76500</v>
      </c>
      <c r="L97" s="233">
        <v>5000</v>
      </c>
      <c r="M97" s="234">
        <f t="shared" si="62"/>
        <v>85000</v>
      </c>
      <c r="N97" s="233">
        <v>5000</v>
      </c>
      <c r="O97" s="41">
        <f t="shared" si="43"/>
        <v>85000</v>
      </c>
      <c r="P97" s="68">
        <f t="shared" si="52"/>
        <v>4833.333333333333</v>
      </c>
      <c r="Q97" s="68">
        <f t="shared" si="63"/>
        <v>82166.666666666657</v>
      </c>
      <c r="R97" s="68">
        <f t="shared" si="53"/>
        <v>235.70226039551585</v>
      </c>
      <c r="S97" s="69">
        <f t="shared" si="54"/>
        <v>4.8765984909417075E-2</v>
      </c>
      <c r="T97" s="68">
        <f t="shared" si="55"/>
        <v>5000</v>
      </c>
      <c r="U97" s="68">
        <f t="shared" si="64"/>
        <v>85000</v>
      </c>
      <c r="V97" s="69">
        <f t="shared" si="56"/>
        <v>4.7140452079103168E-2</v>
      </c>
      <c r="W97" s="25" t="s">
        <v>41</v>
      </c>
      <c r="X97" s="25" t="s">
        <v>42</v>
      </c>
      <c r="Y97" s="53" t="s">
        <v>43</v>
      </c>
      <c r="Z97" s="28"/>
      <c r="AA97" s="28"/>
      <c r="AB97" s="28"/>
      <c r="AC97" s="28"/>
      <c r="AD97" s="28"/>
      <c r="AE97" s="28"/>
      <c r="AF97" s="28"/>
      <c r="AG97" s="28"/>
      <c r="AH97" s="28"/>
      <c r="AI97" s="28"/>
      <c r="AJ97" s="28"/>
      <c r="AK97" s="28"/>
    </row>
    <row r="98" spans="1:37" ht="31.5" x14ac:dyDescent="0.25">
      <c r="A98" s="13">
        <f t="shared" si="30"/>
        <v>3</v>
      </c>
      <c r="B98" s="675">
        <v>91</v>
      </c>
      <c r="C98" s="42">
        <v>96</v>
      </c>
      <c r="D98" s="49" t="s">
        <v>200</v>
      </c>
      <c r="E98" s="50" t="s">
        <v>230</v>
      </c>
      <c r="F98" s="51">
        <v>7</v>
      </c>
      <c r="G98" s="51" t="s">
        <v>24</v>
      </c>
      <c r="H98" s="52">
        <v>1</v>
      </c>
      <c r="I98" s="52" t="s">
        <v>29</v>
      </c>
      <c r="J98" s="45">
        <f>+(19500*100)/119</f>
        <v>16386.55462184874</v>
      </c>
      <c r="K98" s="46">
        <f t="shared" si="41"/>
        <v>114705.88235294117</v>
      </c>
      <c r="L98" s="182">
        <f>+(17407*100)/119</f>
        <v>14627.731092436974</v>
      </c>
      <c r="M98" s="182">
        <f t="shared" si="62"/>
        <v>102394.11764705883</v>
      </c>
      <c r="N98" s="235">
        <f>+(16650*100)/119</f>
        <v>13991.596638655463</v>
      </c>
      <c r="O98" s="41">
        <f t="shared" si="43"/>
        <v>97941.176470588238</v>
      </c>
      <c r="P98" s="68">
        <f t="shared" si="52"/>
        <v>15001.960784313726</v>
      </c>
      <c r="Q98" s="68">
        <f t="shared" si="63"/>
        <v>105013.72549019608</v>
      </c>
      <c r="R98" s="68">
        <f t="shared" si="53"/>
        <v>1012.913893025769</v>
      </c>
      <c r="S98" s="69">
        <f t="shared" si="54"/>
        <v>6.7518766885785148E-2</v>
      </c>
      <c r="T98" s="68">
        <f t="shared" si="55"/>
        <v>14627.731092436974</v>
      </c>
      <c r="U98" s="68">
        <f t="shared" si="64"/>
        <v>102394.11764705883</v>
      </c>
      <c r="V98" s="69">
        <f t="shared" si="56"/>
        <v>6.9246138490300743E-2</v>
      </c>
      <c r="W98" s="25" t="s">
        <v>202</v>
      </c>
      <c r="X98" s="25" t="s">
        <v>231</v>
      </c>
      <c r="Y98" s="27" t="s">
        <v>204</v>
      </c>
      <c r="Z98" s="28" t="s">
        <v>232</v>
      </c>
      <c r="AA98" s="28" t="s">
        <v>206</v>
      </c>
      <c r="AB98" s="28"/>
      <c r="AC98" s="28"/>
      <c r="AD98" s="28"/>
      <c r="AE98" s="28"/>
      <c r="AF98" s="28"/>
      <c r="AG98" s="28"/>
      <c r="AH98" s="28"/>
      <c r="AI98" s="28"/>
      <c r="AJ98" s="28"/>
      <c r="AK98" s="28"/>
    </row>
    <row r="99" spans="1:37" ht="157.5" x14ac:dyDescent="0.25">
      <c r="A99" s="13">
        <f t="shared" si="30"/>
        <v>3</v>
      </c>
      <c r="B99" s="675">
        <v>92</v>
      </c>
      <c r="C99" s="38">
        <v>97</v>
      </c>
      <c r="D99" s="30" t="s">
        <v>207</v>
      </c>
      <c r="E99" s="31" t="s">
        <v>208</v>
      </c>
      <c r="F99" s="32">
        <v>150</v>
      </c>
      <c r="G99" s="32" t="s">
        <v>24</v>
      </c>
      <c r="H99" s="33">
        <v>1</v>
      </c>
      <c r="I99" s="33" t="s">
        <v>29</v>
      </c>
      <c r="J99" s="45">
        <f>+(10756*100)/119</f>
        <v>9038.6554621848736</v>
      </c>
      <c r="K99" s="46">
        <f t="shared" si="41"/>
        <v>1355798.3193277312</v>
      </c>
      <c r="L99" s="182">
        <f>+(12017*100)/119</f>
        <v>10098.319327731093</v>
      </c>
      <c r="M99" s="182">
        <f t="shared" si="62"/>
        <v>1514747.8991596638</v>
      </c>
      <c r="N99" s="182">
        <f>+(10900*100)/119</f>
        <v>9159.6638655462193</v>
      </c>
      <c r="O99" s="41">
        <f t="shared" si="43"/>
        <v>1373949.5798319329</v>
      </c>
      <c r="P99" s="68">
        <f t="shared" si="52"/>
        <v>9432.212885154062</v>
      </c>
      <c r="Q99" s="68">
        <f t="shared" si="63"/>
        <v>1414831.9327731093</v>
      </c>
      <c r="R99" s="68">
        <f t="shared" si="53"/>
        <v>473.59202066264169</v>
      </c>
      <c r="S99" s="69">
        <f t="shared" si="54"/>
        <v>5.0210064852125764E-2</v>
      </c>
      <c r="T99" s="68">
        <f t="shared" si="55"/>
        <v>9159.6638655462193</v>
      </c>
      <c r="U99" s="68">
        <f t="shared" si="64"/>
        <v>1373949.5798319329</v>
      </c>
      <c r="V99" s="69">
        <f t="shared" si="56"/>
        <v>5.1704082989774636E-2</v>
      </c>
      <c r="W99" s="47" t="s">
        <v>209</v>
      </c>
      <c r="X99" s="47" t="s">
        <v>210</v>
      </c>
      <c r="Y99" s="48" t="s">
        <v>211</v>
      </c>
      <c r="Z99" s="236">
        <f>SUM(Q89:Q99)</f>
        <v>31845038.658263307</v>
      </c>
      <c r="AA99" s="237">
        <f>SUM(U89:U99)</f>
        <v>31727376.697478991</v>
      </c>
      <c r="AB99" s="28"/>
      <c r="AC99" s="28"/>
      <c r="AD99" s="28"/>
      <c r="AE99" s="28"/>
      <c r="AF99" s="28"/>
      <c r="AG99" s="28"/>
      <c r="AH99" s="28"/>
      <c r="AI99" s="28"/>
      <c r="AJ99" s="28"/>
      <c r="AK99" s="28"/>
    </row>
    <row r="100" spans="1:37" ht="35.65" customHeight="1" x14ac:dyDescent="0.25">
      <c r="A100" s="222"/>
      <c r="B100" s="222"/>
      <c r="C100" s="222"/>
      <c r="D100" s="222"/>
      <c r="E100" s="238" t="s">
        <v>233</v>
      </c>
      <c r="F100" s="222"/>
      <c r="G100" s="222"/>
      <c r="H100" s="222"/>
      <c r="I100" s="222"/>
      <c r="J100" s="222"/>
      <c r="K100" s="222"/>
      <c r="L100" s="222"/>
      <c r="M100" s="222"/>
      <c r="N100" s="222"/>
      <c r="O100" s="222"/>
      <c r="P100" s="222"/>
      <c r="Q100" s="222"/>
      <c r="R100" s="239"/>
      <c r="S100" s="239"/>
      <c r="T100" s="239"/>
      <c r="U100" s="239"/>
      <c r="V100" s="239"/>
      <c r="W100" s="239"/>
      <c r="X100" s="239"/>
      <c r="Y100" s="240"/>
      <c r="Z100" s="28"/>
      <c r="AA100" s="28"/>
      <c r="AB100" s="28"/>
      <c r="AC100" s="28"/>
      <c r="AD100" s="28"/>
      <c r="AE100" s="28"/>
      <c r="AF100" s="28"/>
      <c r="AG100" s="28"/>
      <c r="AH100" s="28"/>
      <c r="AI100" s="28"/>
      <c r="AJ100" s="28"/>
      <c r="AK100" s="28"/>
    </row>
    <row r="101" spans="1:37" ht="88.5" customHeight="1" x14ac:dyDescent="0.25">
      <c r="A101" s="13">
        <f t="shared" si="30"/>
        <v>3</v>
      </c>
      <c r="B101" s="675">
        <v>93</v>
      </c>
      <c r="C101" s="38">
        <v>98</v>
      </c>
      <c r="D101" s="212" t="s">
        <v>234</v>
      </c>
      <c r="E101" s="31" t="s">
        <v>235</v>
      </c>
      <c r="F101" s="32">
        <v>4</v>
      </c>
      <c r="G101" s="32" t="s">
        <v>24</v>
      </c>
      <c r="H101" s="33">
        <v>1</v>
      </c>
      <c r="I101" s="33" t="s">
        <v>36</v>
      </c>
      <c r="J101" s="231">
        <v>155462</v>
      </c>
      <c r="K101" s="45">
        <f t="shared" si="41"/>
        <v>621848</v>
      </c>
      <c r="L101" s="231">
        <v>141008</v>
      </c>
      <c r="M101" s="232">
        <f t="shared" si="62"/>
        <v>564032</v>
      </c>
      <c r="N101" s="45">
        <f>+(140000*5.35%)+140000</f>
        <v>147490</v>
      </c>
      <c r="O101" s="41">
        <f t="shared" si="43"/>
        <v>589960</v>
      </c>
      <c r="P101" s="68">
        <f t="shared" si="52"/>
        <v>147986.66666666666</v>
      </c>
      <c r="Q101" s="68">
        <f t="shared" si="63"/>
        <v>591946.66666666663</v>
      </c>
      <c r="R101" s="68">
        <f t="shared" si="53"/>
        <v>5911.2625460969748</v>
      </c>
      <c r="S101" s="69">
        <f t="shared" si="54"/>
        <v>3.9944561758471317E-2</v>
      </c>
      <c r="T101" s="68">
        <f t="shared" si="55"/>
        <v>147490</v>
      </c>
      <c r="U101" s="68">
        <f t="shared" si="64"/>
        <v>589960</v>
      </c>
      <c r="V101" s="69">
        <f t="shared" si="56"/>
        <v>4.0079073470045253E-2</v>
      </c>
      <c r="W101" s="86" t="s">
        <v>227</v>
      </c>
      <c r="X101" s="86" t="s">
        <v>228</v>
      </c>
      <c r="Y101" s="53" t="s">
        <v>229</v>
      </c>
      <c r="Z101" s="28"/>
      <c r="AA101" s="28"/>
      <c r="AB101" s="28"/>
      <c r="AC101" s="28"/>
      <c r="AD101" s="28"/>
      <c r="AE101" s="28"/>
      <c r="AF101" s="28"/>
      <c r="AG101" s="28"/>
      <c r="AH101" s="28"/>
      <c r="AI101" s="28"/>
      <c r="AJ101" s="28"/>
      <c r="AK101" s="28"/>
    </row>
    <row r="102" spans="1:37" ht="50.1" customHeight="1" x14ac:dyDescent="0.25">
      <c r="A102" s="13">
        <f t="shared" si="30"/>
        <v>3</v>
      </c>
      <c r="B102" s="675">
        <v>94</v>
      </c>
      <c r="C102" s="38">
        <v>99</v>
      </c>
      <c r="D102" s="30" t="s">
        <v>236</v>
      </c>
      <c r="E102" s="31" t="s">
        <v>237</v>
      </c>
      <c r="F102" s="32">
        <v>3</v>
      </c>
      <c r="G102" s="32" t="s">
        <v>24</v>
      </c>
      <c r="H102" s="33">
        <v>1</v>
      </c>
      <c r="I102" s="33" t="s">
        <v>36</v>
      </c>
      <c r="J102" s="241">
        <f>+(16940*100)/119</f>
        <v>14235.294117647059</v>
      </c>
      <c r="K102" s="46">
        <f t="shared" si="41"/>
        <v>42705.882352941175</v>
      </c>
      <c r="L102" s="242">
        <f>+(19400*100)/119</f>
        <v>16302.521008403361</v>
      </c>
      <c r="M102" s="182">
        <f t="shared" si="62"/>
        <v>48907.563025210082</v>
      </c>
      <c r="N102" s="243">
        <f>+(15000*100)/119</f>
        <v>12605.042016806723</v>
      </c>
      <c r="O102" s="41">
        <f t="shared" si="43"/>
        <v>37815.126050420171</v>
      </c>
      <c r="P102" s="68">
        <f t="shared" si="52"/>
        <v>14380.952380952382</v>
      </c>
      <c r="Q102" s="68">
        <f t="shared" si="63"/>
        <v>43142.857142857145</v>
      </c>
      <c r="R102" s="68">
        <f t="shared" si="53"/>
        <v>1512.9992224224584</v>
      </c>
      <c r="S102" s="69">
        <f t="shared" si="54"/>
        <v>0.10520855520156167</v>
      </c>
      <c r="T102" s="68">
        <f t="shared" si="55"/>
        <v>14235.294117647059</v>
      </c>
      <c r="U102" s="68">
        <f t="shared" si="64"/>
        <v>42705.882352941175</v>
      </c>
      <c r="V102" s="69">
        <f t="shared" si="56"/>
        <v>0.1062850693437264</v>
      </c>
      <c r="W102" s="244" t="s">
        <v>238</v>
      </c>
      <c r="X102" s="244" t="s">
        <v>239</v>
      </c>
      <c r="Y102" s="245" t="s">
        <v>240</v>
      </c>
      <c r="Z102" s="28"/>
      <c r="AA102" s="28"/>
      <c r="AB102" s="28"/>
      <c r="AC102" s="28"/>
      <c r="AD102" s="28"/>
      <c r="AE102" s="28"/>
      <c r="AF102" s="28"/>
      <c r="AG102" s="28"/>
      <c r="AH102" s="28"/>
      <c r="AI102" s="28"/>
      <c r="AJ102" s="28"/>
      <c r="AK102" s="28"/>
    </row>
    <row r="103" spans="1:37" ht="78.75" x14ac:dyDescent="0.25">
      <c r="A103" s="13">
        <f t="shared" si="30"/>
        <v>3</v>
      </c>
      <c r="B103" s="675">
        <v>95</v>
      </c>
      <c r="C103" s="38">
        <v>100</v>
      </c>
      <c r="D103" s="30" t="s">
        <v>241</v>
      </c>
      <c r="E103" s="31" t="s">
        <v>242</v>
      </c>
      <c r="F103" s="32">
        <v>6</v>
      </c>
      <c r="G103" s="32" t="s">
        <v>24</v>
      </c>
      <c r="H103" s="33">
        <v>1</v>
      </c>
      <c r="I103" s="33" t="s">
        <v>36</v>
      </c>
      <c r="J103" s="45">
        <f>+(25900*100)/119</f>
        <v>21764.705882352941</v>
      </c>
      <c r="K103" s="45">
        <f t="shared" si="41"/>
        <v>130588.23529411765</v>
      </c>
      <c r="L103" s="45">
        <f>+(25900*100)/119</f>
        <v>21764.705882352941</v>
      </c>
      <c r="M103" s="232">
        <f t="shared" si="62"/>
        <v>130588.23529411765</v>
      </c>
      <c r="N103" s="45">
        <f>+(24900*100)/119</f>
        <v>20924.36974789916</v>
      </c>
      <c r="O103" s="41">
        <f t="shared" si="43"/>
        <v>125546.21848739496</v>
      </c>
      <c r="P103" s="68">
        <f t="shared" si="52"/>
        <v>21484.593837535012</v>
      </c>
      <c r="Q103" s="68">
        <f t="shared" si="63"/>
        <v>128907.56302521008</v>
      </c>
      <c r="R103" s="68">
        <f t="shared" si="53"/>
        <v>396.13825276557247</v>
      </c>
      <c r="S103" s="69">
        <f t="shared" si="54"/>
        <v>1.8438247227810872E-2</v>
      </c>
      <c r="T103" s="68">
        <f t="shared" si="55"/>
        <v>21764.705882352941</v>
      </c>
      <c r="U103" s="68">
        <f t="shared" si="64"/>
        <v>130588.23529411765</v>
      </c>
      <c r="V103" s="69">
        <f t="shared" si="56"/>
        <v>1.8200946748688464E-2</v>
      </c>
      <c r="W103" s="47" t="s">
        <v>243</v>
      </c>
      <c r="X103" s="47" t="s">
        <v>244</v>
      </c>
      <c r="Y103" s="48" t="s">
        <v>245</v>
      </c>
      <c r="Z103" s="28"/>
      <c r="AA103" s="28"/>
      <c r="AB103" s="28"/>
      <c r="AC103" s="28"/>
      <c r="AD103" s="28"/>
      <c r="AE103" s="28"/>
      <c r="AF103" s="28"/>
      <c r="AG103" s="28"/>
      <c r="AH103" s="28"/>
      <c r="AI103" s="28"/>
      <c r="AJ103" s="28"/>
      <c r="AK103" s="28"/>
    </row>
    <row r="104" spans="1:37" ht="63" x14ac:dyDescent="0.25">
      <c r="A104" s="13">
        <f t="shared" si="30"/>
        <v>3</v>
      </c>
      <c r="B104" s="675">
        <v>96</v>
      </c>
      <c r="C104" s="38">
        <v>101</v>
      </c>
      <c r="D104" s="30" t="s">
        <v>246</v>
      </c>
      <c r="E104" s="31" t="s">
        <v>247</v>
      </c>
      <c r="F104" s="32">
        <v>8</v>
      </c>
      <c r="G104" s="32" t="s">
        <v>24</v>
      </c>
      <c r="H104" s="33">
        <v>1</v>
      </c>
      <c r="I104" s="33" t="s">
        <v>36</v>
      </c>
      <c r="J104" s="45">
        <v>784000</v>
      </c>
      <c r="K104" s="45">
        <f t="shared" si="41"/>
        <v>6272000</v>
      </c>
      <c r="L104" s="246">
        <v>256000</v>
      </c>
      <c r="M104" s="234">
        <v>826000</v>
      </c>
      <c r="N104" s="246">
        <v>356000</v>
      </c>
      <c r="O104" s="41">
        <v>700000</v>
      </c>
      <c r="P104" s="68">
        <f t="shared" si="52"/>
        <v>465333.33333333331</v>
      </c>
      <c r="Q104" s="68">
        <f t="shared" si="63"/>
        <v>3722666.6666666665</v>
      </c>
      <c r="R104" s="68">
        <f t="shared" si="53"/>
        <v>228999.7573991922</v>
      </c>
      <c r="S104" s="69">
        <f t="shared" si="54"/>
        <v>0.49211982249110076</v>
      </c>
      <c r="T104" s="68">
        <f t="shared" si="55"/>
        <v>356000</v>
      </c>
      <c r="U104" s="68">
        <f t="shared" si="64"/>
        <v>2848000</v>
      </c>
      <c r="V104" s="69">
        <f t="shared" si="56"/>
        <v>0.64325774550334891</v>
      </c>
      <c r="W104" s="247" t="s">
        <v>1084</v>
      </c>
      <c r="X104" s="248" t="s">
        <v>43</v>
      </c>
      <c r="Y104" s="249" t="s">
        <v>41</v>
      </c>
      <c r="Z104" s="28"/>
      <c r="AA104" s="28"/>
      <c r="AB104" s="28"/>
      <c r="AC104" s="28"/>
      <c r="AD104" s="28"/>
      <c r="AE104" s="28"/>
      <c r="AF104" s="28"/>
      <c r="AG104" s="28"/>
      <c r="AH104" s="28"/>
      <c r="AI104" s="28"/>
      <c r="AJ104" s="28"/>
      <c r="AK104" s="28"/>
    </row>
    <row r="105" spans="1:37" ht="31.15" customHeight="1" x14ac:dyDescent="0.25">
      <c r="A105" s="13">
        <f t="shared" si="30"/>
        <v>3</v>
      </c>
      <c r="B105" s="675">
        <v>97</v>
      </c>
      <c r="C105" s="38">
        <v>102</v>
      </c>
      <c r="D105" s="30" t="s">
        <v>249</v>
      </c>
      <c r="E105" s="31" t="s">
        <v>250</v>
      </c>
      <c r="F105" s="32">
        <v>100</v>
      </c>
      <c r="G105" s="32" t="s">
        <v>24</v>
      </c>
      <c r="H105" s="33">
        <v>1</v>
      </c>
      <c r="I105" s="33" t="s">
        <v>36</v>
      </c>
      <c r="J105" s="45">
        <f>+(2975*100)/119</f>
        <v>2500</v>
      </c>
      <c r="K105" s="46">
        <f t="shared" si="41"/>
        <v>250000</v>
      </c>
      <c r="L105" s="182">
        <f>+(1700*100)/119</f>
        <v>1428.5714285714287</v>
      </c>
      <c r="M105" s="182">
        <f t="shared" si="62"/>
        <v>142857.14285714287</v>
      </c>
      <c r="N105" s="231">
        <v>1800</v>
      </c>
      <c r="O105" s="41">
        <f t="shared" si="43"/>
        <v>180000</v>
      </c>
      <c r="P105" s="68">
        <f t="shared" si="52"/>
        <v>1909.5238095238094</v>
      </c>
      <c r="Q105" s="68">
        <f t="shared" si="63"/>
        <v>190952.38095238095</v>
      </c>
      <c r="R105" s="68">
        <f t="shared" si="53"/>
        <v>444.21195733405148</v>
      </c>
      <c r="S105" s="69">
        <f t="shared" si="54"/>
        <v>0.23262970334202199</v>
      </c>
      <c r="T105" s="68">
        <f t="shared" si="55"/>
        <v>1800</v>
      </c>
      <c r="U105" s="68">
        <f t="shared" si="64"/>
        <v>180000</v>
      </c>
      <c r="V105" s="69">
        <f t="shared" si="56"/>
        <v>0.24678442074113971</v>
      </c>
      <c r="W105" s="25" t="s">
        <v>251</v>
      </c>
      <c r="X105" s="25" t="s">
        <v>252</v>
      </c>
      <c r="Y105" s="27" t="s">
        <v>253</v>
      </c>
      <c r="Z105" s="28"/>
      <c r="AA105" s="28"/>
      <c r="AB105" s="28"/>
      <c r="AC105" s="28"/>
      <c r="AD105" s="28"/>
      <c r="AE105" s="28"/>
      <c r="AF105" s="28"/>
      <c r="AG105" s="28"/>
      <c r="AH105" s="28"/>
      <c r="AI105" s="28"/>
      <c r="AJ105" s="28"/>
      <c r="AK105" s="28"/>
    </row>
    <row r="106" spans="1:37" ht="62.1" customHeight="1" x14ac:dyDescent="0.25">
      <c r="A106" s="13">
        <f t="shared" si="30"/>
        <v>3</v>
      </c>
      <c r="B106" s="675">
        <v>98</v>
      </c>
      <c r="C106" s="38">
        <v>103</v>
      </c>
      <c r="D106" s="30" t="s">
        <v>254</v>
      </c>
      <c r="E106" s="31" t="s">
        <v>255</v>
      </c>
      <c r="F106" s="32">
        <v>1</v>
      </c>
      <c r="G106" s="32" t="s">
        <v>24</v>
      </c>
      <c r="H106" s="33">
        <v>1</v>
      </c>
      <c r="I106" s="33" t="s">
        <v>36</v>
      </c>
      <c r="J106" s="45">
        <f>+(1035300*100)/119</f>
        <v>870000</v>
      </c>
      <c r="K106" s="45">
        <f t="shared" si="41"/>
        <v>870000</v>
      </c>
      <c r="L106" s="45">
        <f>+(1266160*100)/119</f>
        <v>1064000</v>
      </c>
      <c r="M106" s="232">
        <f t="shared" si="62"/>
        <v>1064000</v>
      </c>
      <c r="N106" s="250">
        <v>1300000</v>
      </c>
      <c r="O106" s="41">
        <f t="shared" si="43"/>
        <v>1300000</v>
      </c>
      <c r="P106" s="68">
        <f t="shared" si="52"/>
        <v>1078000</v>
      </c>
      <c r="Q106" s="68">
        <f t="shared" si="63"/>
        <v>1078000</v>
      </c>
      <c r="R106" s="68">
        <f t="shared" si="53"/>
        <v>175825.67123906186</v>
      </c>
      <c r="S106" s="69">
        <f t="shared" si="54"/>
        <v>0.16310359113085515</v>
      </c>
      <c r="T106" s="68">
        <f t="shared" si="55"/>
        <v>1064000</v>
      </c>
      <c r="U106" s="68">
        <f t="shared" si="64"/>
        <v>1064000</v>
      </c>
      <c r="V106" s="69">
        <f t="shared" si="56"/>
        <v>0.16524969101415588</v>
      </c>
      <c r="W106" s="37" t="s">
        <v>143</v>
      </c>
      <c r="X106" s="25" t="s">
        <v>144</v>
      </c>
      <c r="Y106" s="251" t="s">
        <v>256</v>
      </c>
      <c r="Z106" s="28"/>
      <c r="AA106" s="28"/>
      <c r="AB106" s="28"/>
      <c r="AC106" s="28"/>
      <c r="AD106" s="28"/>
      <c r="AE106" s="28"/>
      <c r="AF106" s="28"/>
      <c r="AG106" s="28"/>
      <c r="AH106" s="28"/>
      <c r="AI106" s="28"/>
      <c r="AJ106" s="28"/>
      <c r="AK106" s="28"/>
    </row>
    <row r="107" spans="1:37" ht="62.1" customHeight="1" x14ac:dyDescent="0.25">
      <c r="A107" s="13">
        <f t="shared" si="30"/>
        <v>1</v>
      </c>
      <c r="B107" s="675">
        <v>99</v>
      </c>
      <c r="C107" s="38">
        <v>104</v>
      </c>
      <c r="D107" s="30" t="s">
        <v>49</v>
      </c>
      <c r="E107" s="31" t="s">
        <v>257</v>
      </c>
      <c r="F107" s="32">
        <v>1</v>
      </c>
      <c r="G107" s="32" t="s">
        <v>24</v>
      </c>
      <c r="H107" s="33">
        <v>1</v>
      </c>
      <c r="I107" s="33" t="s">
        <v>36</v>
      </c>
      <c r="J107" s="45">
        <f>4917001/30</f>
        <v>163900.03333333333</v>
      </c>
      <c r="K107" s="45">
        <f t="shared" si="41"/>
        <v>163900.03333333333</v>
      </c>
      <c r="L107" s="45"/>
      <c r="M107" s="45"/>
      <c r="N107" s="252"/>
      <c r="O107" s="41"/>
      <c r="P107" s="22">
        <f>+(ROUND(AVERAGE(J107),0))</f>
        <v>163900</v>
      </c>
      <c r="Q107" s="22">
        <f>+P107*F107*H107</f>
        <v>163900</v>
      </c>
      <c r="R107" s="23">
        <f>+_xlfn.STDEV.P(J107,L107,N107)</f>
        <v>0</v>
      </c>
      <c r="S107" s="24">
        <f>+R107/P107</f>
        <v>0</v>
      </c>
      <c r="T107" s="23">
        <f>+MEDIAN(J107,L107,N107)</f>
        <v>163900.03333333333</v>
      </c>
      <c r="U107" s="23">
        <f>+T107*F107*H107</f>
        <v>163900.03333333333</v>
      </c>
      <c r="V107" s="24">
        <f>+R107/T107</f>
        <v>0</v>
      </c>
      <c r="W107" s="25" t="s">
        <v>26</v>
      </c>
      <c r="X107" s="25"/>
      <c r="Y107" s="27"/>
      <c r="Z107" s="28"/>
      <c r="AA107" s="28"/>
      <c r="AB107" s="28"/>
      <c r="AC107" s="28"/>
      <c r="AD107" s="28"/>
      <c r="AE107" s="28"/>
      <c r="AF107" s="28"/>
      <c r="AG107" s="28"/>
      <c r="AH107" s="28"/>
      <c r="AI107" s="28"/>
      <c r="AJ107" s="28"/>
      <c r="AK107" s="28"/>
    </row>
    <row r="108" spans="1:37" ht="93" customHeight="1" x14ac:dyDescent="0.25">
      <c r="A108" s="13">
        <f t="shared" si="30"/>
        <v>3</v>
      </c>
      <c r="B108" s="675">
        <v>100</v>
      </c>
      <c r="C108" s="38">
        <v>105</v>
      </c>
      <c r="D108" s="30" t="s">
        <v>258</v>
      </c>
      <c r="E108" s="31" t="s">
        <v>259</v>
      </c>
      <c r="F108" s="32">
        <v>1</v>
      </c>
      <c r="G108" s="32" t="s">
        <v>24</v>
      </c>
      <c r="H108" s="33">
        <v>1</v>
      </c>
      <c r="I108" s="33" t="s">
        <v>36</v>
      </c>
      <c r="J108" s="45">
        <f>+(1904000*100)/119</f>
        <v>1600000</v>
      </c>
      <c r="K108" s="45">
        <f t="shared" si="41"/>
        <v>1600000</v>
      </c>
      <c r="L108" s="233">
        <f>+(1428000*100)/119</f>
        <v>1200000</v>
      </c>
      <c r="M108" s="234">
        <f t="shared" ref="M108:M117" si="67">+L108*H108*F108</f>
        <v>1200000</v>
      </c>
      <c r="N108" s="231">
        <v>1670000</v>
      </c>
      <c r="O108" s="41">
        <f t="shared" si="43"/>
        <v>1670000</v>
      </c>
      <c r="P108" s="68">
        <f t="shared" ref="P108:P119" si="68">+AVERAGE(J108,L108,N108)</f>
        <v>1490000</v>
      </c>
      <c r="Q108" s="68">
        <f t="shared" ref="Q108:Q119" si="69">+P108*H108*F108</f>
        <v>1490000</v>
      </c>
      <c r="R108" s="68">
        <f t="shared" ref="R108:R165" si="70">+_xlfn.STDEV.P(J108,L108,N108)</f>
        <v>207042.66871026045</v>
      </c>
      <c r="S108" s="69">
        <f t="shared" ref="S108:S165" si="71">+R108/P108</f>
        <v>0.13895481121493991</v>
      </c>
      <c r="T108" s="68">
        <f t="shared" ref="T108:T165" si="72">+MEDIAN(J108,L108,N108)</f>
        <v>1600000</v>
      </c>
      <c r="U108" s="68">
        <f t="shared" ref="U108:U165" si="73">+T108*F108*H108</f>
        <v>1600000</v>
      </c>
      <c r="V108" s="69">
        <f t="shared" ref="V108:V165" si="74">+R108/T108</f>
        <v>0.12940166794391278</v>
      </c>
      <c r="W108" s="37" t="s">
        <v>143</v>
      </c>
      <c r="X108" s="25" t="s">
        <v>144</v>
      </c>
      <c r="Y108" s="253" t="s">
        <v>248</v>
      </c>
      <c r="Z108" s="28"/>
      <c r="AA108" s="28"/>
      <c r="AB108" s="28"/>
      <c r="AC108" s="28"/>
      <c r="AD108" s="28"/>
      <c r="AE108" s="28"/>
      <c r="AF108" s="28"/>
      <c r="AG108" s="28"/>
      <c r="AH108" s="28"/>
      <c r="AI108" s="28"/>
      <c r="AJ108" s="28"/>
      <c r="AK108" s="28"/>
    </row>
    <row r="109" spans="1:37" ht="62.1" customHeight="1" x14ac:dyDescent="0.25">
      <c r="A109" s="13">
        <f t="shared" si="30"/>
        <v>3</v>
      </c>
      <c r="B109" s="675">
        <v>101</v>
      </c>
      <c r="C109" s="38">
        <v>106</v>
      </c>
      <c r="D109" s="30" t="s">
        <v>260</v>
      </c>
      <c r="E109" s="31" t="s">
        <v>261</v>
      </c>
      <c r="F109" s="32">
        <v>1</v>
      </c>
      <c r="G109" s="32" t="s">
        <v>24</v>
      </c>
      <c r="H109" s="33">
        <v>1</v>
      </c>
      <c r="I109" s="33" t="s">
        <v>36</v>
      </c>
      <c r="J109" s="45">
        <f>+(798319*5.35%)+798319</f>
        <v>841029.06649999996</v>
      </c>
      <c r="K109" s="45">
        <f t="shared" si="41"/>
        <v>841029.06649999996</v>
      </c>
      <c r="L109" s="45">
        <f>+(861345*5.35%)+861345</f>
        <v>907426.95750000002</v>
      </c>
      <c r="M109" s="232">
        <f t="shared" si="67"/>
        <v>907426.95750000002</v>
      </c>
      <c r="N109" s="231">
        <v>406000</v>
      </c>
      <c r="O109" s="41">
        <f t="shared" si="43"/>
        <v>406000</v>
      </c>
      <c r="P109" s="68">
        <f t="shared" si="68"/>
        <v>718152.00800000003</v>
      </c>
      <c r="Q109" s="68">
        <f t="shared" si="69"/>
        <v>718152.00800000003</v>
      </c>
      <c r="R109" s="68">
        <f t="shared" si="70"/>
        <v>222383.04350247531</v>
      </c>
      <c r="S109" s="69">
        <f t="shared" si="71"/>
        <v>0.30966012908854151</v>
      </c>
      <c r="T109" s="68">
        <f t="shared" si="72"/>
        <v>841029.06649999996</v>
      </c>
      <c r="U109" s="68">
        <f t="shared" si="73"/>
        <v>841029.06649999996</v>
      </c>
      <c r="V109" s="69">
        <f t="shared" si="74"/>
        <v>0.26441778573472802</v>
      </c>
      <c r="W109" s="33" t="s">
        <v>180</v>
      </c>
      <c r="X109" s="254" t="s">
        <v>262</v>
      </c>
      <c r="Y109" s="255" t="s">
        <v>263</v>
      </c>
      <c r="Z109" s="28"/>
      <c r="AA109" s="28"/>
      <c r="AB109" s="28"/>
      <c r="AC109" s="28"/>
      <c r="AD109" s="28"/>
      <c r="AE109" s="28"/>
      <c r="AF109" s="28"/>
      <c r="AG109" s="28"/>
      <c r="AH109" s="28"/>
      <c r="AI109" s="28"/>
      <c r="AJ109" s="28"/>
      <c r="AK109" s="28"/>
    </row>
    <row r="110" spans="1:37" ht="44.25" customHeight="1" x14ac:dyDescent="0.25">
      <c r="A110" s="13">
        <f t="shared" si="30"/>
        <v>3</v>
      </c>
      <c r="B110" s="675">
        <v>102</v>
      </c>
      <c r="C110" s="38">
        <v>107</v>
      </c>
      <c r="D110" s="30" t="s">
        <v>264</v>
      </c>
      <c r="E110" s="31" t="s">
        <v>265</v>
      </c>
      <c r="F110" s="32">
        <v>1</v>
      </c>
      <c r="G110" s="32" t="s">
        <v>24</v>
      </c>
      <c r="H110" s="33">
        <v>1</v>
      </c>
      <c r="I110" s="33" t="s">
        <v>36</v>
      </c>
      <c r="J110" s="45">
        <f>+(1428000*100)/119</f>
        <v>1200000</v>
      </c>
      <c r="K110" s="45">
        <f t="shared" si="41"/>
        <v>1200000</v>
      </c>
      <c r="L110" s="45">
        <f>+(1904000*100)/119</f>
        <v>1600000</v>
      </c>
      <c r="M110" s="232">
        <f t="shared" si="67"/>
        <v>1600000</v>
      </c>
      <c r="N110" s="231">
        <v>1200000</v>
      </c>
      <c r="O110" s="41">
        <f t="shared" si="43"/>
        <v>1200000</v>
      </c>
      <c r="P110" s="68">
        <f t="shared" si="68"/>
        <v>1333333.3333333333</v>
      </c>
      <c r="Q110" s="68">
        <f t="shared" si="69"/>
        <v>1333333.3333333333</v>
      </c>
      <c r="R110" s="68">
        <f t="shared" si="70"/>
        <v>188561.80831641267</v>
      </c>
      <c r="S110" s="69">
        <f t="shared" si="71"/>
        <v>0.1414213562373095</v>
      </c>
      <c r="T110" s="68">
        <f t="shared" si="72"/>
        <v>1200000</v>
      </c>
      <c r="U110" s="68">
        <f t="shared" si="73"/>
        <v>1200000</v>
      </c>
      <c r="V110" s="69">
        <f t="shared" si="74"/>
        <v>0.15713484026367722</v>
      </c>
      <c r="W110" s="33" t="s">
        <v>143</v>
      </c>
      <c r="X110" s="254" t="s">
        <v>144</v>
      </c>
      <c r="Y110" s="256" t="s">
        <v>266</v>
      </c>
      <c r="Z110" s="28"/>
      <c r="AA110" s="28"/>
      <c r="AB110" s="28"/>
      <c r="AC110" s="28"/>
      <c r="AD110" s="28"/>
      <c r="AE110" s="28"/>
      <c r="AF110" s="28"/>
      <c r="AG110" s="28"/>
      <c r="AH110" s="28"/>
      <c r="AI110" s="28"/>
      <c r="AJ110" s="28"/>
      <c r="AK110" s="28"/>
    </row>
    <row r="111" spans="1:37" ht="240.6" customHeight="1" x14ac:dyDescent="0.25">
      <c r="A111" s="13">
        <f t="shared" si="30"/>
        <v>3</v>
      </c>
      <c r="B111" s="675">
        <v>103</v>
      </c>
      <c r="C111" s="38">
        <v>108</v>
      </c>
      <c r="D111" s="655" t="s">
        <v>267</v>
      </c>
      <c r="E111" s="272" t="s">
        <v>268</v>
      </c>
      <c r="F111" s="32">
        <v>3</v>
      </c>
      <c r="G111" s="32" t="s">
        <v>24</v>
      </c>
      <c r="H111" s="33"/>
      <c r="I111" s="33" t="s">
        <v>36</v>
      </c>
      <c r="J111" s="257">
        <v>9473684</v>
      </c>
      <c r="K111" s="64">
        <f t="shared" ref="K111:K114" si="75">+J111*F111</f>
        <v>28421052</v>
      </c>
      <c r="L111" s="257">
        <v>9473684</v>
      </c>
      <c r="M111" s="217">
        <f t="shared" ref="M111:M114" si="76">+L111*F111</f>
        <v>28421052</v>
      </c>
      <c r="N111" s="257">
        <v>9473684</v>
      </c>
      <c r="O111" s="41">
        <f t="shared" ref="O111:O114" si="77">+N111*F111</f>
        <v>28421052</v>
      </c>
      <c r="P111" s="68">
        <f t="shared" si="68"/>
        <v>9473684</v>
      </c>
      <c r="Q111" s="68">
        <f t="shared" ref="Q111:Q114" si="78">+P111*F111</f>
        <v>28421052</v>
      </c>
      <c r="R111" s="68">
        <f t="shared" si="70"/>
        <v>0</v>
      </c>
      <c r="S111" s="69">
        <f t="shared" si="71"/>
        <v>0</v>
      </c>
      <c r="T111" s="68">
        <f t="shared" si="72"/>
        <v>9473684</v>
      </c>
      <c r="U111" s="68">
        <f t="shared" ref="U111:U114" si="79">+T111*F111</f>
        <v>28421052</v>
      </c>
      <c r="V111" s="69">
        <f t="shared" si="74"/>
        <v>0</v>
      </c>
      <c r="W111" s="33"/>
      <c r="X111" s="33"/>
      <c r="Y111" s="28"/>
      <c r="Z111" s="28"/>
      <c r="AA111" s="28"/>
      <c r="AB111" s="28"/>
      <c r="AC111" s="28"/>
      <c r="AD111" s="28"/>
      <c r="AE111" s="28"/>
      <c r="AF111" s="28"/>
      <c r="AG111" s="28"/>
      <c r="AH111" s="28"/>
      <c r="AI111" s="28"/>
      <c r="AJ111" s="28"/>
      <c r="AK111" s="28"/>
    </row>
    <row r="112" spans="1:37" ht="242.1" customHeight="1" x14ac:dyDescent="0.25">
      <c r="A112" s="13">
        <f t="shared" si="30"/>
        <v>3</v>
      </c>
      <c r="B112" s="675">
        <v>104</v>
      </c>
      <c r="C112" s="38">
        <v>109</v>
      </c>
      <c r="D112" s="212" t="s">
        <v>269</v>
      </c>
      <c r="E112" s="272" t="s">
        <v>270</v>
      </c>
      <c r="F112" s="32">
        <v>3</v>
      </c>
      <c r="G112" s="32" t="s">
        <v>24</v>
      </c>
      <c r="H112" s="33"/>
      <c r="I112" s="33" t="s">
        <v>36</v>
      </c>
      <c r="J112" s="228">
        <v>7368421</v>
      </c>
      <c r="K112" s="64">
        <f t="shared" si="75"/>
        <v>22105263</v>
      </c>
      <c r="L112" s="228">
        <v>7368421</v>
      </c>
      <c r="M112" s="217">
        <f t="shared" si="76"/>
        <v>22105263</v>
      </c>
      <c r="N112" s="228">
        <v>7368421</v>
      </c>
      <c r="O112" s="41">
        <f t="shared" si="77"/>
        <v>22105263</v>
      </c>
      <c r="P112" s="68">
        <f t="shared" si="68"/>
        <v>7368421</v>
      </c>
      <c r="Q112" s="68">
        <f t="shared" si="78"/>
        <v>22105263</v>
      </c>
      <c r="R112" s="68">
        <f t="shared" si="70"/>
        <v>0</v>
      </c>
      <c r="S112" s="69">
        <f t="shared" si="71"/>
        <v>0</v>
      </c>
      <c r="T112" s="68">
        <f t="shared" si="72"/>
        <v>7368421</v>
      </c>
      <c r="U112" s="68">
        <f t="shared" si="79"/>
        <v>22105263</v>
      </c>
      <c r="V112" s="69">
        <f t="shared" si="74"/>
        <v>0</v>
      </c>
      <c r="W112" s="33"/>
      <c r="X112" s="33"/>
      <c r="Y112" s="28"/>
      <c r="Z112" s="28"/>
      <c r="AA112" s="28"/>
      <c r="AB112" s="28"/>
      <c r="AC112" s="28"/>
      <c r="AD112" s="28"/>
      <c r="AE112" s="28"/>
      <c r="AF112" s="28"/>
      <c r="AG112" s="28"/>
      <c r="AH112" s="28"/>
      <c r="AI112" s="28"/>
      <c r="AJ112" s="28"/>
      <c r="AK112" s="28"/>
    </row>
    <row r="113" spans="1:37" ht="236.65" customHeight="1" x14ac:dyDescent="0.25">
      <c r="A113" s="13">
        <f t="shared" si="30"/>
        <v>3</v>
      </c>
      <c r="B113" s="675">
        <v>105</v>
      </c>
      <c r="C113" s="38">
        <v>110</v>
      </c>
      <c r="D113" s="212" t="s">
        <v>271</v>
      </c>
      <c r="E113" s="272" t="s">
        <v>272</v>
      </c>
      <c r="F113" s="32">
        <v>2</v>
      </c>
      <c r="G113" s="32" t="s">
        <v>24</v>
      </c>
      <c r="H113" s="33"/>
      <c r="I113" s="33" t="s">
        <v>36</v>
      </c>
      <c r="J113" s="228">
        <v>5263158</v>
      </c>
      <c r="K113" s="64">
        <f t="shared" si="75"/>
        <v>10526316</v>
      </c>
      <c r="L113" s="228">
        <v>5263158</v>
      </c>
      <c r="M113" s="217">
        <f t="shared" si="76"/>
        <v>10526316</v>
      </c>
      <c r="N113" s="228">
        <v>5263158</v>
      </c>
      <c r="O113" s="41">
        <f t="shared" si="77"/>
        <v>10526316</v>
      </c>
      <c r="P113" s="68">
        <f t="shared" si="68"/>
        <v>5263158</v>
      </c>
      <c r="Q113" s="68">
        <f t="shared" si="78"/>
        <v>10526316</v>
      </c>
      <c r="R113" s="68">
        <f t="shared" si="70"/>
        <v>0</v>
      </c>
      <c r="S113" s="69">
        <f t="shared" si="71"/>
        <v>0</v>
      </c>
      <c r="T113" s="68">
        <f t="shared" si="72"/>
        <v>5263158</v>
      </c>
      <c r="U113" s="68">
        <f t="shared" si="79"/>
        <v>10526316</v>
      </c>
      <c r="V113" s="69">
        <f t="shared" si="74"/>
        <v>0</v>
      </c>
      <c r="W113" s="33"/>
      <c r="X113" s="33"/>
      <c r="Y113" s="28"/>
      <c r="Z113" s="28"/>
      <c r="AA113" s="28"/>
      <c r="AB113" s="28"/>
      <c r="AC113" s="28"/>
      <c r="AD113" s="28"/>
      <c r="AE113" s="28"/>
      <c r="AF113" s="28"/>
      <c r="AG113" s="28"/>
      <c r="AH113" s="28"/>
      <c r="AI113" s="28"/>
      <c r="AJ113" s="28"/>
      <c r="AK113" s="28"/>
    </row>
    <row r="114" spans="1:37" ht="248.1" customHeight="1" x14ac:dyDescent="0.25">
      <c r="A114" s="13">
        <f t="shared" si="30"/>
        <v>3</v>
      </c>
      <c r="B114" s="675">
        <v>106</v>
      </c>
      <c r="C114" s="38">
        <v>111</v>
      </c>
      <c r="D114" s="212" t="s">
        <v>188</v>
      </c>
      <c r="E114" s="272" t="s">
        <v>273</v>
      </c>
      <c r="F114" s="32">
        <v>3</v>
      </c>
      <c r="G114" s="32" t="s">
        <v>24</v>
      </c>
      <c r="H114" s="33"/>
      <c r="I114" s="33" t="s">
        <v>36</v>
      </c>
      <c r="J114" s="228">
        <v>1052632</v>
      </c>
      <c r="K114" s="64">
        <f t="shared" si="75"/>
        <v>3157896</v>
      </c>
      <c r="L114" s="228">
        <v>1052632</v>
      </c>
      <c r="M114" s="217">
        <f t="shared" si="76"/>
        <v>3157896</v>
      </c>
      <c r="N114" s="228">
        <v>1052632</v>
      </c>
      <c r="O114" s="41">
        <f t="shared" si="77"/>
        <v>3157896</v>
      </c>
      <c r="P114" s="68">
        <f t="shared" si="68"/>
        <v>1052632</v>
      </c>
      <c r="Q114" s="68">
        <f t="shared" si="78"/>
        <v>3157896</v>
      </c>
      <c r="R114" s="68">
        <f t="shared" si="70"/>
        <v>0</v>
      </c>
      <c r="S114" s="69">
        <f t="shared" si="71"/>
        <v>0</v>
      </c>
      <c r="T114" s="68">
        <f t="shared" si="72"/>
        <v>1052632</v>
      </c>
      <c r="U114" s="68">
        <f t="shared" si="79"/>
        <v>3157896</v>
      </c>
      <c r="V114" s="69">
        <f t="shared" si="74"/>
        <v>0</v>
      </c>
      <c r="W114" s="77"/>
      <c r="X114" s="77"/>
      <c r="Y114" s="28"/>
      <c r="Z114" s="28"/>
      <c r="AA114" s="28"/>
      <c r="AB114" s="28"/>
      <c r="AC114" s="28"/>
      <c r="AD114" s="28"/>
      <c r="AE114" s="28"/>
      <c r="AF114" s="28"/>
      <c r="AG114" s="28"/>
      <c r="AH114" s="28"/>
      <c r="AI114" s="28"/>
      <c r="AJ114" s="28"/>
      <c r="AK114" s="28"/>
    </row>
    <row r="115" spans="1:37" ht="63" x14ac:dyDescent="0.25">
      <c r="A115" s="13">
        <f t="shared" si="30"/>
        <v>3</v>
      </c>
      <c r="B115" s="675">
        <v>107</v>
      </c>
      <c r="C115" s="38">
        <v>112</v>
      </c>
      <c r="D115" s="30" t="s">
        <v>198</v>
      </c>
      <c r="E115" s="31" t="s">
        <v>199</v>
      </c>
      <c r="F115" s="32">
        <v>100</v>
      </c>
      <c r="G115" s="32" t="s">
        <v>24</v>
      </c>
      <c r="H115" s="33">
        <v>1</v>
      </c>
      <c r="I115" s="33" t="s">
        <v>36</v>
      </c>
      <c r="J115" s="34">
        <v>4500</v>
      </c>
      <c r="K115" s="34">
        <f t="shared" si="41"/>
        <v>450000</v>
      </c>
      <c r="L115" s="43">
        <v>5000</v>
      </c>
      <c r="M115" s="147">
        <f t="shared" si="67"/>
        <v>500000</v>
      </c>
      <c r="N115" s="43">
        <v>5000</v>
      </c>
      <c r="O115" s="41">
        <f t="shared" si="43"/>
        <v>500000</v>
      </c>
      <c r="P115" s="68">
        <f t="shared" si="68"/>
        <v>4833.333333333333</v>
      </c>
      <c r="Q115" s="68">
        <f t="shared" si="69"/>
        <v>483333.33333333331</v>
      </c>
      <c r="R115" s="68">
        <f t="shared" si="70"/>
        <v>235.70226039551585</v>
      </c>
      <c r="S115" s="69">
        <f t="shared" si="71"/>
        <v>4.8765984909417075E-2</v>
      </c>
      <c r="T115" s="68">
        <f t="shared" si="72"/>
        <v>5000</v>
      </c>
      <c r="U115" s="68">
        <f t="shared" si="73"/>
        <v>500000</v>
      </c>
      <c r="V115" s="69">
        <f t="shared" si="74"/>
        <v>4.7140452079103168E-2</v>
      </c>
      <c r="W115" s="25" t="s">
        <v>41</v>
      </c>
      <c r="X115" s="25" t="s">
        <v>42</v>
      </c>
      <c r="Y115" s="53" t="s">
        <v>43</v>
      </c>
      <c r="Z115" s="28"/>
      <c r="AA115" s="28"/>
      <c r="AB115" s="28"/>
      <c r="AC115" s="28"/>
      <c r="AD115" s="28"/>
      <c r="AE115" s="28"/>
      <c r="AF115" s="28"/>
      <c r="AG115" s="28"/>
      <c r="AH115" s="28"/>
      <c r="AI115" s="28"/>
      <c r="AJ115" s="28"/>
      <c r="AK115" s="28"/>
    </row>
    <row r="116" spans="1:37" ht="31.5" x14ac:dyDescent="0.25">
      <c r="A116" s="13">
        <f t="shared" si="30"/>
        <v>3</v>
      </c>
      <c r="B116" s="675">
        <v>108</v>
      </c>
      <c r="C116" s="38">
        <v>113</v>
      </c>
      <c r="D116" s="30" t="s">
        <v>200</v>
      </c>
      <c r="E116" s="31" t="s">
        <v>274</v>
      </c>
      <c r="F116" s="32">
        <v>11</v>
      </c>
      <c r="G116" s="32" t="s">
        <v>24</v>
      </c>
      <c r="H116" s="33">
        <v>1</v>
      </c>
      <c r="I116" s="33" t="s">
        <v>36</v>
      </c>
      <c r="J116" s="34">
        <f>+(19500*100)/119</f>
        <v>16386.55462184874</v>
      </c>
      <c r="K116" s="40">
        <f t="shared" si="41"/>
        <v>180252.10084033615</v>
      </c>
      <c r="L116" s="35">
        <f>+(17407*100)/119</f>
        <v>14627.731092436974</v>
      </c>
      <c r="M116" s="35">
        <f t="shared" si="67"/>
        <v>160905.04201680672</v>
      </c>
      <c r="N116" s="115">
        <f>+(16650*100)/119</f>
        <v>13991.596638655463</v>
      </c>
      <c r="O116" s="41">
        <f t="shared" si="43"/>
        <v>153907.56302521008</v>
      </c>
      <c r="P116" s="68">
        <f t="shared" si="68"/>
        <v>15001.960784313726</v>
      </c>
      <c r="Q116" s="68">
        <f t="shared" si="69"/>
        <v>165021.56862745099</v>
      </c>
      <c r="R116" s="68">
        <f t="shared" si="70"/>
        <v>1012.913893025769</v>
      </c>
      <c r="S116" s="69">
        <f t="shared" si="71"/>
        <v>6.7518766885785148E-2</v>
      </c>
      <c r="T116" s="68">
        <f t="shared" si="72"/>
        <v>14627.731092436974</v>
      </c>
      <c r="U116" s="68">
        <f t="shared" si="73"/>
        <v>160905.04201680672</v>
      </c>
      <c r="V116" s="69">
        <f t="shared" si="74"/>
        <v>6.9246138490300743E-2</v>
      </c>
      <c r="W116" s="25" t="s">
        <v>202</v>
      </c>
      <c r="X116" s="25" t="s">
        <v>231</v>
      </c>
      <c r="Y116" s="27" t="s">
        <v>204</v>
      </c>
      <c r="Z116" s="28"/>
      <c r="AA116" s="28"/>
      <c r="AB116" s="28"/>
      <c r="AC116" s="28"/>
      <c r="AD116" s="28"/>
      <c r="AE116" s="28"/>
      <c r="AF116" s="28"/>
      <c r="AG116" s="28"/>
      <c r="AH116" s="28"/>
      <c r="AI116" s="28"/>
      <c r="AJ116" s="28"/>
      <c r="AK116" s="28"/>
    </row>
    <row r="117" spans="1:37" ht="157.5" x14ac:dyDescent="0.25">
      <c r="A117" s="13">
        <f t="shared" si="30"/>
        <v>3</v>
      </c>
      <c r="B117" s="675">
        <v>109</v>
      </c>
      <c r="C117" s="38">
        <v>114</v>
      </c>
      <c r="D117" s="30" t="s">
        <v>275</v>
      </c>
      <c r="E117" s="31" t="s">
        <v>208</v>
      </c>
      <c r="F117" s="32">
        <v>250</v>
      </c>
      <c r="G117" s="32" t="s">
        <v>24</v>
      </c>
      <c r="H117" s="33">
        <v>1</v>
      </c>
      <c r="I117" s="33" t="s">
        <v>36</v>
      </c>
      <c r="J117" s="34">
        <f>+(10756*100)/119</f>
        <v>9038.6554621848736</v>
      </c>
      <c r="K117" s="40">
        <f t="shared" si="41"/>
        <v>2259663.8655462186</v>
      </c>
      <c r="L117" s="35">
        <f>+(12017*100)/119</f>
        <v>10098.319327731093</v>
      </c>
      <c r="M117" s="35">
        <f t="shared" si="67"/>
        <v>2524579.8319327733</v>
      </c>
      <c r="N117" s="35">
        <f>+(10900*100)/119</f>
        <v>9159.6638655462193</v>
      </c>
      <c r="O117" s="41">
        <f t="shared" si="43"/>
        <v>2289915.9663865548</v>
      </c>
      <c r="P117" s="68">
        <f t="shared" si="68"/>
        <v>9432.212885154062</v>
      </c>
      <c r="Q117" s="68">
        <f t="shared" si="69"/>
        <v>2358053.2212885153</v>
      </c>
      <c r="R117" s="68">
        <f t="shared" si="70"/>
        <v>473.59202066264169</v>
      </c>
      <c r="S117" s="69">
        <f t="shared" si="71"/>
        <v>5.0210064852125764E-2</v>
      </c>
      <c r="T117" s="68">
        <f t="shared" si="72"/>
        <v>9159.6638655462193</v>
      </c>
      <c r="U117" s="68">
        <f t="shared" si="73"/>
        <v>2289915.9663865548</v>
      </c>
      <c r="V117" s="69">
        <f t="shared" si="74"/>
        <v>5.1704082989774636E-2</v>
      </c>
      <c r="W117" s="78" t="s">
        <v>209</v>
      </c>
      <c r="X117" s="78" t="s">
        <v>210</v>
      </c>
      <c r="Y117" s="79" t="s">
        <v>211</v>
      </c>
      <c r="Z117" s="28"/>
      <c r="AA117" s="28"/>
      <c r="AB117" s="28"/>
      <c r="AC117" s="28"/>
      <c r="AD117" s="28"/>
      <c r="AE117" s="28"/>
      <c r="AF117" s="28"/>
      <c r="AG117" s="28"/>
      <c r="AH117" s="28"/>
      <c r="AI117" s="28"/>
      <c r="AJ117" s="28"/>
      <c r="AK117" s="28"/>
    </row>
    <row r="118" spans="1:37" ht="187.5" customHeight="1" x14ac:dyDescent="0.25">
      <c r="A118" s="13">
        <f t="shared" si="30"/>
        <v>1</v>
      </c>
      <c r="B118" s="675">
        <v>110</v>
      </c>
      <c r="C118" s="38">
        <v>115</v>
      </c>
      <c r="D118" s="667" t="s">
        <v>276</v>
      </c>
      <c r="E118" s="31" t="s">
        <v>277</v>
      </c>
      <c r="F118" s="32">
        <v>1</v>
      </c>
      <c r="G118" s="32" t="s">
        <v>24</v>
      </c>
      <c r="H118" s="33">
        <v>1</v>
      </c>
      <c r="I118" s="33" t="s">
        <v>36</v>
      </c>
      <c r="J118" s="666">
        <v>15000000</v>
      </c>
      <c r="K118" s="34">
        <f t="shared" si="41"/>
        <v>15000000</v>
      </c>
      <c r="L118" s="43"/>
      <c r="M118" s="147"/>
      <c r="N118" s="43"/>
      <c r="O118" s="35"/>
      <c r="P118" s="68">
        <f t="shared" si="68"/>
        <v>15000000</v>
      </c>
      <c r="Q118" s="585">
        <f t="shared" si="69"/>
        <v>15000000</v>
      </c>
      <c r="R118" s="68">
        <f t="shared" si="70"/>
        <v>0</v>
      </c>
      <c r="S118" s="69">
        <f t="shared" si="71"/>
        <v>0</v>
      </c>
      <c r="T118" s="68">
        <f t="shared" si="72"/>
        <v>15000000</v>
      </c>
      <c r="U118" s="585">
        <f t="shared" si="73"/>
        <v>15000000</v>
      </c>
      <c r="V118" s="69">
        <f t="shared" si="74"/>
        <v>0</v>
      </c>
      <c r="W118" s="258"/>
      <c r="X118" s="258"/>
      <c r="Y118" s="28"/>
      <c r="Z118" s="28" t="s">
        <v>205</v>
      </c>
      <c r="AA118" s="28" t="s">
        <v>206</v>
      </c>
      <c r="AB118" s="28"/>
      <c r="AC118" s="28"/>
      <c r="AD118" s="28"/>
      <c r="AE118" s="28"/>
      <c r="AF118" s="28"/>
      <c r="AG118" s="28"/>
      <c r="AH118" s="28"/>
      <c r="AI118" s="28"/>
      <c r="AJ118" s="28"/>
      <c r="AK118" s="28"/>
    </row>
    <row r="119" spans="1:37" ht="157.5" x14ac:dyDescent="0.25">
      <c r="A119" s="13">
        <f t="shared" si="30"/>
        <v>3</v>
      </c>
      <c r="B119" s="675">
        <v>111</v>
      </c>
      <c r="C119" s="38">
        <v>116</v>
      </c>
      <c r="D119" s="154" t="s">
        <v>278</v>
      </c>
      <c r="E119" s="75" t="s">
        <v>208</v>
      </c>
      <c r="F119" s="76">
        <v>140</v>
      </c>
      <c r="G119" s="76" t="s">
        <v>24</v>
      </c>
      <c r="H119" s="77">
        <v>1</v>
      </c>
      <c r="I119" s="77" t="s">
        <v>36</v>
      </c>
      <c r="J119" s="43">
        <f>+(10756*100)/119</f>
        <v>9038.6554621848736</v>
      </c>
      <c r="K119" s="40">
        <f t="shared" si="41"/>
        <v>1265411.7647058824</v>
      </c>
      <c r="L119" s="35">
        <f>+(12017*100)/119</f>
        <v>10098.319327731093</v>
      </c>
      <c r="M119" s="35">
        <f t="shared" ref="M119" si="80">+L119*H119*F119</f>
        <v>1413764.705882353</v>
      </c>
      <c r="N119" s="35">
        <f>+(10900*100)/119</f>
        <v>9159.6638655462193</v>
      </c>
      <c r="O119" s="35">
        <f t="shared" si="43"/>
        <v>1282352.9411764706</v>
      </c>
      <c r="P119" s="68">
        <f t="shared" si="68"/>
        <v>9432.212885154062</v>
      </c>
      <c r="Q119" s="68">
        <f t="shared" si="69"/>
        <v>1320509.8039215687</v>
      </c>
      <c r="R119" s="68">
        <f t="shared" si="70"/>
        <v>473.59202066264169</v>
      </c>
      <c r="S119" s="69">
        <f t="shared" si="71"/>
        <v>5.0210064852125764E-2</v>
      </c>
      <c r="T119" s="68">
        <f t="shared" si="72"/>
        <v>9159.6638655462193</v>
      </c>
      <c r="U119" s="68">
        <f t="shared" si="73"/>
        <v>1282352.9411764706</v>
      </c>
      <c r="V119" s="69">
        <f t="shared" si="74"/>
        <v>5.1704082989774636E-2</v>
      </c>
      <c r="W119" s="47" t="s">
        <v>209</v>
      </c>
      <c r="X119" s="47" t="s">
        <v>210</v>
      </c>
      <c r="Y119" s="48" t="s">
        <v>211</v>
      </c>
      <c r="Z119" s="237">
        <f>SUM(Q101:Q119)</f>
        <v>92998446.402957976</v>
      </c>
      <c r="AA119" s="237">
        <f>SUM(U101:U119)</f>
        <v>92103884.167060226</v>
      </c>
      <c r="AB119" s="28"/>
      <c r="AC119" s="28"/>
      <c r="AD119" s="28"/>
      <c r="AE119" s="28"/>
      <c r="AF119" s="28"/>
      <c r="AG119" s="28"/>
      <c r="AH119" s="28"/>
      <c r="AI119" s="28"/>
      <c r="AJ119" s="28"/>
      <c r="AK119" s="28"/>
    </row>
    <row r="120" spans="1:37" ht="15.75" customHeight="1" x14ac:dyDescent="0.25">
      <c r="A120" s="259"/>
      <c r="B120" s="259"/>
      <c r="C120" s="260"/>
      <c r="D120" s="260"/>
      <c r="E120" s="261" t="s">
        <v>279</v>
      </c>
      <c r="F120" s="262"/>
      <c r="G120" s="262"/>
      <c r="H120" s="262"/>
      <c r="I120" s="262"/>
      <c r="J120" s="262"/>
      <c r="K120" s="262"/>
      <c r="L120" s="262"/>
      <c r="M120" s="262"/>
      <c r="N120" s="262"/>
      <c r="O120" s="263"/>
      <c r="P120" s="263"/>
      <c r="Q120" s="263"/>
      <c r="R120" s="263"/>
      <c r="S120" s="263"/>
      <c r="T120" s="263"/>
      <c r="U120" s="263"/>
      <c r="V120" s="263"/>
      <c r="W120" s="263"/>
      <c r="X120" s="263"/>
      <c r="Y120" s="263"/>
      <c r="Z120" s="28"/>
      <c r="AA120" s="28"/>
      <c r="AB120" s="28"/>
      <c r="AC120" s="28"/>
      <c r="AD120" s="28"/>
      <c r="AE120" s="28"/>
      <c r="AF120" s="28"/>
      <c r="AG120" s="28"/>
      <c r="AH120" s="28"/>
      <c r="AI120" s="28"/>
      <c r="AJ120" s="28"/>
      <c r="AK120" s="28"/>
    </row>
    <row r="121" spans="1:37" ht="63" x14ac:dyDescent="0.25">
      <c r="A121" s="13">
        <f>+COUNT(J121,L121,N121)</f>
        <v>1</v>
      </c>
      <c r="B121" s="675">
        <v>112</v>
      </c>
      <c r="C121" s="264">
        <v>117</v>
      </c>
      <c r="D121" s="181" t="s">
        <v>280</v>
      </c>
      <c r="E121" s="50" t="s">
        <v>281</v>
      </c>
      <c r="F121" s="32">
        <v>1</v>
      </c>
      <c r="G121" s="32" t="s">
        <v>24</v>
      </c>
      <c r="H121" s="33">
        <v>2</v>
      </c>
      <c r="I121" s="33" t="s">
        <v>29</v>
      </c>
      <c r="J121" s="34">
        <f>+(4917001/30)</f>
        <v>163900.03333333333</v>
      </c>
      <c r="K121" s="34">
        <f>+J121*F121*H121</f>
        <v>327800.06666666665</v>
      </c>
      <c r="L121" s="34"/>
      <c r="M121" s="34"/>
      <c r="N121" s="40"/>
      <c r="O121" s="41"/>
      <c r="P121" s="60">
        <f>+(ROUND(AVERAGE(J121),0))</f>
        <v>163900</v>
      </c>
      <c r="Q121" s="60">
        <f>+P121*F121*H121</f>
        <v>327800</v>
      </c>
      <c r="R121" s="23">
        <f>+_xlfn.STDEV.P(J121,L121,N121)</f>
        <v>0</v>
      </c>
      <c r="S121" s="24">
        <f>+R121/P121</f>
        <v>0</v>
      </c>
      <c r="T121" s="23">
        <f>+MEDIAN(J121,L121,N121)</f>
        <v>163900.03333333333</v>
      </c>
      <c r="U121" s="23">
        <f>+T121*F121*H121</f>
        <v>327800.06666666665</v>
      </c>
      <c r="V121" s="24">
        <f>+R121/T121</f>
        <v>0</v>
      </c>
      <c r="W121" s="25" t="s">
        <v>26</v>
      </c>
      <c r="X121" s="25"/>
      <c r="Y121" s="27"/>
      <c r="Z121" s="28"/>
      <c r="AA121" s="28"/>
      <c r="AB121" s="28"/>
      <c r="AC121" s="28"/>
      <c r="AD121" s="28"/>
      <c r="AE121" s="28"/>
      <c r="AF121" s="28"/>
      <c r="AG121" s="28"/>
      <c r="AH121" s="28"/>
      <c r="AI121" s="28"/>
      <c r="AJ121" s="28"/>
      <c r="AK121" s="28"/>
    </row>
    <row r="122" spans="1:37" ht="63" x14ac:dyDescent="0.25">
      <c r="A122" s="13">
        <f t="shared" ref="A122:A185" si="81">+COUNT(J122,L122,N122)</f>
        <v>1</v>
      </c>
      <c r="B122" s="675">
        <v>113</v>
      </c>
      <c r="C122" s="169">
        <v>118</v>
      </c>
      <c r="D122" s="181" t="s">
        <v>282</v>
      </c>
      <c r="E122" s="50" t="s">
        <v>283</v>
      </c>
      <c r="F122" s="32">
        <v>1</v>
      </c>
      <c r="G122" s="32" t="s">
        <v>24</v>
      </c>
      <c r="H122" s="33">
        <v>2</v>
      </c>
      <c r="I122" s="33" t="s">
        <v>29</v>
      </c>
      <c r="J122" s="34">
        <f>+(4917001/30)</f>
        <v>163900.03333333333</v>
      </c>
      <c r="K122" s="34">
        <f t="shared" si="41"/>
        <v>327800.06666666665</v>
      </c>
      <c r="L122" s="34"/>
      <c r="M122" s="34"/>
      <c r="N122" s="40"/>
      <c r="O122" s="41"/>
      <c r="P122" s="60">
        <f t="shared" ref="P122" si="82">+(ROUND(AVERAGE(J122),0))</f>
        <v>163900</v>
      </c>
      <c r="Q122" s="60">
        <f t="shared" ref="Q122" si="83">+P122*F122*H122</f>
        <v>327800</v>
      </c>
      <c r="R122" s="23">
        <f t="shared" si="70"/>
        <v>0</v>
      </c>
      <c r="S122" s="24">
        <f t="shared" si="71"/>
        <v>0</v>
      </c>
      <c r="T122" s="23">
        <f t="shared" si="72"/>
        <v>163900.03333333333</v>
      </c>
      <c r="U122" s="23">
        <f t="shared" si="73"/>
        <v>327800.06666666665</v>
      </c>
      <c r="V122" s="24">
        <f t="shared" si="74"/>
        <v>0</v>
      </c>
      <c r="W122" s="25" t="s">
        <v>26</v>
      </c>
      <c r="X122" s="25"/>
      <c r="Y122" s="27"/>
      <c r="Z122" s="28"/>
      <c r="AA122" s="28"/>
      <c r="AB122" s="28"/>
      <c r="AC122" s="28"/>
      <c r="AD122" s="28"/>
      <c r="AE122" s="28"/>
      <c r="AF122" s="28"/>
      <c r="AG122" s="28"/>
      <c r="AH122" s="28"/>
      <c r="AI122" s="28"/>
      <c r="AJ122" s="28"/>
      <c r="AK122" s="28"/>
    </row>
    <row r="123" spans="1:37" ht="31.5" x14ac:dyDescent="0.25">
      <c r="A123" s="13">
        <f t="shared" si="81"/>
        <v>3</v>
      </c>
      <c r="B123" s="675">
        <v>114</v>
      </c>
      <c r="C123" s="264">
        <v>119</v>
      </c>
      <c r="D123" s="181" t="s">
        <v>284</v>
      </c>
      <c r="E123" s="50" t="s">
        <v>285</v>
      </c>
      <c r="F123" s="32">
        <v>1</v>
      </c>
      <c r="G123" s="32" t="s">
        <v>24</v>
      </c>
      <c r="H123" s="33">
        <v>2</v>
      </c>
      <c r="I123" s="33" t="s">
        <v>29</v>
      </c>
      <c r="J123" s="35">
        <f>+(1904000*100)/119</f>
        <v>1600000</v>
      </c>
      <c r="K123" s="35">
        <f t="shared" si="41"/>
        <v>3200000</v>
      </c>
      <c r="L123" s="196">
        <v>1312000</v>
      </c>
      <c r="M123" s="147">
        <f t="shared" ref="M123:M148" si="84">+L123*H123*F123</f>
        <v>2624000</v>
      </c>
      <c r="N123" s="196">
        <v>2200000</v>
      </c>
      <c r="O123" s="41">
        <f t="shared" ref="O123:O185" si="85">+N123*H123*F123</f>
        <v>4400000</v>
      </c>
      <c r="P123" s="68">
        <f t="shared" ref="P123:P148" si="86">+AVERAGE(J123,L123,N123)</f>
        <v>1704000</v>
      </c>
      <c r="Q123" s="68">
        <f t="shared" ref="Q123:Q148" si="87">+P123*H123*F123</f>
        <v>3408000</v>
      </c>
      <c r="R123" s="68">
        <f t="shared" si="70"/>
        <v>369908.09669430053</v>
      </c>
      <c r="S123" s="69">
        <f t="shared" si="71"/>
        <v>0.21708221636989469</v>
      </c>
      <c r="T123" s="68">
        <f t="shared" si="72"/>
        <v>1600000</v>
      </c>
      <c r="U123" s="68">
        <f t="shared" si="73"/>
        <v>3200000</v>
      </c>
      <c r="V123" s="69">
        <f t="shared" si="74"/>
        <v>0.23119256043393782</v>
      </c>
      <c r="W123" s="265" t="s">
        <v>143</v>
      </c>
      <c r="X123" s="266" t="s">
        <v>248</v>
      </c>
      <c r="Y123" s="89" t="s">
        <v>41</v>
      </c>
      <c r="Z123" s="28"/>
      <c r="AA123" s="28"/>
      <c r="AB123" s="28"/>
      <c r="AC123" s="28"/>
      <c r="AD123" s="28"/>
      <c r="AE123" s="28"/>
      <c r="AF123" s="28"/>
      <c r="AG123" s="28"/>
      <c r="AH123" s="28"/>
      <c r="AI123" s="28"/>
      <c r="AJ123" s="28"/>
      <c r="AK123" s="28"/>
    </row>
    <row r="124" spans="1:37" ht="47.25" x14ac:dyDescent="0.25">
      <c r="A124" s="13">
        <f t="shared" si="81"/>
        <v>3</v>
      </c>
      <c r="B124" s="675">
        <v>115</v>
      </c>
      <c r="C124" s="169">
        <v>120</v>
      </c>
      <c r="D124" s="181" t="s">
        <v>246</v>
      </c>
      <c r="E124" s="50" t="s">
        <v>286</v>
      </c>
      <c r="F124" s="32">
        <v>4</v>
      </c>
      <c r="G124" s="32" t="s">
        <v>24</v>
      </c>
      <c r="H124" s="33">
        <v>2</v>
      </c>
      <c r="I124" s="33" t="s">
        <v>29</v>
      </c>
      <c r="J124" s="34">
        <v>350000</v>
      </c>
      <c r="K124" s="34">
        <f t="shared" si="41"/>
        <v>2800000</v>
      </c>
      <c r="L124" s="43">
        <v>392000</v>
      </c>
      <c r="M124" s="147">
        <f t="shared" si="84"/>
        <v>3136000</v>
      </c>
      <c r="N124" s="267">
        <v>413000</v>
      </c>
      <c r="O124" s="41">
        <f t="shared" si="85"/>
        <v>3304000</v>
      </c>
      <c r="P124" s="68">
        <f t="shared" si="86"/>
        <v>385000</v>
      </c>
      <c r="Q124" s="68">
        <f t="shared" si="87"/>
        <v>3080000</v>
      </c>
      <c r="R124" s="68">
        <f t="shared" si="70"/>
        <v>26191.601707417591</v>
      </c>
      <c r="S124" s="69">
        <f t="shared" si="71"/>
        <v>6.8030134304980755E-2</v>
      </c>
      <c r="T124" s="68">
        <f t="shared" si="72"/>
        <v>392000</v>
      </c>
      <c r="U124" s="68">
        <f t="shared" si="73"/>
        <v>3136000</v>
      </c>
      <c r="V124" s="69">
        <f t="shared" si="74"/>
        <v>6.6815310478106099E-2</v>
      </c>
      <c r="W124" s="57" t="s">
        <v>41</v>
      </c>
      <c r="X124" s="268" t="s">
        <v>42</v>
      </c>
      <c r="Y124" s="269" t="s">
        <v>43</v>
      </c>
      <c r="Z124" s="28"/>
      <c r="AA124" s="28"/>
      <c r="AB124" s="28"/>
      <c r="AC124" s="28"/>
      <c r="AD124" s="28"/>
      <c r="AE124" s="28"/>
      <c r="AF124" s="28"/>
      <c r="AG124" s="28"/>
      <c r="AH124" s="28"/>
      <c r="AI124" s="28"/>
      <c r="AJ124" s="28"/>
      <c r="AK124" s="28"/>
    </row>
    <row r="125" spans="1:37" ht="31.5" x14ac:dyDescent="0.25">
      <c r="A125" s="13">
        <f t="shared" si="81"/>
        <v>3</v>
      </c>
      <c r="B125" s="675">
        <v>116</v>
      </c>
      <c r="C125" s="264">
        <v>121</v>
      </c>
      <c r="D125" s="181" t="s">
        <v>287</v>
      </c>
      <c r="E125" s="50" t="s">
        <v>250</v>
      </c>
      <c r="F125" s="32">
        <v>200</v>
      </c>
      <c r="G125" s="32" t="s">
        <v>24</v>
      </c>
      <c r="H125" s="33">
        <v>2</v>
      </c>
      <c r="I125" s="33" t="s">
        <v>29</v>
      </c>
      <c r="J125" s="34">
        <f>+(2975*100)/119</f>
        <v>2500</v>
      </c>
      <c r="K125" s="40">
        <f t="shared" si="41"/>
        <v>1000000</v>
      </c>
      <c r="L125" s="35">
        <f>+(1700*100)/119</f>
        <v>1428.5714285714287</v>
      </c>
      <c r="M125" s="35">
        <f t="shared" si="84"/>
        <v>571428.57142857148</v>
      </c>
      <c r="N125" s="35">
        <f>+(2142*100)/119</f>
        <v>1800</v>
      </c>
      <c r="O125" s="41">
        <f t="shared" si="85"/>
        <v>720000</v>
      </c>
      <c r="P125" s="68">
        <f t="shared" si="86"/>
        <v>1909.5238095238094</v>
      </c>
      <c r="Q125" s="68">
        <f t="shared" si="87"/>
        <v>763809.52380952379</v>
      </c>
      <c r="R125" s="68">
        <f t="shared" si="70"/>
        <v>444.21195733405148</v>
      </c>
      <c r="S125" s="69">
        <f t="shared" si="71"/>
        <v>0.23262970334202199</v>
      </c>
      <c r="T125" s="68">
        <f t="shared" si="72"/>
        <v>1800</v>
      </c>
      <c r="U125" s="68">
        <f t="shared" si="73"/>
        <v>720000</v>
      </c>
      <c r="V125" s="69">
        <f t="shared" si="74"/>
        <v>0.24678442074113971</v>
      </c>
      <c r="W125" s="25" t="s">
        <v>251</v>
      </c>
      <c r="X125" s="25" t="s">
        <v>252</v>
      </c>
      <c r="Y125" s="27" t="s">
        <v>253</v>
      </c>
      <c r="Z125" s="28"/>
      <c r="AA125" s="28"/>
      <c r="AB125" s="28"/>
      <c r="AC125" s="28"/>
      <c r="AD125" s="28"/>
      <c r="AE125" s="28"/>
      <c r="AF125" s="28"/>
      <c r="AG125" s="28"/>
      <c r="AH125" s="28"/>
      <c r="AI125" s="28"/>
      <c r="AJ125" s="28"/>
      <c r="AK125" s="28"/>
    </row>
    <row r="126" spans="1:37" ht="47.25" x14ac:dyDescent="0.25">
      <c r="A126" s="13">
        <f t="shared" si="81"/>
        <v>3</v>
      </c>
      <c r="B126" s="675">
        <v>117</v>
      </c>
      <c r="C126" s="169">
        <v>122</v>
      </c>
      <c r="D126" s="181" t="s">
        <v>288</v>
      </c>
      <c r="E126" s="50" t="s">
        <v>289</v>
      </c>
      <c r="F126" s="32">
        <v>6</v>
      </c>
      <c r="G126" s="32" t="s">
        <v>24</v>
      </c>
      <c r="H126" s="33">
        <v>2</v>
      </c>
      <c r="I126" s="33" t="s">
        <v>29</v>
      </c>
      <c r="J126" s="34">
        <f>+(22900*100)/119</f>
        <v>19243.697478991595</v>
      </c>
      <c r="K126" s="40">
        <f t="shared" si="41"/>
        <v>230924.36974789912</v>
      </c>
      <c r="L126" s="35">
        <f>+(21420*100)/119</f>
        <v>18000</v>
      </c>
      <c r="M126" s="35">
        <f t="shared" si="84"/>
        <v>216000</v>
      </c>
      <c r="N126" s="35">
        <f>+(14280*100)/119</f>
        <v>12000</v>
      </c>
      <c r="O126" s="41">
        <f t="shared" si="85"/>
        <v>144000</v>
      </c>
      <c r="P126" s="68">
        <f t="shared" si="86"/>
        <v>16414.565826330534</v>
      </c>
      <c r="Q126" s="68">
        <f t="shared" si="87"/>
        <v>196974.78991596639</v>
      </c>
      <c r="R126" s="68">
        <f t="shared" si="70"/>
        <v>3162.5927581723654</v>
      </c>
      <c r="S126" s="69">
        <f t="shared" si="71"/>
        <v>0.19266990011391372</v>
      </c>
      <c r="T126" s="68">
        <f t="shared" si="72"/>
        <v>18000</v>
      </c>
      <c r="U126" s="68">
        <f t="shared" si="73"/>
        <v>216000</v>
      </c>
      <c r="V126" s="69">
        <f t="shared" si="74"/>
        <v>0.17569959767624252</v>
      </c>
      <c r="W126" s="25" t="s">
        <v>290</v>
      </c>
      <c r="X126" s="25" t="s">
        <v>252</v>
      </c>
      <c r="Y126" s="27" t="s">
        <v>251</v>
      </c>
      <c r="Z126" s="28"/>
      <c r="AA126" s="28"/>
      <c r="AB126" s="28"/>
      <c r="AC126" s="28"/>
      <c r="AD126" s="28"/>
      <c r="AE126" s="28"/>
      <c r="AF126" s="28"/>
      <c r="AG126" s="28"/>
      <c r="AH126" s="28"/>
      <c r="AI126" s="28"/>
      <c r="AJ126" s="28"/>
      <c r="AK126" s="28"/>
    </row>
    <row r="127" spans="1:37" ht="63" x14ac:dyDescent="0.25">
      <c r="A127" s="13">
        <f t="shared" si="81"/>
        <v>3</v>
      </c>
      <c r="B127" s="675">
        <v>118</v>
      </c>
      <c r="C127" s="264">
        <v>123</v>
      </c>
      <c r="D127" s="181" t="s">
        <v>291</v>
      </c>
      <c r="E127" s="50" t="s">
        <v>292</v>
      </c>
      <c r="F127" s="32">
        <v>1</v>
      </c>
      <c r="G127" s="32" t="s">
        <v>24</v>
      </c>
      <c r="H127" s="33">
        <v>2</v>
      </c>
      <c r="I127" s="33" t="s">
        <v>29</v>
      </c>
      <c r="J127" s="34">
        <f>+(2737000*100)/119</f>
        <v>2300000</v>
      </c>
      <c r="K127" s="34">
        <f t="shared" si="41"/>
        <v>4600000</v>
      </c>
      <c r="L127" s="43">
        <f>+(2023000*100)/119</f>
        <v>1700000</v>
      </c>
      <c r="M127" s="147">
        <f t="shared" si="84"/>
        <v>3400000</v>
      </c>
      <c r="N127" s="80">
        <v>1500000</v>
      </c>
      <c r="O127" s="41">
        <f t="shared" si="85"/>
        <v>3000000</v>
      </c>
      <c r="P127" s="68">
        <f t="shared" si="86"/>
        <v>1833333.3333333333</v>
      </c>
      <c r="Q127" s="68">
        <f t="shared" si="87"/>
        <v>3666666.6666666665</v>
      </c>
      <c r="R127" s="68">
        <f t="shared" si="70"/>
        <v>339934.63423951901</v>
      </c>
      <c r="S127" s="69">
        <f t="shared" si="71"/>
        <v>0.185418891403374</v>
      </c>
      <c r="T127" s="68">
        <f t="shared" si="72"/>
        <v>1700000</v>
      </c>
      <c r="U127" s="68">
        <f t="shared" si="73"/>
        <v>3400000</v>
      </c>
      <c r="V127" s="69">
        <f t="shared" si="74"/>
        <v>0.19996154955265824</v>
      </c>
      <c r="W127" s="77" t="s">
        <v>143</v>
      </c>
      <c r="X127" s="270" t="s">
        <v>144</v>
      </c>
      <c r="Y127" s="271" t="s">
        <v>248</v>
      </c>
      <c r="Z127" s="28"/>
      <c r="AA127" s="28"/>
      <c r="AB127" s="28"/>
      <c r="AC127" s="28"/>
      <c r="AD127" s="28"/>
      <c r="AE127" s="28"/>
      <c r="AF127" s="28"/>
      <c r="AG127" s="28"/>
      <c r="AH127" s="28"/>
      <c r="AI127" s="28"/>
      <c r="AJ127" s="28"/>
      <c r="AK127" s="28"/>
    </row>
    <row r="128" spans="1:37" ht="63" x14ac:dyDescent="0.25">
      <c r="A128" s="13">
        <f t="shared" si="81"/>
        <v>3</v>
      </c>
      <c r="B128" s="675">
        <v>119</v>
      </c>
      <c r="C128" s="169">
        <v>124</v>
      </c>
      <c r="D128" s="212" t="s">
        <v>260</v>
      </c>
      <c r="E128" s="50" t="s">
        <v>261</v>
      </c>
      <c r="F128" s="32">
        <v>1</v>
      </c>
      <c r="G128" s="32" t="s">
        <v>24</v>
      </c>
      <c r="H128" s="33">
        <v>2</v>
      </c>
      <c r="I128" s="33" t="s">
        <v>29</v>
      </c>
      <c r="J128" s="182">
        <f>+(798319*5.35%)+798319</f>
        <v>841029.06649999996</v>
      </c>
      <c r="K128" s="46">
        <f t="shared" si="41"/>
        <v>1682058.1329999999</v>
      </c>
      <c r="L128" s="182">
        <f>+(861345*5.35%)+861345</f>
        <v>907426.95750000002</v>
      </c>
      <c r="M128" s="182">
        <f t="shared" si="84"/>
        <v>1814853.915</v>
      </c>
      <c r="N128" s="182">
        <f>+(827731*5.35%)+827731</f>
        <v>872014.60849999997</v>
      </c>
      <c r="O128" s="41">
        <f t="shared" si="85"/>
        <v>1744029.2169999999</v>
      </c>
      <c r="P128" s="68">
        <f t="shared" si="86"/>
        <v>873490.21083333332</v>
      </c>
      <c r="Q128" s="68">
        <f t="shared" si="87"/>
        <v>1746980.4216666666</v>
      </c>
      <c r="R128" s="68">
        <f t="shared" si="70"/>
        <v>27126.899736812</v>
      </c>
      <c r="S128" s="69">
        <f t="shared" si="71"/>
        <v>3.1055757008349529E-2</v>
      </c>
      <c r="T128" s="68">
        <f t="shared" si="72"/>
        <v>872014.60849999997</v>
      </c>
      <c r="U128" s="68">
        <f t="shared" si="73"/>
        <v>1744029.2169999999</v>
      </c>
      <c r="V128" s="69">
        <f t="shared" si="74"/>
        <v>3.1108308820048856E-2</v>
      </c>
      <c r="W128" s="25" t="s">
        <v>180</v>
      </c>
      <c r="X128" s="25" t="s">
        <v>262</v>
      </c>
      <c r="Y128" s="27" t="s">
        <v>263</v>
      </c>
      <c r="Z128" s="28"/>
      <c r="AA128" s="28"/>
      <c r="AB128" s="28"/>
      <c r="AC128" s="28"/>
      <c r="AD128" s="28"/>
      <c r="AE128" s="28"/>
      <c r="AF128" s="28"/>
      <c r="AG128" s="28"/>
      <c r="AH128" s="28"/>
      <c r="AI128" s="28"/>
      <c r="AJ128" s="28"/>
      <c r="AK128" s="28"/>
    </row>
    <row r="129" spans="1:37" ht="31.5" customHeight="1" x14ac:dyDescent="0.25">
      <c r="A129" s="13">
        <f t="shared" si="81"/>
        <v>3</v>
      </c>
      <c r="B129" s="675">
        <v>120</v>
      </c>
      <c r="C129" s="264">
        <v>125</v>
      </c>
      <c r="D129" s="212" t="s">
        <v>264</v>
      </c>
      <c r="E129" s="50" t="s">
        <v>265</v>
      </c>
      <c r="F129" s="32">
        <v>1</v>
      </c>
      <c r="G129" s="32" t="s">
        <v>24</v>
      </c>
      <c r="H129" s="33">
        <v>2</v>
      </c>
      <c r="I129" s="33" t="s">
        <v>29</v>
      </c>
      <c r="J129" s="34">
        <f>+(1428000*100)/119</f>
        <v>1200000</v>
      </c>
      <c r="K129" s="34">
        <f t="shared" si="41"/>
        <v>2400000</v>
      </c>
      <c r="L129" s="34">
        <f>+(1904000*100)/119</f>
        <v>1600000</v>
      </c>
      <c r="M129" s="58">
        <f t="shared" si="84"/>
        <v>3200000</v>
      </c>
      <c r="N129" s="80">
        <v>1200000</v>
      </c>
      <c r="O129" s="41">
        <f t="shared" si="85"/>
        <v>2400000</v>
      </c>
      <c r="P129" s="68">
        <f t="shared" si="86"/>
        <v>1333333.3333333333</v>
      </c>
      <c r="Q129" s="68">
        <f t="shared" si="87"/>
        <v>2666666.6666666665</v>
      </c>
      <c r="R129" s="68">
        <f t="shared" si="70"/>
        <v>188561.80831641267</v>
      </c>
      <c r="S129" s="69">
        <f t="shared" si="71"/>
        <v>0.1414213562373095</v>
      </c>
      <c r="T129" s="68">
        <f t="shared" si="72"/>
        <v>1200000</v>
      </c>
      <c r="U129" s="68">
        <f t="shared" si="73"/>
        <v>2400000</v>
      </c>
      <c r="V129" s="69">
        <f t="shared" si="74"/>
        <v>0.15713484026367722</v>
      </c>
      <c r="W129" s="57" t="s">
        <v>143</v>
      </c>
      <c r="X129" s="268" t="s">
        <v>144</v>
      </c>
      <c r="Y129" s="256" t="s">
        <v>266</v>
      </c>
      <c r="Z129" s="28"/>
      <c r="AA129" s="28"/>
      <c r="AB129" s="28"/>
      <c r="AC129" s="28"/>
      <c r="AD129" s="28"/>
      <c r="AE129" s="28"/>
      <c r="AF129" s="28"/>
      <c r="AG129" s="28"/>
      <c r="AH129" s="28"/>
      <c r="AI129" s="28"/>
      <c r="AJ129" s="28"/>
      <c r="AK129" s="28"/>
    </row>
    <row r="130" spans="1:37" ht="243" customHeight="1" x14ac:dyDescent="0.25">
      <c r="A130" s="13">
        <f t="shared" si="81"/>
        <v>3</v>
      </c>
      <c r="B130" s="675">
        <v>121</v>
      </c>
      <c r="C130" s="169">
        <v>126</v>
      </c>
      <c r="D130" s="181" t="s">
        <v>267</v>
      </c>
      <c r="E130" s="272" t="s">
        <v>293</v>
      </c>
      <c r="F130" s="32">
        <v>3</v>
      </c>
      <c r="G130" s="32" t="s">
        <v>24</v>
      </c>
      <c r="H130" s="33"/>
      <c r="I130" s="33"/>
      <c r="J130" s="228">
        <v>4210526</v>
      </c>
      <c r="K130" s="64">
        <f>+J130*F130</f>
        <v>12631578</v>
      </c>
      <c r="L130" s="228">
        <v>4210526</v>
      </c>
      <c r="M130" s="217">
        <f>+L130*F130</f>
        <v>12631578</v>
      </c>
      <c r="N130" s="228">
        <v>4210526</v>
      </c>
      <c r="O130" s="35">
        <f>+N130*F130</f>
        <v>12631578</v>
      </c>
      <c r="P130" s="163">
        <f t="shared" si="86"/>
        <v>4210526</v>
      </c>
      <c r="Q130" s="163">
        <f>+P130*F130</f>
        <v>12631578</v>
      </c>
      <c r="R130" s="163">
        <f t="shared" si="70"/>
        <v>0</v>
      </c>
      <c r="S130" s="183">
        <f t="shared" si="71"/>
        <v>0</v>
      </c>
      <c r="T130" s="163">
        <f t="shared" si="72"/>
        <v>4210526</v>
      </c>
      <c r="U130" s="163">
        <f>+T130*F130</f>
        <v>12631578</v>
      </c>
      <c r="V130" s="183">
        <f t="shared" si="74"/>
        <v>0</v>
      </c>
      <c r="W130" s="173" t="s">
        <v>41</v>
      </c>
      <c r="X130" s="177" t="s">
        <v>42</v>
      </c>
      <c r="Y130" s="178" t="s">
        <v>43</v>
      </c>
      <c r="Z130" s="28"/>
      <c r="AA130" s="28"/>
      <c r="AB130" s="28"/>
      <c r="AC130" s="28"/>
      <c r="AD130" s="28"/>
      <c r="AE130" s="28"/>
      <c r="AF130" s="28"/>
      <c r="AG130" s="28"/>
      <c r="AH130" s="28"/>
      <c r="AI130" s="28"/>
      <c r="AJ130" s="28"/>
      <c r="AK130" s="28"/>
    </row>
    <row r="131" spans="1:37" ht="249" customHeight="1" x14ac:dyDescent="0.25">
      <c r="A131" s="13">
        <f t="shared" si="81"/>
        <v>3</v>
      </c>
      <c r="B131" s="675">
        <v>122</v>
      </c>
      <c r="C131" s="264">
        <v>127</v>
      </c>
      <c r="D131" s="181" t="s">
        <v>269</v>
      </c>
      <c r="E131" s="272" t="s">
        <v>294</v>
      </c>
      <c r="F131" s="32">
        <v>3</v>
      </c>
      <c r="G131" s="32" t="s">
        <v>24</v>
      </c>
      <c r="H131" s="33"/>
      <c r="I131" s="33"/>
      <c r="J131" s="228">
        <v>3684211</v>
      </c>
      <c r="K131" s="64">
        <f t="shared" ref="K131:K134" si="88">+J131*F131</f>
        <v>11052633</v>
      </c>
      <c r="L131" s="228">
        <v>3684211</v>
      </c>
      <c r="M131" s="217">
        <f t="shared" ref="M131:M134" si="89">+L131*F131</f>
        <v>11052633</v>
      </c>
      <c r="N131" s="228">
        <v>3684211</v>
      </c>
      <c r="O131" s="35">
        <f t="shared" ref="O131:O134" si="90">+N131*F131</f>
        <v>11052633</v>
      </c>
      <c r="P131" s="68">
        <f t="shared" si="86"/>
        <v>3684211</v>
      </c>
      <c r="Q131" s="163">
        <f t="shared" ref="Q131:Q134" si="91">+P131*F131</f>
        <v>11052633</v>
      </c>
      <c r="R131" s="68">
        <f t="shared" si="70"/>
        <v>0</v>
      </c>
      <c r="S131" s="69">
        <f t="shared" si="71"/>
        <v>0</v>
      </c>
      <c r="T131" s="68">
        <f t="shared" si="72"/>
        <v>3684211</v>
      </c>
      <c r="U131" s="163">
        <f t="shared" ref="U131:U134" si="92">+T131*F131</f>
        <v>11052633</v>
      </c>
      <c r="V131" s="69">
        <f t="shared" si="74"/>
        <v>0</v>
      </c>
      <c r="W131" s="57" t="s">
        <v>41</v>
      </c>
      <c r="X131" s="268" t="s">
        <v>42</v>
      </c>
      <c r="Y131" s="269" t="s">
        <v>43</v>
      </c>
      <c r="Z131" s="28"/>
      <c r="AA131" s="28"/>
      <c r="AB131" s="28"/>
      <c r="AC131" s="28"/>
      <c r="AD131" s="28"/>
      <c r="AE131" s="28"/>
      <c r="AF131" s="28"/>
      <c r="AG131" s="28"/>
      <c r="AH131" s="28"/>
      <c r="AI131" s="28"/>
      <c r="AJ131" s="28"/>
      <c r="AK131" s="28"/>
    </row>
    <row r="132" spans="1:37" ht="229.15" customHeight="1" x14ac:dyDescent="0.25">
      <c r="A132" s="13">
        <f t="shared" si="81"/>
        <v>3</v>
      </c>
      <c r="B132" s="675">
        <v>123</v>
      </c>
      <c r="C132" s="169">
        <v>128</v>
      </c>
      <c r="D132" s="181" t="s">
        <v>271</v>
      </c>
      <c r="E132" s="272" t="s">
        <v>295</v>
      </c>
      <c r="F132" s="32">
        <v>3</v>
      </c>
      <c r="G132" s="32" t="s">
        <v>24</v>
      </c>
      <c r="H132" s="33"/>
      <c r="I132" s="33"/>
      <c r="J132" s="228">
        <v>3157895</v>
      </c>
      <c r="K132" s="64">
        <f t="shared" si="88"/>
        <v>9473685</v>
      </c>
      <c r="L132" s="228">
        <v>3157895</v>
      </c>
      <c r="M132" s="217">
        <f t="shared" si="89"/>
        <v>9473685</v>
      </c>
      <c r="N132" s="228">
        <v>3157895</v>
      </c>
      <c r="O132" s="35">
        <f t="shared" si="90"/>
        <v>9473685</v>
      </c>
      <c r="P132" s="68">
        <f t="shared" si="86"/>
        <v>3157895</v>
      </c>
      <c r="Q132" s="163">
        <f t="shared" si="91"/>
        <v>9473685</v>
      </c>
      <c r="R132" s="68">
        <f t="shared" si="70"/>
        <v>0</v>
      </c>
      <c r="S132" s="69">
        <f t="shared" si="71"/>
        <v>0</v>
      </c>
      <c r="T132" s="68">
        <f t="shared" si="72"/>
        <v>3157895</v>
      </c>
      <c r="U132" s="163">
        <f t="shared" si="92"/>
        <v>9473685</v>
      </c>
      <c r="V132" s="69">
        <f t="shared" si="74"/>
        <v>0</v>
      </c>
      <c r="W132" s="57" t="s">
        <v>41</v>
      </c>
      <c r="X132" s="268" t="s">
        <v>42</v>
      </c>
      <c r="Y132" s="269" t="s">
        <v>43</v>
      </c>
      <c r="Z132" s="28"/>
      <c r="AA132" s="28"/>
      <c r="AB132" s="28"/>
      <c r="AC132" s="28"/>
      <c r="AD132" s="28"/>
      <c r="AE132" s="28"/>
      <c r="AF132" s="28"/>
      <c r="AG132" s="28"/>
      <c r="AH132" s="28"/>
      <c r="AI132" s="28"/>
      <c r="AJ132" s="28"/>
      <c r="AK132" s="28"/>
    </row>
    <row r="133" spans="1:37" ht="234.6" customHeight="1" x14ac:dyDescent="0.25">
      <c r="A133" s="13">
        <f t="shared" si="81"/>
        <v>3</v>
      </c>
      <c r="B133" s="675">
        <v>124</v>
      </c>
      <c r="C133" s="264">
        <v>129</v>
      </c>
      <c r="D133" s="181" t="s">
        <v>296</v>
      </c>
      <c r="E133" s="272" t="s">
        <v>297</v>
      </c>
      <c r="F133" s="32">
        <v>3</v>
      </c>
      <c r="G133" s="32" t="s">
        <v>24</v>
      </c>
      <c r="H133" s="33"/>
      <c r="I133" s="33"/>
      <c r="J133" s="228">
        <v>1052632</v>
      </c>
      <c r="K133" s="64">
        <f t="shared" si="88"/>
        <v>3157896</v>
      </c>
      <c r="L133" s="228">
        <v>1052632</v>
      </c>
      <c r="M133" s="217">
        <f t="shared" si="89"/>
        <v>3157896</v>
      </c>
      <c r="N133" s="228">
        <v>1052632</v>
      </c>
      <c r="O133" s="35">
        <f t="shared" si="90"/>
        <v>3157896</v>
      </c>
      <c r="P133" s="68">
        <f t="shared" si="86"/>
        <v>1052632</v>
      </c>
      <c r="Q133" s="163">
        <f t="shared" si="91"/>
        <v>3157896</v>
      </c>
      <c r="R133" s="68">
        <f t="shared" si="70"/>
        <v>0</v>
      </c>
      <c r="S133" s="69">
        <f t="shared" si="71"/>
        <v>0</v>
      </c>
      <c r="T133" s="68">
        <f t="shared" si="72"/>
        <v>1052632</v>
      </c>
      <c r="U133" s="163">
        <f t="shared" si="92"/>
        <v>3157896</v>
      </c>
      <c r="V133" s="69">
        <f t="shared" si="74"/>
        <v>0</v>
      </c>
      <c r="W133" s="57" t="s">
        <v>41</v>
      </c>
      <c r="X133" s="268" t="s">
        <v>42</v>
      </c>
      <c r="Y133" s="269" t="s">
        <v>43</v>
      </c>
      <c r="Z133" s="28"/>
      <c r="AA133" s="28"/>
      <c r="AB133" s="28"/>
      <c r="AC133" s="28"/>
      <c r="AD133" s="28"/>
      <c r="AE133" s="28"/>
      <c r="AF133" s="28"/>
      <c r="AG133" s="28"/>
      <c r="AH133" s="28"/>
      <c r="AI133" s="28"/>
      <c r="AJ133" s="28"/>
      <c r="AK133" s="28"/>
    </row>
    <row r="134" spans="1:37" ht="251.1" customHeight="1" x14ac:dyDescent="0.25">
      <c r="A134" s="13">
        <f t="shared" si="81"/>
        <v>3</v>
      </c>
      <c r="B134" s="675">
        <v>125</v>
      </c>
      <c r="C134" s="169">
        <v>130</v>
      </c>
      <c r="D134" s="181" t="s">
        <v>298</v>
      </c>
      <c r="E134" s="272" t="s">
        <v>299</v>
      </c>
      <c r="F134" s="32">
        <v>2</v>
      </c>
      <c r="G134" s="32" t="s">
        <v>24</v>
      </c>
      <c r="H134" s="33"/>
      <c r="I134" s="33"/>
      <c r="J134" s="228">
        <v>526316</v>
      </c>
      <c r="K134" s="64">
        <f t="shared" si="88"/>
        <v>1052632</v>
      </c>
      <c r="L134" s="228">
        <v>526316</v>
      </c>
      <c r="M134" s="217">
        <f t="shared" si="89"/>
        <v>1052632</v>
      </c>
      <c r="N134" s="228">
        <v>526316</v>
      </c>
      <c r="O134" s="35">
        <f t="shared" si="90"/>
        <v>1052632</v>
      </c>
      <c r="P134" s="68">
        <f t="shared" si="86"/>
        <v>526316</v>
      </c>
      <c r="Q134" s="163">
        <f t="shared" si="91"/>
        <v>1052632</v>
      </c>
      <c r="R134" s="68">
        <f t="shared" si="70"/>
        <v>0</v>
      </c>
      <c r="S134" s="69">
        <f t="shared" si="71"/>
        <v>0</v>
      </c>
      <c r="T134" s="68">
        <f t="shared" si="72"/>
        <v>526316</v>
      </c>
      <c r="U134" s="163">
        <f t="shared" si="92"/>
        <v>1052632</v>
      </c>
      <c r="V134" s="69">
        <f t="shared" si="74"/>
        <v>0</v>
      </c>
      <c r="W134" s="57" t="s">
        <v>41</v>
      </c>
      <c r="X134" s="268" t="s">
        <v>42</v>
      </c>
      <c r="Y134" s="269" t="s">
        <v>43</v>
      </c>
      <c r="Z134" s="28"/>
      <c r="AA134" s="28"/>
      <c r="AB134" s="28"/>
      <c r="AC134" s="28"/>
      <c r="AD134" s="28"/>
      <c r="AE134" s="28"/>
      <c r="AF134" s="28"/>
      <c r="AG134" s="28"/>
      <c r="AH134" s="28"/>
      <c r="AI134" s="28"/>
      <c r="AJ134" s="28"/>
      <c r="AK134" s="28"/>
    </row>
    <row r="135" spans="1:37" ht="78.75" customHeight="1" x14ac:dyDescent="0.25">
      <c r="A135" s="13">
        <f t="shared" si="81"/>
        <v>1</v>
      </c>
      <c r="B135" s="675">
        <v>126</v>
      </c>
      <c r="C135" s="264">
        <v>131</v>
      </c>
      <c r="D135" s="668" t="s">
        <v>300</v>
      </c>
      <c r="E135" s="273" t="s">
        <v>301</v>
      </c>
      <c r="F135" s="32">
        <v>1</v>
      </c>
      <c r="G135" s="32" t="s">
        <v>24</v>
      </c>
      <c r="H135" s="33">
        <v>1</v>
      </c>
      <c r="I135" s="33" t="s">
        <v>302</v>
      </c>
      <c r="J135" s="669">
        <v>15000000</v>
      </c>
      <c r="K135" s="275">
        <f t="shared" si="41"/>
        <v>15000000</v>
      </c>
      <c r="L135" s="34"/>
      <c r="M135" s="58"/>
      <c r="N135" s="34"/>
      <c r="O135" s="35"/>
      <c r="P135" s="163">
        <f>+AVERAGE(J135)</f>
        <v>15000000</v>
      </c>
      <c r="Q135" s="585">
        <f t="shared" si="87"/>
        <v>15000000</v>
      </c>
      <c r="R135" s="68">
        <f>+_xlfn.STDEV.P(J135)</f>
        <v>0</v>
      </c>
      <c r="S135" s="69">
        <f t="shared" si="71"/>
        <v>0</v>
      </c>
      <c r="T135" s="68">
        <f t="shared" si="72"/>
        <v>15000000</v>
      </c>
      <c r="U135" s="585">
        <f t="shared" si="73"/>
        <v>15000000</v>
      </c>
      <c r="V135" s="69">
        <f t="shared" si="74"/>
        <v>0</v>
      </c>
      <c r="W135" s="57"/>
      <c r="X135" s="268"/>
      <c r="Y135" s="269"/>
      <c r="Z135" s="28"/>
      <c r="AA135" s="28"/>
      <c r="AB135" s="28"/>
      <c r="AC135" s="28"/>
      <c r="AD135" s="28"/>
      <c r="AE135" s="28"/>
      <c r="AF135" s="28"/>
      <c r="AG135" s="28"/>
      <c r="AH135" s="28"/>
      <c r="AI135" s="28"/>
      <c r="AJ135" s="28"/>
      <c r="AK135" s="28"/>
    </row>
    <row r="136" spans="1:37" ht="47.25" customHeight="1" x14ac:dyDescent="0.25">
      <c r="A136" s="13">
        <f t="shared" si="81"/>
        <v>3</v>
      </c>
      <c r="B136" s="675">
        <v>127</v>
      </c>
      <c r="C136" s="169">
        <v>132</v>
      </c>
      <c r="D136" s="181" t="s">
        <v>198</v>
      </c>
      <c r="E136" s="50" t="s">
        <v>199</v>
      </c>
      <c r="F136" s="32">
        <v>15</v>
      </c>
      <c r="G136" s="32" t="s">
        <v>24</v>
      </c>
      <c r="H136" s="33">
        <v>2</v>
      </c>
      <c r="I136" s="33" t="s">
        <v>29</v>
      </c>
      <c r="J136" s="34">
        <v>4500</v>
      </c>
      <c r="K136" s="34">
        <f t="shared" si="41"/>
        <v>135000</v>
      </c>
      <c r="L136" s="43">
        <v>5000</v>
      </c>
      <c r="M136" s="147">
        <f t="shared" ref="M136" si="93">+L136*H136*F136</f>
        <v>150000</v>
      </c>
      <c r="N136" s="43">
        <v>5000</v>
      </c>
      <c r="O136" s="41">
        <f t="shared" ref="O136" si="94">+N136*H136*F136</f>
        <v>150000</v>
      </c>
      <c r="P136" s="68">
        <f t="shared" ref="P136" si="95">+AVERAGE(J136,L136,N136)</f>
        <v>4833.333333333333</v>
      </c>
      <c r="Q136" s="68">
        <f t="shared" si="87"/>
        <v>145000</v>
      </c>
      <c r="R136" s="68">
        <f t="shared" ref="R136" si="96">+_xlfn.STDEV.P(J136,L136,N136)</f>
        <v>235.70226039551585</v>
      </c>
      <c r="S136" s="69">
        <f t="shared" si="71"/>
        <v>4.8765984909417075E-2</v>
      </c>
      <c r="T136" s="68">
        <f t="shared" si="72"/>
        <v>5000</v>
      </c>
      <c r="U136" s="68">
        <f t="shared" si="73"/>
        <v>150000</v>
      </c>
      <c r="V136" s="69">
        <f t="shared" si="74"/>
        <v>4.7140452079103168E-2</v>
      </c>
      <c r="W136" s="25" t="s">
        <v>41</v>
      </c>
      <c r="X136" s="25" t="s">
        <v>42</v>
      </c>
      <c r="Y136" s="53" t="s">
        <v>43</v>
      </c>
      <c r="Z136" s="28"/>
      <c r="AA136" s="28"/>
      <c r="AB136" s="28"/>
      <c r="AC136" s="28"/>
      <c r="AD136" s="28"/>
      <c r="AE136" s="28"/>
      <c r="AF136" s="28"/>
      <c r="AG136" s="28"/>
      <c r="AH136" s="28"/>
      <c r="AI136" s="28"/>
      <c r="AJ136" s="28"/>
      <c r="AK136" s="28"/>
    </row>
    <row r="137" spans="1:37" ht="15.75" customHeight="1" x14ac:dyDescent="0.25">
      <c r="A137" s="13">
        <f t="shared" si="81"/>
        <v>3</v>
      </c>
      <c r="B137" s="675">
        <v>128</v>
      </c>
      <c r="C137" s="264">
        <v>133</v>
      </c>
      <c r="D137" s="181" t="s">
        <v>200</v>
      </c>
      <c r="E137" s="50" t="s">
        <v>274</v>
      </c>
      <c r="F137" s="32">
        <v>9</v>
      </c>
      <c r="G137" s="32" t="s">
        <v>24</v>
      </c>
      <c r="H137" s="33">
        <v>2</v>
      </c>
      <c r="I137" s="33" t="s">
        <v>29</v>
      </c>
      <c r="J137" s="34">
        <f>+(19500*100)/119</f>
        <v>16386.55462184874</v>
      </c>
      <c r="K137" s="40">
        <f t="shared" ref="K137:K200" si="97">+J137*F137*H137</f>
        <v>294957.98319327732</v>
      </c>
      <c r="L137" s="35">
        <f>+(17407*100)/119</f>
        <v>14627.731092436974</v>
      </c>
      <c r="M137" s="35">
        <f t="shared" si="84"/>
        <v>263299.15966386552</v>
      </c>
      <c r="N137" s="115">
        <f>+(16650*100)/119</f>
        <v>13991.596638655463</v>
      </c>
      <c r="O137" s="41">
        <f t="shared" si="85"/>
        <v>251848.73949579833</v>
      </c>
      <c r="P137" s="68">
        <f t="shared" si="86"/>
        <v>15001.960784313726</v>
      </c>
      <c r="Q137" s="68">
        <f t="shared" si="87"/>
        <v>270035.29411764705</v>
      </c>
      <c r="R137" s="68">
        <f t="shared" si="70"/>
        <v>1012.913893025769</v>
      </c>
      <c r="S137" s="69">
        <f t="shared" si="71"/>
        <v>6.7518766885785148E-2</v>
      </c>
      <c r="T137" s="68">
        <f t="shared" si="72"/>
        <v>14627.731092436974</v>
      </c>
      <c r="U137" s="68">
        <f t="shared" si="73"/>
        <v>263299.15966386552</v>
      </c>
      <c r="V137" s="69">
        <f t="shared" si="74"/>
        <v>6.9246138490300743E-2</v>
      </c>
      <c r="W137" s="25" t="s">
        <v>202</v>
      </c>
      <c r="X137" s="25" t="s">
        <v>303</v>
      </c>
      <c r="Y137" s="27" t="s">
        <v>204</v>
      </c>
      <c r="Z137" s="28" t="s">
        <v>205</v>
      </c>
      <c r="AA137" s="28" t="s">
        <v>206</v>
      </c>
      <c r="AB137" s="28"/>
      <c r="AC137" s="28"/>
      <c r="AD137" s="28"/>
      <c r="AE137" s="28"/>
      <c r="AF137" s="28"/>
      <c r="AG137" s="28"/>
      <c r="AH137" s="28"/>
      <c r="AI137" s="28"/>
      <c r="AJ137" s="28"/>
      <c r="AK137" s="28"/>
    </row>
    <row r="138" spans="1:37" ht="47.25" customHeight="1" x14ac:dyDescent="0.25">
      <c r="A138" s="13">
        <f t="shared" si="81"/>
        <v>3</v>
      </c>
      <c r="B138" s="675">
        <v>129</v>
      </c>
      <c r="C138" s="169">
        <v>134</v>
      </c>
      <c r="D138" s="181" t="s">
        <v>304</v>
      </c>
      <c r="E138" s="50" t="s">
        <v>208</v>
      </c>
      <c r="F138" s="32">
        <v>200</v>
      </c>
      <c r="G138" s="32" t="s">
        <v>24</v>
      </c>
      <c r="H138" s="33">
        <v>2</v>
      </c>
      <c r="I138" s="33" t="s">
        <v>29</v>
      </c>
      <c r="J138" s="34">
        <f>+(10756*100)/119</f>
        <v>9038.6554621848736</v>
      </c>
      <c r="K138" s="40">
        <f t="shared" si="97"/>
        <v>3615462.1848739493</v>
      </c>
      <c r="L138" s="35">
        <f>+(12017*100)/119</f>
        <v>10098.319327731093</v>
      </c>
      <c r="M138" s="35">
        <f t="shared" si="84"/>
        <v>4039327.7310924372</v>
      </c>
      <c r="N138" s="35">
        <f>+(10900*100)/119</f>
        <v>9159.6638655462193</v>
      </c>
      <c r="O138" s="41">
        <f t="shared" si="85"/>
        <v>3663865.5462184879</v>
      </c>
      <c r="P138" s="68">
        <f t="shared" si="86"/>
        <v>9432.212885154062</v>
      </c>
      <c r="Q138" s="68">
        <f t="shared" si="87"/>
        <v>3772885.1540616248</v>
      </c>
      <c r="R138" s="68">
        <f t="shared" si="70"/>
        <v>473.59202066264169</v>
      </c>
      <c r="S138" s="69">
        <f t="shared" si="71"/>
        <v>5.0210064852125764E-2</v>
      </c>
      <c r="T138" s="68">
        <f t="shared" si="72"/>
        <v>9159.6638655462193</v>
      </c>
      <c r="U138" s="68">
        <f t="shared" si="73"/>
        <v>3663865.5462184879</v>
      </c>
      <c r="V138" s="69">
        <f t="shared" si="74"/>
        <v>5.1704082989774636E-2</v>
      </c>
      <c r="W138" s="47" t="s">
        <v>209</v>
      </c>
      <c r="X138" s="47" t="s">
        <v>210</v>
      </c>
      <c r="Y138" s="48" t="s">
        <v>211</v>
      </c>
      <c r="Z138" s="236">
        <f>SUM(Q121:Q138)</f>
        <v>72741042.516904771</v>
      </c>
      <c r="AA138" s="237">
        <f>SUM(U121:U138)</f>
        <v>71917218.056215689</v>
      </c>
      <c r="AB138" s="28"/>
      <c r="AC138" s="28"/>
      <c r="AD138" s="28"/>
      <c r="AE138" s="28"/>
      <c r="AF138" s="28"/>
      <c r="AG138" s="28"/>
      <c r="AH138" s="28"/>
      <c r="AI138" s="28"/>
      <c r="AJ138" s="28"/>
      <c r="AK138" s="28"/>
    </row>
    <row r="139" spans="1:37" ht="15.75" customHeight="1" x14ac:dyDescent="0.25">
      <c r="A139" s="276"/>
      <c r="B139" s="276"/>
      <c r="C139" s="276"/>
      <c r="D139" s="277"/>
      <c r="E139" s="278" t="s">
        <v>305</v>
      </c>
      <c r="F139" s="279"/>
      <c r="G139" s="279"/>
      <c r="H139" s="279"/>
      <c r="I139" s="279"/>
      <c r="J139" s="279"/>
      <c r="K139" s="279"/>
      <c r="L139" s="279"/>
      <c r="M139" s="279"/>
      <c r="N139" s="279"/>
      <c r="O139" s="279"/>
      <c r="P139" s="279"/>
      <c r="Q139" s="279"/>
      <c r="R139" s="279"/>
      <c r="S139" s="279"/>
      <c r="T139" s="279"/>
      <c r="U139" s="279"/>
      <c r="V139" s="279"/>
      <c r="W139" s="277"/>
      <c r="X139" s="277"/>
      <c r="Y139" s="280"/>
      <c r="Z139" s="28"/>
      <c r="AA139" s="28"/>
      <c r="AB139" s="28"/>
      <c r="AC139" s="28"/>
      <c r="AD139" s="28"/>
      <c r="AE139" s="28"/>
      <c r="AF139" s="28"/>
      <c r="AG139" s="28"/>
      <c r="AH139" s="28"/>
      <c r="AI139" s="28"/>
      <c r="AJ139" s="28"/>
      <c r="AK139" s="28"/>
    </row>
    <row r="140" spans="1:37" ht="47.25" customHeight="1" x14ac:dyDescent="0.25">
      <c r="A140" s="13">
        <f t="shared" si="81"/>
        <v>3</v>
      </c>
      <c r="B140" s="675">
        <v>130</v>
      </c>
      <c r="C140" s="38">
        <v>135</v>
      </c>
      <c r="D140" s="65" t="s">
        <v>306</v>
      </c>
      <c r="E140" s="31" t="s">
        <v>307</v>
      </c>
      <c r="F140" s="32">
        <v>1</v>
      </c>
      <c r="G140" s="32" t="s">
        <v>24</v>
      </c>
      <c r="H140" s="33">
        <v>1</v>
      </c>
      <c r="I140" s="33" t="s">
        <v>29</v>
      </c>
      <c r="J140" s="34">
        <f>+(702100*100)/119</f>
        <v>590000</v>
      </c>
      <c r="K140" s="34">
        <f t="shared" si="97"/>
        <v>590000</v>
      </c>
      <c r="L140" s="34">
        <f>+(535500*100)/119</f>
        <v>450000</v>
      </c>
      <c r="M140" s="58">
        <f t="shared" si="84"/>
        <v>450000</v>
      </c>
      <c r="N140" s="80">
        <v>406000</v>
      </c>
      <c r="O140" s="41">
        <f t="shared" si="85"/>
        <v>406000</v>
      </c>
      <c r="P140" s="68">
        <f t="shared" si="86"/>
        <v>482000</v>
      </c>
      <c r="Q140" s="68">
        <f t="shared" si="87"/>
        <v>482000</v>
      </c>
      <c r="R140" s="68">
        <f t="shared" si="70"/>
        <v>78451.683644563469</v>
      </c>
      <c r="S140" s="69">
        <f t="shared" si="71"/>
        <v>0.16276282913809847</v>
      </c>
      <c r="T140" s="68">
        <f t="shared" si="72"/>
        <v>450000</v>
      </c>
      <c r="U140" s="68">
        <f t="shared" si="73"/>
        <v>450000</v>
      </c>
      <c r="V140" s="69">
        <f t="shared" si="74"/>
        <v>0.1743370747656966</v>
      </c>
      <c r="W140" s="33" t="s">
        <v>143</v>
      </c>
      <c r="X140" s="254" t="s">
        <v>144</v>
      </c>
      <c r="Y140" s="256" t="s">
        <v>248</v>
      </c>
      <c r="Z140" s="28"/>
      <c r="AA140" s="28"/>
      <c r="AB140" s="28"/>
      <c r="AC140" s="28"/>
      <c r="AD140" s="28"/>
      <c r="AE140" s="28"/>
      <c r="AF140" s="28"/>
      <c r="AG140" s="28"/>
      <c r="AH140" s="28"/>
      <c r="AI140" s="28"/>
      <c r="AJ140" s="28"/>
      <c r="AK140" s="28"/>
    </row>
    <row r="141" spans="1:37" ht="146.25" customHeight="1" x14ac:dyDescent="0.25">
      <c r="A141" s="13">
        <f t="shared" si="81"/>
        <v>3</v>
      </c>
      <c r="B141" s="675">
        <v>131</v>
      </c>
      <c r="C141" s="38">
        <v>136</v>
      </c>
      <c r="D141" s="61" t="s">
        <v>308</v>
      </c>
      <c r="E141" s="281" t="s">
        <v>309</v>
      </c>
      <c r="F141" s="32">
        <v>2</v>
      </c>
      <c r="G141" s="32" t="s">
        <v>24</v>
      </c>
      <c r="H141" s="33">
        <v>1</v>
      </c>
      <c r="I141" s="33" t="s">
        <v>29</v>
      </c>
      <c r="J141" s="282">
        <f>+(513000*5.35%)+513000</f>
        <v>540445.5</v>
      </c>
      <c r="K141" s="40">
        <f t="shared" si="97"/>
        <v>1080891</v>
      </c>
      <c r="L141" s="282">
        <f>+(523800*5.35%)+523800</f>
        <v>551823.30000000005</v>
      </c>
      <c r="M141" s="35">
        <f t="shared" si="84"/>
        <v>1103646.6000000001</v>
      </c>
      <c r="N141" s="282">
        <f>+(583200*5.35%)+583200</f>
        <v>614401.19999999995</v>
      </c>
      <c r="O141" s="41">
        <f t="shared" si="85"/>
        <v>1228802.3999999999</v>
      </c>
      <c r="P141" s="68">
        <f t="shared" si="86"/>
        <v>568890</v>
      </c>
      <c r="Q141" s="68">
        <f t="shared" si="87"/>
        <v>1137780</v>
      </c>
      <c r="R141" s="68">
        <f t="shared" si="70"/>
        <v>32514.771794678156</v>
      </c>
      <c r="S141" s="69">
        <f t="shared" si="71"/>
        <v>5.7154760664940775E-2</v>
      </c>
      <c r="T141" s="68">
        <f t="shared" si="72"/>
        <v>551823.30000000005</v>
      </c>
      <c r="U141" s="68">
        <f t="shared" si="73"/>
        <v>1103646.6000000001</v>
      </c>
      <c r="V141" s="69">
        <f t="shared" si="74"/>
        <v>5.8922433675196666E-2</v>
      </c>
      <c r="W141" s="25" t="s">
        <v>310</v>
      </c>
      <c r="X141" s="25" t="s">
        <v>311</v>
      </c>
      <c r="Y141" s="27" t="s">
        <v>42</v>
      </c>
      <c r="Z141" s="28"/>
      <c r="AA141" s="28"/>
      <c r="AB141" s="28"/>
      <c r="AC141" s="28"/>
      <c r="AD141" s="28"/>
      <c r="AE141" s="28"/>
      <c r="AF141" s="28"/>
      <c r="AG141" s="28"/>
      <c r="AH141" s="28"/>
      <c r="AI141" s="28"/>
      <c r="AJ141" s="28"/>
      <c r="AK141" s="28"/>
    </row>
    <row r="142" spans="1:37" ht="31.5" customHeight="1" x14ac:dyDescent="0.25">
      <c r="A142" s="13">
        <f t="shared" si="81"/>
        <v>3</v>
      </c>
      <c r="B142" s="675">
        <v>132</v>
      </c>
      <c r="C142" s="38">
        <v>137</v>
      </c>
      <c r="D142" s="65" t="s">
        <v>246</v>
      </c>
      <c r="E142" s="31" t="s">
        <v>312</v>
      </c>
      <c r="F142" s="66">
        <v>3</v>
      </c>
      <c r="G142" s="32" t="s">
        <v>24</v>
      </c>
      <c r="H142" s="33">
        <v>1</v>
      </c>
      <c r="I142" s="33" t="s">
        <v>29</v>
      </c>
      <c r="J142" s="34">
        <f>+(773500*100)/119</f>
        <v>650000</v>
      </c>
      <c r="K142" s="34">
        <f t="shared" si="97"/>
        <v>1950000</v>
      </c>
      <c r="L142" s="43">
        <f>+(535500*100)/119</f>
        <v>450000</v>
      </c>
      <c r="M142" s="147">
        <f t="shared" si="84"/>
        <v>1350000</v>
      </c>
      <c r="N142" s="267">
        <v>406000</v>
      </c>
      <c r="O142" s="41">
        <f t="shared" si="85"/>
        <v>1218000</v>
      </c>
      <c r="P142" s="68">
        <f t="shared" si="86"/>
        <v>502000</v>
      </c>
      <c r="Q142" s="68">
        <f t="shared" si="87"/>
        <v>1506000</v>
      </c>
      <c r="R142" s="68">
        <f t="shared" si="70"/>
        <v>106182.23329101091</v>
      </c>
      <c r="S142" s="69">
        <f t="shared" si="71"/>
        <v>0.2115183930099819</v>
      </c>
      <c r="T142" s="68">
        <f t="shared" si="72"/>
        <v>450000</v>
      </c>
      <c r="U142" s="68">
        <f t="shared" si="73"/>
        <v>1350000</v>
      </c>
      <c r="V142" s="69">
        <f t="shared" si="74"/>
        <v>0.23596051842446869</v>
      </c>
      <c r="W142" s="77" t="s">
        <v>143</v>
      </c>
      <c r="X142" s="270" t="s">
        <v>144</v>
      </c>
      <c r="Y142" s="271" t="s">
        <v>248</v>
      </c>
      <c r="Z142" s="28"/>
      <c r="AA142" s="28"/>
      <c r="AB142" s="28"/>
      <c r="AC142" s="28"/>
      <c r="AD142" s="28"/>
      <c r="AE142" s="28"/>
      <c r="AF142" s="28"/>
      <c r="AG142" s="28"/>
      <c r="AH142" s="28"/>
      <c r="AI142" s="28"/>
      <c r="AJ142" s="28"/>
      <c r="AK142" s="28"/>
    </row>
    <row r="143" spans="1:37" ht="47.25" customHeight="1" x14ac:dyDescent="0.25">
      <c r="A143" s="13">
        <f t="shared" si="81"/>
        <v>3</v>
      </c>
      <c r="B143" s="675">
        <v>133</v>
      </c>
      <c r="C143" s="38">
        <v>138</v>
      </c>
      <c r="D143" s="65" t="s">
        <v>313</v>
      </c>
      <c r="E143" s="31" t="s">
        <v>314</v>
      </c>
      <c r="F143" s="66">
        <v>1</v>
      </c>
      <c r="G143" s="32" t="s">
        <v>24</v>
      </c>
      <c r="H143" s="33">
        <v>1</v>
      </c>
      <c r="I143" s="33" t="s">
        <v>29</v>
      </c>
      <c r="J143" s="282">
        <f>+(950784*5.35%)+950784</f>
        <v>1001650.944</v>
      </c>
      <c r="K143" s="120">
        <f>+J143*H143*F143</f>
        <v>1001650.944</v>
      </c>
      <c r="L143" s="282">
        <f>+(970800*5.35%)+970800</f>
        <v>1022737.8</v>
      </c>
      <c r="M143" s="35">
        <f t="shared" si="84"/>
        <v>1022737.8</v>
      </c>
      <c r="N143" s="282">
        <f>+(1128600*5.35%)+1128600</f>
        <v>1188980.1000000001</v>
      </c>
      <c r="O143" s="41">
        <f t="shared" si="85"/>
        <v>1188980.1000000001</v>
      </c>
      <c r="P143" s="68">
        <f t="shared" si="86"/>
        <v>1071122.9480000001</v>
      </c>
      <c r="Q143" s="68">
        <f t="shared" si="87"/>
        <v>1071122.9480000001</v>
      </c>
      <c r="R143" s="68">
        <f t="shared" si="70"/>
        <v>83781.044324495102</v>
      </c>
      <c r="S143" s="69">
        <f t="shared" si="71"/>
        <v>7.8217952925881198E-2</v>
      </c>
      <c r="T143" s="68">
        <f t="shared" si="72"/>
        <v>1022737.8</v>
      </c>
      <c r="U143" s="68">
        <f t="shared" si="73"/>
        <v>1022737.8</v>
      </c>
      <c r="V143" s="69">
        <f t="shared" si="74"/>
        <v>8.1918400126107682E-2</v>
      </c>
      <c r="W143" s="283" t="s">
        <v>315</v>
      </c>
      <c r="X143" s="284" t="s">
        <v>316</v>
      </c>
      <c r="Y143" s="283" t="s">
        <v>42</v>
      </c>
      <c r="Z143" s="28"/>
      <c r="AA143" s="28"/>
      <c r="AB143" s="28"/>
      <c r="AC143" s="28"/>
      <c r="AD143" s="28"/>
      <c r="AE143" s="28"/>
      <c r="AF143" s="28"/>
      <c r="AG143" s="28"/>
      <c r="AH143" s="28"/>
      <c r="AI143" s="28"/>
      <c r="AJ143" s="28"/>
      <c r="AK143" s="28"/>
    </row>
    <row r="144" spans="1:37" ht="63" customHeight="1" x14ac:dyDescent="0.25">
      <c r="A144" s="13">
        <f t="shared" si="81"/>
        <v>3</v>
      </c>
      <c r="B144" s="675">
        <v>134</v>
      </c>
      <c r="C144" s="38">
        <v>139</v>
      </c>
      <c r="D144" s="285" t="s">
        <v>317</v>
      </c>
      <c r="E144" s="50" t="s">
        <v>318</v>
      </c>
      <c r="F144" s="66">
        <v>2</v>
      </c>
      <c r="G144" s="32" t="s">
        <v>24</v>
      </c>
      <c r="H144" s="33">
        <v>1</v>
      </c>
      <c r="I144" s="33" t="s">
        <v>29</v>
      </c>
      <c r="J144" s="34">
        <v>5000000</v>
      </c>
      <c r="K144" s="34">
        <f t="shared" si="97"/>
        <v>10000000</v>
      </c>
      <c r="L144" s="34">
        <v>9200000</v>
      </c>
      <c r="M144" s="58">
        <f t="shared" si="84"/>
        <v>18400000</v>
      </c>
      <c r="N144" s="34">
        <v>9200000</v>
      </c>
      <c r="O144" s="41">
        <f t="shared" si="85"/>
        <v>18400000</v>
      </c>
      <c r="P144" s="68">
        <f t="shared" si="86"/>
        <v>7800000</v>
      </c>
      <c r="Q144" s="68">
        <f t="shared" si="87"/>
        <v>15600000</v>
      </c>
      <c r="R144" s="68">
        <f t="shared" si="70"/>
        <v>1979898.987322333</v>
      </c>
      <c r="S144" s="69">
        <f t="shared" si="71"/>
        <v>0.2538332035028632</v>
      </c>
      <c r="T144" s="68">
        <f t="shared" si="72"/>
        <v>9200000</v>
      </c>
      <c r="U144" s="68">
        <f t="shared" si="73"/>
        <v>18400000</v>
      </c>
      <c r="V144" s="69">
        <f t="shared" si="74"/>
        <v>0.21520641166547097</v>
      </c>
      <c r="W144" s="33" t="s">
        <v>143</v>
      </c>
      <c r="X144" s="256" t="s">
        <v>248</v>
      </c>
      <c r="Y144" s="286" t="s">
        <v>41</v>
      </c>
      <c r="Z144" s="28"/>
      <c r="AA144" s="28"/>
      <c r="AB144" s="28"/>
      <c r="AC144" s="28"/>
      <c r="AD144" s="28"/>
      <c r="AE144" s="28"/>
      <c r="AF144" s="28"/>
      <c r="AG144" s="28"/>
      <c r="AH144" s="28"/>
      <c r="AI144" s="28"/>
      <c r="AJ144" s="28"/>
      <c r="AK144" s="28"/>
    </row>
    <row r="145" spans="1:37" ht="96" customHeight="1" x14ac:dyDescent="0.25">
      <c r="A145" s="13">
        <f t="shared" si="81"/>
        <v>3</v>
      </c>
      <c r="B145" s="675">
        <v>135</v>
      </c>
      <c r="C145" s="38">
        <v>140</v>
      </c>
      <c r="D145" s="65" t="s">
        <v>319</v>
      </c>
      <c r="E145" s="31" t="s">
        <v>320</v>
      </c>
      <c r="F145" s="66">
        <v>2</v>
      </c>
      <c r="G145" s="32" t="s">
        <v>24</v>
      </c>
      <c r="H145" s="33">
        <v>1</v>
      </c>
      <c r="I145" s="33" t="s">
        <v>29</v>
      </c>
      <c r="J145" s="34">
        <f>+(2737000*100)/119</f>
        <v>2300000</v>
      </c>
      <c r="K145" s="34">
        <f t="shared" si="97"/>
        <v>4600000</v>
      </c>
      <c r="L145" s="43">
        <f>+(2142000*100)/119</f>
        <v>1800000</v>
      </c>
      <c r="M145" s="147">
        <f t="shared" si="84"/>
        <v>3600000</v>
      </c>
      <c r="N145" s="80">
        <v>2322000</v>
      </c>
      <c r="O145" s="41">
        <f t="shared" si="85"/>
        <v>4644000</v>
      </c>
      <c r="P145" s="68">
        <f t="shared" si="86"/>
        <v>2140666.6666666665</v>
      </c>
      <c r="Q145" s="68">
        <f t="shared" si="87"/>
        <v>4281333.333333333</v>
      </c>
      <c r="R145" s="68">
        <f t="shared" si="70"/>
        <v>241055.08821751835</v>
      </c>
      <c r="S145" s="69">
        <f t="shared" si="71"/>
        <v>0.11260748437442465</v>
      </c>
      <c r="T145" s="68">
        <f t="shared" si="72"/>
        <v>2300000</v>
      </c>
      <c r="U145" s="68">
        <f t="shared" si="73"/>
        <v>4600000</v>
      </c>
      <c r="V145" s="69">
        <f t="shared" si="74"/>
        <v>0.10480656009457319</v>
      </c>
      <c r="W145" s="33" t="s">
        <v>41</v>
      </c>
      <c r="X145" s="254" t="s">
        <v>42</v>
      </c>
      <c r="Y145" s="286" t="s">
        <v>43</v>
      </c>
      <c r="Z145" s="28"/>
      <c r="AA145" s="28"/>
      <c r="AB145" s="28"/>
      <c r="AC145" s="28"/>
      <c r="AD145" s="28"/>
      <c r="AE145" s="28"/>
      <c r="AF145" s="28"/>
      <c r="AG145" s="28"/>
      <c r="AH145" s="28"/>
      <c r="AI145" s="28"/>
      <c r="AJ145" s="28"/>
      <c r="AK145" s="28"/>
    </row>
    <row r="146" spans="1:37" ht="63" customHeight="1" x14ac:dyDescent="0.25">
      <c r="A146" s="13">
        <f t="shared" si="81"/>
        <v>3</v>
      </c>
      <c r="B146" s="675">
        <v>136</v>
      </c>
      <c r="C146" s="38">
        <v>141</v>
      </c>
      <c r="D146" s="285" t="s">
        <v>134</v>
      </c>
      <c r="E146" s="31" t="s">
        <v>135</v>
      </c>
      <c r="F146" s="66">
        <v>1</v>
      </c>
      <c r="G146" s="32" t="s">
        <v>24</v>
      </c>
      <c r="H146" s="33">
        <v>1</v>
      </c>
      <c r="I146" s="33" t="s">
        <v>29</v>
      </c>
      <c r="J146" s="34">
        <f>+(2975000*100)/119</f>
        <v>2500000</v>
      </c>
      <c r="K146" s="40">
        <f t="shared" si="97"/>
        <v>2500000</v>
      </c>
      <c r="L146" s="35">
        <f>+(3332000*100)/119</f>
        <v>2800000</v>
      </c>
      <c r="M146" s="35">
        <f t="shared" si="84"/>
        <v>2800000</v>
      </c>
      <c r="N146" s="282">
        <f>+(1800000*5.35%)+1800000</f>
        <v>1896300</v>
      </c>
      <c r="O146" s="41">
        <f t="shared" si="85"/>
        <v>1896300</v>
      </c>
      <c r="P146" s="68">
        <f t="shared" si="86"/>
        <v>2398766.6666666665</v>
      </c>
      <c r="Q146" s="68">
        <f t="shared" si="87"/>
        <v>2398766.6666666665</v>
      </c>
      <c r="R146" s="68">
        <f t="shared" si="70"/>
        <v>375814.28333094995</v>
      </c>
      <c r="S146" s="69">
        <f t="shared" si="71"/>
        <v>0.15666979558840655</v>
      </c>
      <c r="T146" s="68">
        <f t="shared" si="72"/>
        <v>2500000</v>
      </c>
      <c r="U146" s="68">
        <f t="shared" si="73"/>
        <v>2500000</v>
      </c>
      <c r="V146" s="69">
        <f t="shared" si="74"/>
        <v>0.15032571333237998</v>
      </c>
      <c r="W146" s="25" t="s">
        <v>136</v>
      </c>
      <c r="X146" s="25" t="s">
        <v>137</v>
      </c>
      <c r="Y146" s="27" t="s">
        <v>138</v>
      </c>
      <c r="Z146" s="28"/>
      <c r="AA146" s="28"/>
      <c r="AB146" s="28"/>
      <c r="AC146" s="28"/>
      <c r="AD146" s="28"/>
      <c r="AE146" s="28"/>
      <c r="AF146" s="28"/>
      <c r="AG146" s="28"/>
      <c r="AH146" s="28"/>
      <c r="AI146" s="28"/>
      <c r="AJ146" s="28"/>
      <c r="AK146" s="28"/>
    </row>
    <row r="147" spans="1:37" ht="47.25" customHeight="1" x14ac:dyDescent="0.25">
      <c r="A147" s="13">
        <f t="shared" si="81"/>
        <v>3</v>
      </c>
      <c r="B147" s="675">
        <v>137</v>
      </c>
      <c r="C147" s="38">
        <v>142</v>
      </c>
      <c r="D147" s="287" t="s">
        <v>321</v>
      </c>
      <c r="E147" s="75" t="s">
        <v>322</v>
      </c>
      <c r="F147" s="288">
        <v>2</v>
      </c>
      <c r="G147" s="76" t="s">
        <v>24</v>
      </c>
      <c r="H147" s="77">
        <v>1</v>
      </c>
      <c r="I147" s="77" t="s">
        <v>29</v>
      </c>
      <c r="J147" s="43">
        <f>+(690200*100)/119</f>
        <v>580000</v>
      </c>
      <c r="K147" s="34">
        <f t="shared" si="97"/>
        <v>1160000</v>
      </c>
      <c r="L147" s="43">
        <f>+(1130500*100)/119</f>
        <v>950000</v>
      </c>
      <c r="M147" s="147">
        <f t="shared" si="84"/>
        <v>1900000</v>
      </c>
      <c r="N147" s="43">
        <v>900000</v>
      </c>
      <c r="O147" s="41">
        <f t="shared" si="85"/>
        <v>1800000</v>
      </c>
      <c r="P147" s="68">
        <f t="shared" si="86"/>
        <v>810000</v>
      </c>
      <c r="Q147" s="68">
        <f t="shared" si="87"/>
        <v>1620000</v>
      </c>
      <c r="R147" s="68">
        <f t="shared" si="70"/>
        <v>163910.54470858997</v>
      </c>
      <c r="S147" s="69">
        <f t="shared" si="71"/>
        <v>0.20235869717109872</v>
      </c>
      <c r="T147" s="68">
        <f t="shared" si="72"/>
        <v>900000</v>
      </c>
      <c r="U147" s="68">
        <f t="shared" si="73"/>
        <v>1800000</v>
      </c>
      <c r="V147" s="69">
        <f t="shared" si="74"/>
        <v>0.18212282745398886</v>
      </c>
      <c r="W147" s="77" t="s">
        <v>143</v>
      </c>
      <c r="X147" s="270" t="s">
        <v>144</v>
      </c>
      <c r="Y147" s="256" t="s">
        <v>248</v>
      </c>
      <c r="Z147" s="28"/>
      <c r="AA147" s="28"/>
      <c r="AB147" s="28"/>
      <c r="AC147" s="28"/>
      <c r="AD147" s="28"/>
      <c r="AE147" s="28"/>
      <c r="AF147" s="28"/>
      <c r="AG147" s="28"/>
      <c r="AH147" s="28"/>
      <c r="AI147" s="28"/>
      <c r="AJ147" s="28"/>
      <c r="AK147" s="28"/>
    </row>
    <row r="148" spans="1:37" ht="31.5" x14ac:dyDescent="0.25">
      <c r="A148" s="13">
        <f t="shared" si="81"/>
        <v>3</v>
      </c>
      <c r="B148" s="675">
        <v>138</v>
      </c>
      <c r="C148" s="38">
        <v>143</v>
      </c>
      <c r="D148" s="49" t="s">
        <v>323</v>
      </c>
      <c r="E148" s="31" t="s">
        <v>324</v>
      </c>
      <c r="F148" s="66">
        <v>20</v>
      </c>
      <c r="G148" s="32" t="s">
        <v>24</v>
      </c>
      <c r="H148" s="33">
        <v>1</v>
      </c>
      <c r="I148" s="33" t="s">
        <v>29</v>
      </c>
      <c r="J148" s="34">
        <v>70000</v>
      </c>
      <c r="K148" s="40">
        <f t="shared" si="97"/>
        <v>1400000</v>
      </c>
      <c r="L148" s="35">
        <v>84000</v>
      </c>
      <c r="M148" s="35">
        <f t="shared" si="84"/>
        <v>1680000</v>
      </c>
      <c r="N148" s="35">
        <v>89000</v>
      </c>
      <c r="O148" s="41">
        <f t="shared" si="85"/>
        <v>1780000</v>
      </c>
      <c r="P148" s="68">
        <f t="shared" si="86"/>
        <v>81000</v>
      </c>
      <c r="Q148" s="68">
        <f t="shared" si="87"/>
        <v>1620000</v>
      </c>
      <c r="R148" s="68">
        <f t="shared" si="70"/>
        <v>8041.558721209879</v>
      </c>
      <c r="S148" s="69">
        <f t="shared" si="71"/>
        <v>9.9278502730986165E-2</v>
      </c>
      <c r="T148" s="68">
        <f t="shared" si="72"/>
        <v>84000</v>
      </c>
      <c r="U148" s="68">
        <f t="shared" si="73"/>
        <v>1680000</v>
      </c>
      <c r="V148" s="69">
        <f t="shared" si="74"/>
        <v>9.5732841919165229E-2</v>
      </c>
      <c r="W148" s="57" t="s">
        <v>41</v>
      </c>
      <c r="X148" s="268" t="s">
        <v>42</v>
      </c>
      <c r="Y148" s="269" t="s">
        <v>43</v>
      </c>
      <c r="Z148" s="28"/>
      <c r="AA148" s="28"/>
      <c r="AB148" s="28"/>
      <c r="AC148" s="28"/>
      <c r="AD148" s="28"/>
      <c r="AE148" s="28"/>
      <c r="AF148" s="28"/>
      <c r="AG148" s="28"/>
      <c r="AH148" s="28"/>
      <c r="AI148" s="28"/>
      <c r="AJ148" s="28"/>
      <c r="AK148" s="28"/>
    </row>
    <row r="149" spans="1:37" ht="31.5" customHeight="1" x14ac:dyDescent="0.25">
      <c r="A149" s="13">
        <f t="shared" si="81"/>
        <v>1</v>
      </c>
      <c r="B149" s="675">
        <v>139</v>
      </c>
      <c r="C149" s="38">
        <v>144</v>
      </c>
      <c r="D149" s="285" t="s">
        <v>49</v>
      </c>
      <c r="E149" s="31" t="s">
        <v>325</v>
      </c>
      <c r="F149" s="66">
        <v>1</v>
      </c>
      <c r="G149" s="32" t="s">
        <v>24</v>
      </c>
      <c r="H149" s="33">
        <v>1</v>
      </c>
      <c r="I149" s="33" t="s">
        <v>29</v>
      </c>
      <c r="J149" s="34">
        <f>+(4917001/30)</f>
        <v>163900.03333333333</v>
      </c>
      <c r="K149" s="34">
        <f t="shared" si="97"/>
        <v>163900.03333333333</v>
      </c>
      <c r="L149" s="34"/>
      <c r="M149" s="34"/>
      <c r="N149" s="40"/>
      <c r="O149" s="41"/>
      <c r="P149" s="60">
        <f t="shared" ref="P149" si="98">+(ROUND(AVERAGE(J149),0))</f>
        <v>163900</v>
      </c>
      <c r="Q149" s="60">
        <f t="shared" ref="Q149" si="99">+P149*F149*H149</f>
        <v>163900</v>
      </c>
      <c r="R149" s="23">
        <f t="shared" si="70"/>
        <v>0</v>
      </c>
      <c r="S149" s="24">
        <f t="shared" si="71"/>
        <v>0</v>
      </c>
      <c r="T149" s="23">
        <f t="shared" si="72"/>
        <v>163900.03333333333</v>
      </c>
      <c r="U149" s="23">
        <f t="shared" si="73"/>
        <v>163900.03333333333</v>
      </c>
      <c r="V149" s="24">
        <f t="shared" si="74"/>
        <v>0</v>
      </c>
      <c r="W149" s="25" t="s">
        <v>26</v>
      </c>
      <c r="X149" s="25"/>
      <c r="Y149" s="27"/>
      <c r="Z149" s="28"/>
      <c r="AA149" s="28"/>
      <c r="AB149" s="28"/>
      <c r="AC149" s="28"/>
      <c r="AD149" s="28"/>
      <c r="AE149" s="28"/>
      <c r="AF149" s="28"/>
      <c r="AG149" s="28"/>
      <c r="AH149" s="28"/>
      <c r="AI149" s="28"/>
      <c r="AJ149" s="28"/>
      <c r="AK149" s="28"/>
    </row>
    <row r="150" spans="1:37" ht="204" customHeight="1" x14ac:dyDescent="0.25">
      <c r="A150" s="13">
        <f t="shared" si="81"/>
        <v>3</v>
      </c>
      <c r="B150" s="675">
        <v>140</v>
      </c>
      <c r="C150" s="38">
        <v>145</v>
      </c>
      <c r="D150" s="289" t="s">
        <v>326</v>
      </c>
      <c r="E150" s="218" t="s">
        <v>327</v>
      </c>
      <c r="F150" s="32">
        <v>4</v>
      </c>
      <c r="G150" s="32" t="s">
        <v>24</v>
      </c>
      <c r="H150" s="33"/>
      <c r="I150" s="33"/>
      <c r="J150" s="228">
        <v>2631579</v>
      </c>
      <c r="K150" s="64">
        <f t="shared" ref="K150:K160" si="100">+J150*F150</f>
        <v>10526316</v>
      </c>
      <c r="L150" s="228">
        <v>2631579</v>
      </c>
      <c r="M150" s="217">
        <f t="shared" ref="M150:M160" si="101">+L150*F150</f>
        <v>10526316</v>
      </c>
      <c r="N150" s="228">
        <v>2631579</v>
      </c>
      <c r="O150" s="35">
        <f t="shared" ref="O150:O160" si="102">+N150*F150</f>
        <v>10526316</v>
      </c>
      <c r="P150" s="68">
        <f t="shared" ref="P150:P165" si="103">+AVERAGE(J150,L150,N150)</f>
        <v>2631579</v>
      </c>
      <c r="Q150" s="163">
        <f t="shared" ref="Q150:Q160" si="104">+P150*F150</f>
        <v>10526316</v>
      </c>
      <c r="R150" s="68">
        <f t="shared" si="70"/>
        <v>0</v>
      </c>
      <c r="S150" s="69">
        <f t="shared" si="71"/>
        <v>0</v>
      </c>
      <c r="T150" s="68">
        <f t="shared" si="72"/>
        <v>2631579</v>
      </c>
      <c r="U150" s="163">
        <f t="shared" ref="U150:U160" si="105">+T150*F150</f>
        <v>10526316</v>
      </c>
      <c r="V150" s="69">
        <f t="shared" si="74"/>
        <v>0</v>
      </c>
      <c r="W150" s="25" t="s">
        <v>41</v>
      </c>
      <c r="X150" s="25" t="s">
        <v>42</v>
      </c>
      <c r="Y150" s="27" t="s">
        <v>43</v>
      </c>
      <c r="Z150" s="28"/>
      <c r="AA150" s="28"/>
      <c r="AB150" s="28"/>
      <c r="AC150" s="28"/>
      <c r="AD150" s="28"/>
      <c r="AE150" s="28"/>
      <c r="AF150" s="28"/>
      <c r="AG150" s="28"/>
      <c r="AH150" s="28"/>
      <c r="AI150" s="28"/>
      <c r="AJ150" s="28"/>
      <c r="AK150" s="28"/>
    </row>
    <row r="151" spans="1:37" ht="208.15" customHeight="1" x14ac:dyDescent="0.25">
      <c r="A151" s="13">
        <f t="shared" si="81"/>
        <v>3</v>
      </c>
      <c r="B151" s="675">
        <v>141</v>
      </c>
      <c r="C151" s="38">
        <v>146</v>
      </c>
      <c r="D151" s="289" t="s">
        <v>328</v>
      </c>
      <c r="E151" s="218" t="s">
        <v>329</v>
      </c>
      <c r="F151" s="32">
        <v>3</v>
      </c>
      <c r="G151" s="32" t="s">
        <v>24</v>
      </c>
      <c r="H151" s="33"/>
      <c r="I151" s="33"/>
      <c r="J151" s="228">
        <v>2105263</v>
      </c>
      <c r="K151" s="64">
        <f t="shared" si="100"/>
        <v>6315789</v>
      </c>
      <c r="L151" s="228">
        <v>2105263</v>
      </c>
      <c r="M151" s="217">
        <f t="shared" si="101"/>
        <v>6315789</v>
      </c>
      <c r="N151" s="228">
        <v>2105263</v>
      </c>
      <c r="O151" s="35">
        <f t="shared" si="102"/>
        <v>6315789</v>
      </c>
      <c r="P151" s="68">
        <f t="shared" si="103"/>
        <v>2105263</v>
      </c>
      <c r="Q151" s="163">
        <f t="shared" si="104"/>
        <v>6315789</v>
      </c>
      <c r="R151" s="68">
        <f t="shared" si="70"/>
        <v>0</v>
      </c>
      <c r="S151" s="69">
        <f t="shared" si="71"/>
        <v>0</v>
      </c>
      <c r="T151" s="68">
        <f t="shared" si="72"/>
        <v>2105263</v>
      </c>
      <c r="U151" s="163">
        <f t="shared" si="105"/>
        <v>6315789</v>
      </c>
      <c r="V151" s="69">
        <f t="shared" si="74"/>
        <v>0</v>
      </c>
      <c r="W151" s="25" t="s">
        <v>41</v>
      </c>
      <c r="X151" s="25" t="s">
        <v>42</v>
      </c>
      <c r="Y151" s="27" t="s">
        <v>43</v>
      </c>
      <c r="Z151" s="28"/>
      <c r="AA151" s="28"/>
      <c r="AB151" s="28"/>
      <c r="AC151" s="28"/>
      <c r="AD151" s="28"/>
      <c r="AE151" s="28"/>
      <c r="AF151" s="28"/>
      <c r="AG151" s="28"/>
      <c r="AH151" s="28"/>
      <c r="AI151" s="28"/>
      <c r="AJ151" s="28"/>
      <c r="AK151" s="28"/>
    </row>
    <row r="152" spans="1:37" ht="209.1" customHeight="1" x14ac:dyDescent="0.25">
      <c r="A152" s="13">
        <f t="shared" si="81"/>
        <v>3</v>
      </c>
      <c r="B152" s="675">
        <v>142</v>
      </c>
      <c r="C152" s="38">
        <v>147</v>
      </c>
      <c r="D152" s="289" t="s">
        <v>330</v>
      </c>
      <c r="E152" s="218" t="s">
        <v>222</v>
      </c>
      <c r="F152" s="32">
        <v>2</v>
      </c>
      <c r="G152" s="32" t="s">
        <v>24</v>
      </c>
      <c r="H152" s="33"/>
      <c r="I152" s="33"/>
      <c r="J152" s="228">
        <v>1052632</v>
      </c>
      <c r="K152" s="64">
        <f t="shared" si="100"/>
        <v>2105264</v>
      </c>
      <c r="L152" s="228">
        <v>1052632</v>
      </c>
      <c r="M152" s="217">
        <f t="shared" si="101"/>
        <v>2105264</v>
      </c>
      <c r="N152" s="228">
        <v>1052632</v>
      </c>
      <c r="O152" s="35">
        <f t="shared" si="102"/>
        <v>2105264</v>
      </c>
      <c r="P152" s="68">
        <f t="shared" si="103"/>
        <v>1052632</v>
      </c>
      <c r="Q152" s="163">
        <f t="shared" si="104"/>
        <v>2105264</v>
      </c>
      <c r="R152" s="68">
        <f t="shared" si="70"/>
        <v>0</v>
      </c>
      <c r="S152" s="69">
        <f t="shared" si="71"/>
        <v>0</v>
      </c>
      <c r="T152" s="68">
        <f t="shared" si="72"/>
        <v>1052632</v>
      </c>
      <c r="U152" s="163">
        <f t="shared" si="105"/>
        <v>2105264</v>
      </c>
      <c r="V152" s="69">
        <f t="shared" si="74"/>
        <v>0</v>
      </c>
      <c r="W152" s="25" t="s">
        <v>41</v>
      </c>
      <c r="X152" s="25" t="s">
        <v>42</v>
      </c>
      <c r="Y152" s="27" t="s">
        <v>43</v>
      </c>
      <c r="Z152" s="28"/>
      <c r="AA152" s="28"/>
      <c r="AB152" s="28"/>
      <c r="AC152" s="28"/>
      <c r="AD152" s="28"/>
      <c r="AE152" s="28"/>
      <c r="AF152" s="28"/>
      <c r="AG152" s="28"/>
      <c r="AH152" s="28"/>
      <c r="AI152" s="28"/>
      <c r="AJ152" s="28"/>
      <c r="AK152" s="28"/>
    </row>
    <row r="153" spans="1:37" ht="214.15" customHeight="1" x14ac:dyDescent="0.25">
      <c r="A153" s="13">
        <f t="shared" si="81"/>
        <v>3</v>
      </c>
      <c r="B153" s="675">
        <v>143</v>
      </c>
      <c r="C153" s="38">
        <v>148</v>
      </c>
      <c r="D153" s="289" t="s">
        <v>331</v>
      </c>
      <c r="E153" s="218" t="s">
        <v>329</v>
      </c>
      <c r="F153" s="32">
        <v>2</v>
      </c>
      <c r="G153" s="32" t="s">
        <v>24</v>
      </c>
      <c r="H153" s="33"/>
      <c r="I153" s="33"/>
      <c r="J153" s="228">
        <v>2105263</v>
      </c>
      <c r="K153" s="64">
        <f t="shared" si="100"/>
        <v>4210526</v>
      </c>
      <c r="L153" s="228">
        <v>2105263</v>
      </c>
      <c r="M153" s="217">
        <f t="shared" si="101"/>
        <v>4210526</v>
      </c>
      <c r="N153" s="228">
        <v>2105263</v>
      </c>
      <c r="O153" s="35">
        <f t="shared" si="102"/>
        <v>4210526</v>
      </c>
      <c r="P153" s="68">
        <f t="shared" si="103"/>
        <v>2105263</v>
      </c>
      <c r="Q153" s="163">
        <f t="shared" si="104"/>
        <v>4210526</v>
      </c>
      <c r="R153" s="68">
        <f t="shared" si="70"/>
        <v>0</v>
      </c>
      <c r="S153" s="69">
        <f t="shared" si="71"/>
        <v>0</v>
      </c>
      <c r="T153" s="68">
        <f t="shared" si="72"/>
        <v>2105263</v>
      </c>
      <c r="U153" s="163">
        <f t="shared" si="105"/>
        <v>4210526</v>
      </c>
      <c r="V153" s="69">
        <f t="shared" si="74"/>
        <v>0</v>
      </c>
      <c r="W153" s="25" t="s">
        <v>41</v>
      </c>
      <c r="X153" s="25" t="s">
        <v>42</v>
      </c>
      <c r="Y153" s="27" t="s">
        <v>43</v>
      </c>
      <c r="Z153" s="28"/>
      <c r="AA153" s="28"/>
      <c r="AB153" s="28"/>
      <c r="AC153" s="28"/>
      <c r="AD153" s="28"/>
      <c r="AE153" s="28"/>
      <c r="AF153" s="28"/>
      <c r="AG153" s="28"/>
      <c r="AH153" s="28"/>
      <c r="AI153" s="28"/>
      <c r="AJ153" s="28"/>
      <c r="AK153" s="28"/>
    </row>
    <row r="154" spans="1:37" ht="208.5" customHeight="1" x14ac:dyDescent="0.25">
      <c r="A154" s="13">
        <f t="shared" si="81"/>
        <v>3</v>
      </c>
      <c r="B154" s="675">
        <v>144</v>
      </c>
      <c r="C154" s="38">
        <v>149</v>
      </c>
      <c r="D154" s="289" t="s">
        <v>332</v>
      </c>
      <c r="E154" s="218" t="s">
        <v>333</v>
      </c>
      <c r="F154" s="32">
        <v>2</v>
      </c>
      <c r="G154" s="32" t="s">
        <v>24</v>
      </c>
      <c r="H154" s="33"/>
      <c r="I154" s="33"/>
      <c r="J154" s="228">
        <v>1578947</v>
      </c>
      <c r="K154" s="64">
        <f t="shared" si="100"/>
        <v>3157894</v>
      </c>
      <c r="L154" s="228">
        <v>1578947</v>
      </c>
      <c r="M154" s="217">
        <f t="shared" si="101"/>
        <v>3157894</v>
      </c>
      <c r="N154" s="228">
        <v>1578947</v>
      </c>
      <c r="O154" s="35">
        <f t="shared" si="102"/>
        <v>3157894</v>
      </c>
      <c r="P154" s="68">
        <f t="shared" si="103"/>
        <v>1578947</v>
      </c>
      <c r="Q154" s="163">
        <f t="shared" si="104"/>
        <v>3157894</v>
      </c>
      <c r="R154" s="68">
        <f t="shared" si="70"/>
        <v>0</v>
      </c>
      <c r="S154" s="69">
        <f t="shared" si="71"/>
        <v>0</v>
      </c>
      <c r="T154" s="68">
        <f t="shared" si="72"/>
        <v>1578947</v>
      </c>
      <c r="U154" s="163">
        <f t="shared" si="105"/>
        <v>3157894</v>
      </c>
      <c r="V154" s="69">
        <f t="shared" si="74"/>
        <v>0</v>
      </c>
      <c r="W154" s="25" t="s">
        <v>41</v>
      </c>
      <c r="X154" s="25" t="s">
        <v>42</v>
      </c>
      <c r="Y154" s="27" t="s">
        <v>43</v>
      </c>
      <c r="Z154" s="28"/>
      <c r="AA154" s="28"/>
      <c r="AB154" s="28"/>
      <c r="AC154" s="28"/>
      <c r="AD154" s="28"/>
      <c r="AE154" s="28"/>
      <c r="AF154" s="28"/>
      <c r="AG154" s="28"/>
      <c r="AH154" s="28"/>
      <c r="AI154" s="28"/>
      <c r="AJ154" s="28"/>
      <c r="AK154" s="28"/>
    </row>
    <row r="155" spans="1:37" ht="215.65" customHeight="1" x14ac:dyDescent="0.25">
      <c r="A155" s="13">
        <f t="shared" si="81"/>
        <v>3</v>
      </c>
      <c r="B155" s="675">
        <v>145</v>
      </c>
      <c r="C155" s="38">
        <v>150</v>
      </c>
      <c r="D155" s="289" t="s">
        <v>334</v>
      </c>
      <c r="E155" s="218" t="s">
        <v>222</v>
      </c>
      <c r="F155" s="32">
        <v>1</v>
      </c>
      <c r="G155" s="32" t="s">
        <v>24</v>
      </c>
      <c r="H155" s="33"/>
      <c r="I155" s="33"/>
      <c r="J155" s="228">
        <v>1052632</v>
      </c>
      <c r="K155" s="64">
        <f t="shared" si="100"/>
        <v>1052632</v>
      </c>
      <c r="L155" s="228">
        <v>1052632</v>
      </c>
      <c r="M155" s="217">
        <f t="shared" si="101"/>
        <v>1052632</v>
      </c>
      <c r="N155" s="228">
        <v>1052632</v>
      </c>
      <c r="O155" s="35">
        <f t="shared" si="102"/>
        <v>1052632</v>
      </c>
      <c r="P155" s="68">
        <f t="shared" si="103"/>
        <v>1052632</v>
      </c>
      <c r="Q155" s="163">
        <f t="shared" si="104"/>
        <v>1052632</v>
      </c>
      <c r="R155" s="68">
        <f t="shared" si="70"/>
        <v>0</v>
      </c>
      <c r="S155" s="69">
        <f t="shared" si="71"/>
        <v>0</v>
      </c>
      <c r="T155" s="68">
        <f t="shared" si="72"/>
        <v>1052632</v>
      </c>
      <c r="U155" s="163">
        <f t="shared" si="105"/>
        <v>1052632</v>
      </c>
      <c r="V155" s="69">
        <f t="shared" si="74"/>
        <v>0</v>
      </c>
      <c r="W155" s="25" t="s">
        <v>41</v>
      </c>
      <c r="X155" s="25" t="s">
        <v>42</v>
      </c>
      <c r="Y155" s="27" t="s">
        <v>43</v>
      </c>
      <c r="Z155" s="28"/>
      <c r="AA155" s="28"/>
      <c r="AB155" s="28"/>
      <c r="AC155" s="28"/>
      <c r="AD155" s="28"/>
      <c r="AE155" s="28"/>
      <c r="AF155" s="28"/>
      <c r="AG155" s="28"/>
      <c r="AH155" s="28"/>
      <c r="AI155" s="28"/>
      <c r="AJ155" s="28"/>
      <c r="AK155" s="28"/>
    </row>
    <row r="156" spans="1:37" ht="202.15" customHeight="1" x14ac:dyDescent="0.25">
      <c r="A156" s="13">
        <f t="shared" si="81"/>
        <v>3</v>
      </c>
      <c r="B156" s="675">
        <v>146</v>
      </c>
      <c r="C156" s="38">
        <v>151</v>
      </c>
      <c r="D156" s="289" t="s">
        <v>335</v>
      </c>
      <c r="E156" s="218" t="s">
        <v>329</v>
      </c>
      <c r="F156" s="32">
        <v>2</v>
      </c>
      <c r="G156" s="32" t="s">
        <v>24</v>
      </c>
      <c r="H156" s="33"/>
      <c r="I156" s="33"/>
      <c r="J156" s="228">
        <v>2105263</v>
      </c>
      <c r="K156" s="64">
        <f t="shared" si="100"/>
        <v>4210526</v>
      </c>
      <c r="L156" s="228">
        <v>2105263</v>
      </c>
      <c r="M156" s="217">
        <f t="shared" si="101"/>
        <v>4210526</v>
      </c>
      <c r="N156" s="228">
        <v>2105263</v>
      </c>
      <c r="O156" s="35">
        <f t="shared" si="102"/>
        <v>4210526</v>
      </c>
      <c r="P156" s="68">
        <f t="shared" si="103"/>
        <v>2105263</v>
      </c>
      <c r="Q156" s="163">
        <f t="shared" si="104"/>
        <v>4210526</v>
      </c>
      <c r="R156" s="68">
        <f t="shared" si="70"/>
        <v>0</v>
      </c>
      <c r="S156" s="69">
        <f t="shared" si="71"/>
        <v>0</v>
      </c>
      <c r="T156" s="68">
        <f t="shared" si="72"/>
        <v>2105263</v>
      </c>
      <c r="U156" s="163">
        <f t="shared" si="105"/>
        <v>4210526</v>
      </c>
      <c r="V156" s="69">
        <f t="shared" si="74"/>
        <v>0</v>
      </c>
      <c r="W156" s="25" t="s">
        <v>41</v>
      </c>
      <c r="X156" s="25" t="s">
        <v>42</v>
      </c>
      <c r="Y156" s="27" t="s">
        <v>43</v>
      </c>
      <c r="Z156" s="28"/>
      <c r="AA156" s="28"/>
      <c r="AB156" s="28"/>
      <c r="AC156" s="28"/>
      <c r="AD156" s="28"/>
      <c r="AE156" s="28"/>
      <c r="AF156" s="28"/>
      <c r="AG156" s="28"/>
      <c r="AH156" s="28"/>
      <c r="AI156" s="28"/>
      <c r="AJ156" s="28"/>
      <c r="AK156" s="28"/>
    </row>
    <row r="157" spans="1:37" ht="79.5" customHeight="1" x14ac:dyDescent="0.25">
      <c r="A157" s="90">
        <f t="shared" si="81"/>
        <v>1</v>
      </c>
      <c r="B157" s="675">
        <v>147</v>
      </c>
      <c r="C157" s="38">
        <v>152</v>
      </c>
      <c r="D157" s="289" t="s">
        <v>336</v>
      </c>
      <c r="E157" s="27" t="s">
        <v>337</v>
      </c>
      <c r="F157" s="33">
        <v>1</v>
      </c>
      <c r="G157" s="33" t="s">
        <v>24</v>
      </c>
      <c r="H157" s="33"/>
      <c r="I157" s="33"/>
      <c r="J157" s="64">
        <v>30000000</v>
      </c>
      <c r="K157" s="64">
        <f t="shared" si="100"/>
        <v>30000000</v>
      </c>
      <c r="L157" s="64"/>
      <c r="M157" s="217">
        <f t="shared" si="101"/>
        <v>0</v>
      </c>
      <c r="N157" s="64"/>
      <c r="O157" s="35">
        <f t="shared" si="102"/>
        <v>0</v>
      </c>
      <c r="P157" s="68">
        <f t="shared" si="103"/>
        <v>30000000</v>
      </c>
      <c r="Q157" s="163">
        <f t="shared" si="104"/>
        <v>30000000</v>
      </c>
      <c r="R157" s="68">
        <f t="shared" si="70"/>
        <v>0</v>
      </c>
      <c r="S157" s="290">
        <f t="shared" si="71"/>
        <v>0</v>
      </c>
      <c r="T157" s="68">
        <f t="shared" si="72"/>
        <v>30000000</v>
      </c>
      <c r="U157" s="163">
        <f t="shared" si="105"/>
        <v>30000000</v>
      </c>
      <c r="V157" s="290">
        <f t="shared" si="74"/>
        <v>0</v>
      </c>
      <c r="W157" s="33"/>
      <c r="X157" s="33"/>
      <c r="Y157" s="28"/>
      <c r="Z157" s="28"/>
      <c r="AA157" s="28"/>
      <c r="AB157" s="28"/>
      <c r="AC157" s="28"/>
      <c r="AD157" s="28"/>
      <c r="AE157" s="28"/>
      <c r="AF157" s="28"/>
      <c r="AG157" s="28"/>
      <c r="AH157" s="28"/>
      <c r="AI157" s="28"/>
      <c r="AJ157" s="28"/>
      <c r="AK157" s="28"/>
    </row>
    <row r="158" spans="1:37" ht="146.1" customHeight="1" x14ac:dyDescent="0.25">
      <c r="A158" s="13">
        <f t="shared" si="81"/>
        <v>3</v>
      </c>
      <c r="B158" s="675">
        <v>148</v>
      </c>
      <c r="C158" s="38">
        <v>153</v>
      </c>
      <c r="D158" s="289" t="s">
        <v>338</v>
      </c>
      <c r="E158" s="218" t="s">
        <v>339</v>
      </c>
      <c r="F158" s="32">
        <v>3</v>
      </c>
      <c r="G158" s="32" t="s">
        <v>24</v>
      </c>
      <c r="H158" s="33"/>
      <c r="I158" s="33"/>
      <c r="J158" s="228">
        <v>1052632</v>
      </c>
      <c r="K158" s="64">
        <f t="shared" si="100"/>
        <v>3157896</v>
      </c>
      <c r="L158" s="228">
        <v>1052632</v>
      </c>
      <c r="M158" s="217">
        <f t="shared" si="101"/>
        <v>3157896</v>
      </c>
      <c r="N158" s="228">
        <v>1052632</v>
      </c>
      <c r="O158" s="35">
        <f t="shared" si="102"/>
        <v>3157896</v>
      </c>
      <c r="P158" s="68">
        <f t="shared" si="103"/>
        <v>1052632</v>
      </c>
      <c r="Q158" s="163">
        <f t="shared" si="104"/>
        <v>3157896</v>
      </c>
      <c r="R158" s="68">
        <f t="shared" si="70"/>
        <v>0</v>
      </c>
      <c r="S158" s="69">
        <f t="shared" si="71"/>
        <v>0</v>
      </c>
      <c r="T158" s="68">
        <f t="shared" si="72"/>
        <v>1052632</v>
      </c>
      <c r="U158" s="163">
        <f t="shared" si="105"/>
        <v>3157896</v>
      </c>
      <c r="V158" s="69">
        <f t="shared" si="74"/>
        <v>0</v>
      </c>
      <c r="W158" s="25" t="s">
        <v>41</v>
      </c>
      <c r="X158" s="25" t="s">
        <v>42</v>
      </c>
      <c r="Y158" s="27" t="s">
        <v>43</v>
      </c>
      <c r="Z158" s="28"/>
      <c r="AA158" s="28"/>
      <c r="AB158" s="28"/>
      <c r="AC158" s="28"/>
      <c r="AD158" s="28"/>
      <c r="AE158" s="28"/>
      <c r="AF158" s="28"/>
      <c r="AG158" s="28"/>
      <c r="AH158" s="28"/>
      <c r="AI158" s="28"/>
      <c r="AJ158" s="28"/>
      <c r="AK158" s="28"/>
    </row>
    <row r="159" spans="1:37" ht="147.6" customHeight="1" x14ac:dyDescent="0.25">
      <c r="A159" s="13">
        <f t="shared" si="81"/>
        <v>3</v>
      </c>
      <c r="B159" s="675">
        <v>149</v>
      </c>
      <c r="C159" s="38">
        <v>154</v>
      </c>
      <c r="D159" s="289" t="s">
        <v>340</v>
      </c>
      <c r="E159" s="218" t="s">
        <v>341</v>
      </c>
      <c r="F159" s="32">
        <v>8</v>
      </c>
      <c r="G159" s="32" t="s">
        <v>24</v>
      </c>
      <c r="H159" s="33"/>
      <c r="I159" s="33"/>
      <c r="J159" s="228">
        <v>105263</v>
      </c>
      <c r="K159" s="64">
        <f t="shared" si="100"/>
        <v>842104</v>
      </c>
      <c r="L159" s="228">
        <v>105263</v>
      </c>
      <c r="M159" s="217">
        <f t="shared" si="101"/>
        <v>842104</v>
      </c>
      <c r="N159" s="228">
        <v>105263</v>
      </c>
      <c r="O159" s="35">
        <f t="shared" si="102"/>
        <v>842104</v>
      </c>
      <c r="P159" s="68">
        <f t="shared" si="103"/>
        <v>105263</v>
      </c>
      <c r="Q159" s="163">
        <f t="shared" si="104"/>
        <v>842104</v>
      </c>
      <c r="R159" s="68">
        <f t="shared" si="70"/>
        <v>0</v>
      </c>
      <c r="S159" s="69">
        <f t="shared" si="71"/>
        <v>0</v>
      </c>
      <c r="T159" s="68">
        <f t="shared" si="72"/>
        <v>105263</v>
      </c>
      <c r="U159" s="163">
        <f t="shared" si="105"/>
        <v>842104</v>
      </c>
      <c r="V159" s="69">
        <f t="shared" si="74"/>
        <v>0</v>
      </c>
      <c r="W159" s="25" t="s">
        <v>41</v>
      </c>
      <c r="X159" s="25" t="s">
        <v>42</v>
      </c>
      <c r="Y159" s="27" t="s">
        <v>43</v>
      </c>
      <c r="Z159" s="28"/>
      <c r="AA159" s="28"/>
      <c r="AB159" s="28"/>
      <c r="AC159" s="28"/>
      <c r="AD159" s="28"/>
      <c r="AE159" s="28"/>
      <c r="AF159" s="28"/>
      <c r="AG159" s="28"/>
      <c r="AH159" s="28"/>
      <c r="AI159" s="28"/>
      <c r="AJ159" s="28"/>
      <c r="AK159" s="28"/>
    </row>
    <row r="160" spans="1:37" ht="181.5" customHeight="1" x14ac:dyDescent="0.25">
      <c r="A160" s="13">
        <f t="shared" si="81"/>
        <v>3</v>
      </c>
      <c r="B160" s="675">
        <v>150</v>
      </c>
      <c r="C160" s="38">
        <v>155</v>
      </c>
      <c r="D160" s="103" t="s">
        <v>342</v>
      </c>
      <c r="E160" s="218" t="s">
        <v>343</v>
      </c>
      <c r="F160" s="113">
        <v>2</v>
      </c>
      <c r="G160" s="113" t="s">
        <v>24</v>
      </c>
      <c r="H160" s="25"/>
      <c r="I160" s="25"/>
      <c r="J160" s="228">
        <v>526316</v>
      </c>
      <c r="K160" s="64">
        <f t="shared" si="100"/>
        <v>1052632</v>
      </c>
      <c r="L160" s="228">
        <v>526316</v>
      </c>
      <c r="M160" s="217">
        <f t="shared" si="101"/>
        <v>1052632</v>
      </c>
      <c r="N160" s="228">
        <v>526316</v>
      </c>
      <c r="O160" s="35">
        <f t="shared" si="102"/>
        <v>1052632</v>
      </c>
      <c r="P160" s="68">
        <f t="shared" si="103"/>
        <v>526316</v>
      </c>
      <c r="Q160" s="163">
        <f t="shared" si="104"/>
        <v>1052632</v>
      </c>
      <c r="R160" s="291">
        <f t="shared" si="70"/>
        <v>0</v>
      </c>
      <c r="S160" s="69">
        <f t="shared" si="71"/>
        <v>0</v>
      </c>
      <c r="T160" s="68">
        <f t="shared" si="72"/>
        <v>526316</v>
      </c>
      <c r="U160" s="163">
        <f t="shared" si="105"/>
        <v>1052632</v>
      </c>
      <c r="V160" s="69">
        <f t="shared" si="74"/>
        <v>0</v>
      </c>
      <c r="W160" s="25" t="s">
        <v>41</v>
      </c>
      <c r="X160" s="25" t="s">
        <v>42</v>
      </c>
      <c r="Y160" s="27" t="s">
        <v>43</v>
      </c>
      <c r="Z160" s="28"/>
      <c r="AA160" s="28"/>
      <c r="AB160" s="28"/>
      <c r="AC160" s="28"/>
      <c r="AD160" s="28"/>
      <c r="AE160" s="28"/>
      <c r="AF160" s="28"/>
      <c r="AG160" s="28"/>
      <c r="AH160" s="28"/>
      <c r="AI160" s="28"/>
      <c r="AJ160" s="28"/>
      <c r="AK160" s="28"/>
    </row>
    <row r="161" spans="1:37" ht="47.25" customHeight="1" x14ac:dyDescent="0.25">
      <c r="A161" s="13">
        <f t="shared" si="81"/>
        <v>3</v>
      </c>
      <c r="B161" s="675">
        <v>151</v>
      </c>
      <c r="C161" s="38">
        <v>156</v>
      </c>
      <c r="D161" s="65" t="s">
        <v>198</v>
      </c>
      <c r="E161" s="31" t="s">
        <v>199</v>
      </c>
      <c r="F161" s="66">
        <v>15</v>
      </c>
      <c r="G161" s="32" t="s">
        <v>24</v>
      </c>
      <c r="H161" s="33">
        <v>1</v>
      </c>
      <c r="I161" s="33" t="s">
        <v>29</v>
      </c>
      <c r="J161" s="34">
        <v>4500</v>
      </c>
      <c r="K161" s="34">
        <f t="shared" si="97"/>
        <v>67500</v>
      </c>
      <c r="L161" s="43">
        <v>5000</v>
      </c>
      <c r="M161" s="147">
        <f t="shared" ref="M161:M165" si="106">+L161*H161*F161</f>
        <v>75000</v>
      </c>
      <c r="N161" s="43">
        <v>5000</v>
      </c>
      <c r="O161" s="41">
        <f t="shared" si="85"/>
        <v>75000</v>
      </c>
      <c r="P161" s="68">
        <f t="shared" si="103"/>
        <v>4833.333333333333</v>
      </c>
      <c r="Q161" s="68">
        <f t="shared" ref="Q161:Q165" si="107">+P161*H161*F161</f>
        <v>72500</v>
      </c>
      <c r="R161" s="68">
        <f t="shared" si="70"/>
        <v>235.70226039551585</v>
      </c>
      <c r="S161" s="69">
        <f t="shared" si="71"/>
        <v>4.8765984909417075E-2</v>
      </c>
      <c r="T161" s="68">
        <f t="shared" si="72"/>
        <v>5000</v>
      </c>
      <c r="U161" s="68">
        <f t="shared" si="73"/>
        <v>75000</v>
      </c>
      <c r="V161" s="69">
        <f t="shared" si="74"/>
        <v>4.7140452079103168E-2</v>
      </c>
      <c r="W161" s="25" t="s">
        <v>41</v>
      </c>
      <c r="X161" s="25" t="s">
        <v>42</v>
      </c>
      <c r="Y161" s="53" t="s">
        <v>43</v>
      </c>
      <c r="Z161" s="28"/>
      <c r="AA161" s="28"/>
      <c r="AB161" s="28"/>
      <c r="AC161" s="28"/>
      <c r="AD161" s="28"/>
      <c r="AE161" s="28"/>
      <c r="AF161" s="28"/>
      <c r="AG161" s="28"/>
      <c r="AH161" s="28"/>
      <c r="AI161" s="28"/>
      <c r="AJ161" s="28"/>
      <c r="AK161" s="28"/>
    </row>
    <row r="162" spans="1:37" ht="15.75" customHeight="1" x14ac:dyDescent="0.25">
      <c r="A162" s="13">
        <f t="shared" si="81"/>
        <v>3</v>
      </c>
      <c r="B162" s="675">
        <v>152</v>
      </c>
      <c r="C162" s="38">
        <v>157</v>
      </c>
      <c r="D162" s="65" t="s">
        <v>200</v>
      </c>
      <c r="E162" s="31" t="s">
        <v>344</v>
      </c>
      <c r="F162" s="66">
        <v>7</v>
      </c>
      <c r="G162" s="32" t="s">
        <v>24</v>
      </c>
      <c r="H162" s="33">
        <v>1</v>
      </c>
      <c r="I162" s="33" t="s">
        <v>29</v>
      </c>
      <c r="J162" s="34">
        <f>+(19500*100)/119</f>
        <v>16386.55462184874</v>
      </c>
      <c r="K162" s="40">
        <f t="shared" si="97"/>
        <v>114705.88235294117</v>
      </c>
      <c r="L162" s="35">
        <f>+(17407*100)/119</f>
        <v>14627.731092436974</v>
      </c>
      <c r="M162" s="35">
        <f t="shared" si="106"/>
        <v>102394.11764705883</v>
      </c>
      <c r="N162" s="115">
        <f>+(16650*100)/119</f>
        <v>13991.596638655463</v>
      </c>
      <c r="O162" s="41">
        <f t="shared" si="85"/>
        <v>97941.176470588238</v>
      </c>
      <c r="P162" s="68">
        <f t="shared" si="103"/>
        <v>15001.960784313726</v>
      </c>
      <c r="Q162" s="68">
        <f t="shared" si="107"/>
        <v>105013.72549019608</v>
      </c>
      <c r="R162" s="68">
        <f t="shared" si="70"/>
        <v>1012.913893025769</v>
      </c>
      <c r="S162" s="69">
        <f t="shared" si="71"/>
        <v>6.7518766885785148E-2</v>
      </c>
      <c r="T162" s="68">
        <f t="shared" si="72"/>
        <v>14627.731092436974</v>
      </c>
      <c r="U162" s="68">
        <f t="shared" si="73"/>
        <v>102394.11764705883</v>
      </c>
      <c r="V162" s="69">
        <f t="shared" si="74"/>
        <v>6.9246138490300743E-2</v>
      </c>
      <c r="W162" s="25" t="s">
        <v>202</v>
      </c>
      <c r="X162" s="25" t="s">
        <v>203</v>
      </c>
      <c r="Y162" s="27" t="s">
        <v>204</v>
      </c>
      <c r="Z162" s="28" t="s">
        <v>205</v>
      </c>
      <c r="AA162" s="28" t="s">
        <v>206</v>
      </c>
      <c r="AB162" s="28"/>
      <c r="AC162" s="28"/>
      <c r="AD162" s="28"/>
      <c r="AE162" s="28"/>
      <c r="AF162" s="28"/>
      <c r="AG162" s="28"/>
      <c r="AH162" s="28"/>
      <c r="AI162" s="28"/>
      <c r="AJ162" s="28"/>
      <c r="AK162" s="28"/>
    </row>
    <row r="163" spans="1:37" ht="47.25" customHeight="1" x14ac:dyDescent="0.25">
      <c r="A163" s="13">
        <f t="shared" si="81"/>
        <v>3</v>
      </c>
      <c r="B163" s="675">
        <v>153</v>
      </c>
      <c r="C163" s="38">
        <v>158</v>
      </c>
      <c r="D163" s="65" t="s">
        <v>207</v>
      </c>
      <c r="E163" s="31" t="s">
        <v>208</v>
      </c>
      <c r="F163" s="66">
        <v>150</v>
      </c>
      <c r="G163" s="32" t="s">
        <v>24</v>
      </c>
      <c r="H163" s="33">
        <v>1</v>
      </c>
      <c r="I163" s="33" t="s">
        <v>29</v>
      </c>
      <c r="J163" s="34">
        <f>+(10756*100)/119</f>
        <v>9038.6554621848736</v>
      </c>
      <c r="K163" s="40">
        <f t="shared" si="97"/>
        <v>1355798.3193277312</v>
      </c>
      <c r="L163" s="35">
        <f>+(12017*100)/119</f>
        <v>10098.319327731093</v>
      </c>
      <c r="M163" s="35">
        <f t="shared" si="106"/>
        <v>1514747.8991596638</v>
      </c>
      <c r="N163" s="35">
        <f>+(10900*100)/119</f>
        <v>9159.6638655462193</v>
      </c>
      <c r="O163" s="41">
        <f t="shared" si="85"/>
        <v>1373949.5798319329</v>
      </c>
      <c r="P163" s="68">
        <f t="shared" si="103"/>
        <v>9432.212885154062</v>
      </c>
      <c r="Q163" s="68">
        <f t="shared" si="107"/>
        <v>1414831.9327731093</v>
      </c>
      <c r="R163" s="68">
        <f t="shared" si="70"/>
        <v>473.59202066264169</v>
      </c>
      <c r="S163" s="69">
        <f t="shared" si="71"/>
        <v>5.0210064852125764E-2</v>
      </c>
      <c r="T163" s="68">
        <f t="shared" si="72"/>
        <v>9159.6638655462193</v>
      </c>
      <c r="U163" s="68">
        <f t="shared" si="73"/>
        <v>1373949.5798319329</v>
      </c>
      <c r="V163" s="69">
        <f t="shared" si="74"/>
        <v>5.1704082989774636E-2</v>
      </c>
      <c r="W163" s="47" t="s">
        <v>209</v>
      </c>
      <c r="X163" s="47" t="s">
        <v>210</v>
      </c>
      <c r="Y163" s="48" t="s">
        <v>211</v>
      </c>
      <c r="Z163" s="237">
        <f>SUM(Q140:Q163)</f>
        <v>98104827.60626331</v>
      </c>
      <c r="AA163" s="237">
        <f>SUM(U140:U163)</f>
        <v>101253207.13081232</v>
      </c>
      <c r="AB163" s="28"/>
      <c r="AC163" s="28"/>
      <c r="AD163" s="28"/>
      <c r="AE163" s="28"/>
      <c r="AF163" s="28"/>
      <c r="AG163" s="28"/>
      <c r="AH163" s="28"/>
      <c r="AI163" s="28"/>
      <c r="AJ163" s="28"/>
      <c r="AK163" s="28"/>
    </row>
    <row r="164" spans="1:37" ht="15.75" customHeight="1" x14ac:dyDescent="0.25">
      <c r="A164" s="292"/>
      <c r="B164" s="292"/>
      <c r="C164" s="292"/>
      <c r="D164" s="277"/>
      <c r="E164" s="293" t="s">
        <v>345</v>
      </c>
      <c r="F164" s="279"/>
      <c r="G164" s="279"/>
      <c r="H164" s="279"/>
      <c r="I164" s="279"/>
      <c r="J164" s="279"/>
      <c r="K164" s="279"/>
      <c r="L164" s="279"/>
      <c r="M164" s="279"/>
      <c r="N164" s="279"/>
      <c r="O164" s="279"/>
      <c r="P164" s="279"/>
      <c r="Q164" s="294"/>
      <c r="R164" s="294"/>
      <c r="S164" s="294"/>
      <c r="T164" s="294"/>
      <c r="U164" s="294"/>
      <c r="V164" s="294"/>
      <c r="W164" s="294"/>
      <c r="X164" s="294"/>
      <c r="Y164" s="294"/>
      <c r="Z164" s="28"/>
      <c r="AA164" s="28"/>
      <c r="AB164" s="28"/>
      <c r="AC164" s="28"/>
      <c r="AD164" s="28"/>
      <c r="AE164" s="28"/>
      <c r="AF164" s="28"/>
      <c r="AG164" s="28"/>
      <c r="AH164" s="28"/>
      <c r="AI164" s="28"/>
      <c r="AJ164" s="28"/>
      <c r="AK164" s="28"/>
    </row>
    <row r="165" spans="1:37" ht="110.25" customHeight="1" x14ac:dyDescent="0.25">
      <c r="A165" s="13">
        <f t="shared" si="81"/>
        <v>3</v>
      </c>
      <c r="B165" s="675">
        <v>154</v>
      </c>
      <c r="C165" s="38">
        <v>159</v>
      </c>
      <c r="D165" s="30" t="s">
        <v>346</v>
      </c>
      <c r="E165" s="31" t="s">
        <v>347</v>
      </c>
      <c r="F165" s="66">
        <v>1</v>
      </c>
      <c r="G165" s="32" t="s">
        <v>24</v>
      </c>
      <c r="H165" s="33">
        <v>1</v>
      </c>
      <c r="I165" s="33" t="s">
        <v>29</v>
      </c>
      <c r="J165" s="34">
        <v>9200000</v>
      </c>
      <c r="K165" s="34">
        <f t="shared" si="97"/>
        <v>9200000</v>
      </c>
      <c r="L165" s="34">
        <v>10300000</v>
      </c>
      <c r="M165" s="58">
        <f t="shared" si="106"/>
        <v>10300000</v>
      </c>
      <c r="N165" s="34">
        <v>10900000</v>
      </c>
      <c r="O165" s="35">
        <f t="shared" si="85"/>
        <v>10900000</v>
      </c>
      <c r="P165" s="68">
        <f t="shared" si="103"/>
        <v>10133333.333333334</v>
      </c>
      <c r="Q165" s="68">
        <f t="shared" si="107"/>
        <v>10133333.333333334</v>
      </c>
      <c r="R165" s="68">
        <f t="shared" si="70"/>
        <v>703957.06939809595</v>
      </c>
      <c r="S165" s="69">
        <f t="shared" si="71"/>
        <v>6.9469447637969986E-2</v>
      </c>
      <c r="T165" s="68">
        <f t="shared" si="72"/>
        <v>10300000</v>
      </c>
      <c r="U165" s="68">
        <f t="shared" si="73"/>
        <v>10300000</v>
      </c>
      <c r="V165" s="69">
        <f t="shared" si="74"/>
        <v>6.8345346543504465E-2</v>
      </c>
      <c r="W165" s="25" t="s">
        <v>41</v>
      </c>
      <c r="X165" s="25" t="s">
        <v>42</v>
      </c>
      <c r="Y165" s="53" t="s">
        <v>43</v>
      </c>
      <c r="Z165" s="28"/>
      <c r="AA165" s="28"/>
      <c r="AB165" s="28"/>
      <c r="AC165" s="28"/>
      <c r="AD165" s="28"/>
      <c r="AE165" s="28"/>
      <c r="AF165" s="28"/>
      <c r="AG165" s="28"/>
      <c r="AH165" s="28"/>
      <c r="AI165" s="28"/>
      <c r="AJ165" s="28"/>
      <c r="AK165" s="28"/>
    </row>
    <row r="166" spans="1:37" ht="78.75" customHeight="1" x14ac:dyDescent="0.25">
      <c r="A166" s="13">
        <f t="shared" si="81"/>
        <v>1</v>
      </c>
      <c r="B166" s="675">
        <v>155</v>
      </c>
      <c r="C166" s="38">
        <v>160</v>
      </c>
      <c r="D166" s="49" t="s">
        <v>348</v>
      </c>
      <c r="E166" s="31" t="s">
        <v>349</v>
      </c>
      <c r="F166" s="66">
        <v>2</v>
      </c>
      <c r="G166" s="32" t="s">
        <v>24</v>
      </c>
      <c r="H166" s="33">
        <v>1</v>
      </c>
      <c r="I166" s="33" t="s">
        <v>29</v>
      </c>
      <c r="J166" s="34">
        <f>3100001/30</f>
        <v>103333.36666666667</v>
      </c>
      <c r="K166" s="34">
        <f t="shared" si="97"/>
        <v>206666.73333333334</v>
      </c>
      <c r="L166" s="34"/>
      <c r="M166" s="34"/>
      <c r="N166" s="40"/>
      <c r="O166" s="35"/>
      <c r="P166" s="22">
        <f>+(ROUND(AVERAGE(J166),0))</f>
        <v>103333</v>
      </c>
      <c r="Q166" s="22">
        <f>+P166*F166*H166</f>
        <v>206666</v>
      </c>
      <c r="R166" s="23">
        <f>+_xlfn.STDEV.P(J166,L166,N166)</f>
        <v>0</v>
      </c>
      <c r="S166" s="24">
        <f>+R166/P166</f>
        <v>0</v>
      </c>
      <c r="T166" s="23">
        <f>+MEDIAN(J166,L166,N166)</f>
        <v>103333.36666666667</v>
      </c>
      <c r="U166" s="23">
        <f>+T166*F166*H166</f>
        <v>206666.73333333334</v>
      </c>
      <c r="V166" s="24">
        <f>+R166/T166</f>
        <v>0</v>
      </c>
      <c r="W166" s="25" t="s">
        <v>26</v>
      </c>
      <c r="X166" s="25"/>
      <c r="Y166" s="27"/>
      <c r="Z166" s="28"/>
      <c r="AA166" s="28"/>
      <c r="AB166" s="28"/>
      <c r="AC166" s="28"/>
      <c r="AD166" s="28"/>
      <c r="AE166" s="28"/>
      <c r="AF166" s="28"/>
      <c r="AG166" s="28"/>
      <c r="AH166" s="28"/>
      <c r="AI166" s="28"/>
      <c r="AJ166" s="28"/>
      <c r="AK166" s="28"/>
    </row>
    <row r="167" spans="1:37" ht="31.5" customHeight="1" x14ac:dyDescent="0.25">
      <c r="A167" s="13">
        <f t="shared" si="81"/>
        <v>3</v>
      </c>
      <c r="B167" s="675">
        <v>156</v>
      </c>
      <c r="C167" s="38">
        <v>161</v>
      </c>
      <c r="D167" s="30" t="s">
        <v>350</v>
      </c>
      <c r="E167" s="31" t="s">
        <v>351</v>
      </c>
      <c r="F167" s="66">
        <v>2</v>
      </c>
      <c r="G167" s="32" t="s">
        <v>24</v>
      </c>
      <c r="H167" s="33">
        <v>1</v>
      </c>
      <c r="I167" s="33" t="s">
        <v>29</v>
      </c>
      <c r="J167" s="34">
        <v>2000000</v>
      </c>
      <c r="K167" s="34">
        <f t="shared" si="97"/>
        <v>4000000</v>
      </c>
      <c r="L167" s="43">
        <v>2200000</v>
      </c>
      <c r="M167" s="147">
        <f t="shared" ref="M167:M169" si="108">+L167*H167*F167</f>
        <v>4400000</v>
      </c>
      <c r="N167" s="43">
        <v>2400000</v>
      </c>
      <c r="O167" s="41">
        <f t="shared" si="85"/>
        <v>4800000</v>
      </c>
      <c r="P167" s="68">
        <f t="shared" ref="P167:P169" si="109">+AVERAGE(J167,L167,N167)</f>
        <v>2200000</v>
      </c>
      <c r="Q167" s="68">
        <f t="shared" ref="Q167:Q169" si="110">+P167*H167*F167</f>
        <v>4400000</v>
      </c>
      <c r="R167" s="68">
        <f t="shared" ref="R167:R169" si="111">+_xlfn.STDEV.P(J167,L167,N167)</f>
        <v>163299.31618554521</v>
      </c>
      <c r="S167" s="69">
        <f t="shared" ref="S167:S169" si="112">+R167/P167</f>
        <v>7.4226961902520552E-2</v>
      </c>
      <c r="T167" s="68">
        <f t="shared" ref="T167:T169" si="113">+MEDIAN(J167,L167,N167)</f>
        <v>2200000</v>
      </c>
      <c r="U167" s="68">
        <f t="shared" ref="U167:U169" si="114">+T167*F167*H167</f>
        <v>4400000</v>
      </c>
      <c r="V167" s="69">
        <f t="shared" ref="V167:V169" si="115">+R167/T167</f>
        <v>7.4226961902520552E-2</v>
      </c>
      <c r="W167" s="25" t="s">
        <v>41</v>
      </c>
      <c r="X167" s="25" t="s">
        <v>42</v>
      </c>
      <c r="Y167" s="53" t="s">
        <v>43</v>
      </c>
      <c r="Z167" s="28"/>
      <c r="AA167" s="28"/>
      <c r="AB167" s="28"/>
      <c r="AC167" s="28"/>
      <c r="AD167" s="28"/>
      <c r="AE167" s="28"/>
      <c r="AF167" s="28"/>
      <c r="AG167" s="28"/>
      <c r="AH167" s="28"/>
      <c r="AI167" s="28"/>
      <c r="AJ167" s="28"/>
      <c r="AK167" s="28"/>
    </row>
    <row r="168" spans="1:37" ht="47.25" customHeight="1" x14ac:dyDescent="0.25">
      <c r="A168" s="13">
        <f t="shared" si="81"/>
        <v>3</v>
      </c>
      <c r="B168" s="675">
        <v>157</v>
      </c>
      <c r="C168" s="38">
        <v>162</v>
      </c>
      <c r="D168" s="30" t="s">
        <v>352</v>
      </c>
      <c r="E168" s="31" t="s">
        <v>353</v>
      </c>
      <c r="F168" s="66">
        <v>6</v>
      </c>
      <c r="G168" s="32" t="s">
        <v>24</v>
      </c>
      <c r="H168" s="33">
        <v>1</v>
      </c>
      <c r="I168" s="33" t="s">
        <v>29</v>
      </c>
      <c r="J168" s="282">
        <f>+(4165000*5.35%)+4165000</f>
        <v>4387827.5</v>
      </c>
      <c r="K168" s="40">
        <f t="shared" si="97"/>
        <v>26326965</v>
      </c>
      <c r="L168" s="282">
        <f>+(4000000*5.35%)+4000000</f>
        <v>4214000</v>
      </c>
      <c r="M168" s="35">
        <f t="shared" si="108"/>
        <v>25284000</v>
      </c>
      <c r="N168" s="282">
        <f>+(3795000*5.35%)+3795000</f>
        <v>3998032.5</v>
      </c>
      <c r="O168" s="41">
        <f t="shared" si="85"/>
        <v>23988195</v>
      </c>
      <c r="P168" s="68">
        <f t="shared" si="109"/>
        <v>4199953.333333333</v>
      </c>
      <c r="Q168" s="68">
        <f t="shared" si="110"/>
        <v>25199720</v>
      </c>
      <c r="R168" s="68">
        <f t="shared" si="111"/>
        <v>159442.81553707237</v>
      </c>
      <c r="S168" s="69">
        <f t="shared" si="112"/>
        <v>3.7962996938951478E-2</v>
      </c>
      <c r="T168" s="68">
        <f t="shared" si="113"/>
        <v>4214000</v>
      </c>
      <c r="U168" s="68">
        <f t="shared" si="114"/>
        <v>25284000</v>
      </c>
      <c r="V168" s="69">
        <f t="shared" si="115"/>
        <v>3.7836453615821636E-2</v>
      </c>
      <c r="W168" s="25" t="s">
        <v>138</v>
      </c>
      <c r="X168" s="25" t="s">
        <v>354</v>
      </c>
      <c r="Y168" s="27" t="s">
        <v>155</v>
      </c>
      <c r="Z168" s="28"/>
      <c r="AA168" s="28"/>
      <c r="AB168" s="28"/>
      <c r="AC168" s="28"/>
      <c r="AD168" s="28"/>
      <c r="AE168" s="28"/>
      <c r="AF168" s="28"/>
      <c r="AG168" s="28"/>
      <c r="AH168" s="28"/>
      <c r="AI168" s="28"/>
      <c r="AJ168" s="28"/>
      <c r="AK168" s="28"/>
    </row>
    <row r="169" spans="1:37" ht="93" customHeight="1" x14ac:dyDescent="0.25">
      <c r="A169" s="13">
        <f t="shared" si="81"/>
        <v>3</v>
      </c>
      <c r="B169" s="675">
        <v>158</v>
      </c>
      <c r="C169" s="38">
        <v>163</v>
      </c>
      <c r="D169" s="30" t="s">
        <v>355</v>
      </c>
      <c r="E169" s="31" t="s">
        <v>356</v>
      </c>
      <c r="F169" s="66">
        <v>4</v>
      </c>
      <c r="G169" s="32" t="s">
        <v>24</v>
      </c>
      <c r="H169" s="33">
        <v>1</v>
      </c>
      <c r="I169" s="33" t="s">
        <v>29</v>
      </c>
      <c r="J169" s="282">
        <f>+(3500000*5.35%)+3500000</f>
        <v>3687250</v>
      </c>
      <c r="K169" s="40">
        <f t="shared" si="97"/>
        <v>14749000</v>
      </c>
      <c r="L169" s="282">
        <f>+(4000000*5.35%)+4000000</f>
        <v>4214000</v>
      </c>
      <c r="M169" s="35">
        <f t="shared" si="108"/>
        <v>16856000</v>
      </c>
      <c r="N169" s="282">
        <f>+(3795000*5.35%)+3795000</f>
        <v>3998032.5</v>
      </c>
      <c r="O169" s="41">
        <f t="shared" si="85"/>
        <v>15992130</v>
      </c>
      <c r="P169" s="68">
        <f t="shared" si="109"/>
        <v>3966427.5</v>
      </c>
      <c r="Q169" s="68">
        <f t="shared" si="110"/>
        <v>15865710</v>
      </c>
      <c r="R169" s="68">
        <f t="shared" si="111"/>
        <v>216202.91031613489</v>
      </c>
      <c r="S169" s="69">
        <f t="shared" si="112"/>
        <v>5.4508221898959423E-2</v>
      </c>
      <c r="T169" s="68">
        <f t="shared" si="113"/>
        <v>3998032.5</v>
      </c>
      <c r="U169" s="68">
        <f t="shared" si="114"/>
        <v>15992130</v>
      </c>
      <c r="V169" s="69">
        <f t="shared" si="115"/>
        <v>5.4077326864185045E-2</v>
      </c>
      <c r="W169" s="88" t="s">
        <v>138</v>
      </c>
      <c r="X169" s="88" t="s">
        <v>354</v>
      </c>
      <c r="Y169" s="89" t="s">
        <v>155</v>
      </c>
      <c r="Z169" s="28"/>
      <c r="AA169" s="28"/>
      <c r="AB169" s="28"/>
      <c r="AC169" s="28"/>
      <c r="AD169" s="28"/>
      <c r="AE169" s="28"/>
      <c r="AF169" s="28"/>
      <c r="AG169" s="28"/>
      <c r="AH169" s="28"/>
      <c r="AI169" s="28"/>
      <c r="AJ169" s="28"/>
      <c r="AK169" s="28"/>
    </row>
    <row r="170" spans="1:37" ht="73.5" customHeight="1" x14ac:dyDescent="0.25">
      <c r="A170" s="13">
        <f t="shared" si="81"/>
        <v>1</v>
      </c>
      <c r="B170" s="675">
        <v>159</v>
      </c>
      <c r="C170" s="38">
        <v>164</v>
      </c>
      <c r="D170" s="30" t="s">
        <v>282</v>
      </c>
      <c r="E170" s="31" t="s">
        <v>357</v>
      </c>
      <c r="F170" s="66">
        <v>1</v>
      </c>
      <c r="G170" s="32" t="s">
        <v>24</v>
      </c>
      <c r="H170" s="33">
        <v>1</v>
      </c>
      <c r="I170" s="33" t="s">
        <v>29</v>
      </c>
      <c r="J170" s="34">
        <f>3100001/30</f>
        <v>103333.36666666667</v>
      </c>
      <c r="K170" s="34">
        <f t="shared" si="97"/>
        <v>103333.36666666667</v>
      </c>
      <c r="L170" s="43"/>
      <c r="M170" s="43"/>
      <c r="N170" s="44"/>
      <c r="O170" s="41"/>
      <c r="P170" s="22">
        <f>+(ROUND(AVERAGE(J170),0))</f>
        <v>103333</v>
      </c>
      <c r="Q170" s="22">
        <f>+P170*F170*H170</f>
        <v>103333</v>
      </c>
      <c r="R170" s="23">
        <f>+_xlfn.STDEV.P(J170,L170,N170)</f>
        <v>0</v>
      </c>
      <c r="S170" s="24">
        <f>+R170/P170</f>
        <v>0</v>
      </c>
      <c r="T170" s="23">
        <f>+MEDIAN(J170,L170,N170)</f>
        <v>103333.36666666667</v>
      </c>
      <c r="U170" s="23">
        <f>+T170*F170*H170</f>
        <v>103333.36666666667</v>
      </c>
      <c r="V170" s="24">
        <f>+R170/T170</f>
        <v>0</v>
      </c>
      <c r="W170" s="25" t="s">
        <v>26</v>
      </c>
      <c r="X170" s="25"/>
      <c r="Y170" s="27"/>
      <c r="Z170" s="28"/>
      <c r="AA170" s="28"/>
      <c r="AB170" s="28"/>
      <c r="AC170" s="28"/>
      <c r="AD170" s="28"/>
      <c r="AE170" s="28"/>
      <c r="AF170" s="28"/>
      <c r="AG170" s="28"/>
      <c r="AH170" s="28"/>
      <c r="AI170" s="28"/>
      <c r="AJ170" s="28"/>
      <c r="AK170" s="28"/>
    </row>
    <row r="171" spans="1:37" ht="78.75" customHeight="1" x14ac:dyDescent="0.25">
      <c r="A171" s="13">
        <f t="shared" si="81"/>
        <v>3</v>
      </c>
      <c r="B171" s="675">
        <v>160</v>
      </c>
      <c r="C171" s="38">
        <v>165</v>
      </c>
      <c r="D171" s="30" t="s">
        <v>358</v>
      </c>
      <c r="E171" s="31" t="s">
        <v>359</v>
      </c>
      <c r="F171" s="66">
        <v>3</v>
      </c>
      <c r="G171" s="32" t="s">
        <v>24</v>
      </c>
      <c r="H171" s="33">
        <v>1</v>
      </c>
      <c r="I171" s="33" t="s">
        <v>29</v>
      </c>
      <c r="J171" s="34">
        <v>700000</v>
      </c>
      <c r="K171" s="34">
        <f t="shared" si="97"/>
        <v>2100000</v>
      </c>
      <c r="L171" s="34">
        <v>784000</v>
      </c>
      <c r="M171" s="58">
        <f t="shared" ref="M171:M185" si="116">+L171*H171*F171</f>
        <v>2352000</v>
      </c>
      <c r="N171" s="80">
        <v>826000</v>
      </c>
      <c r="O171" s="41">
        <f t="shared" si="85"/>
        <v>2478000</v>
      </c>
      <c r="P171" s="68">
        <f t="shared" ref="P171:P185" si="117">+AVERAGE(J171,L171,N171)</f>
        <v>770000</v>
      </c>
      <c r="Q171" s="68">
        <f t="shared" ref="Q171:Q185" si="118">+P171*H171*F171</f>
        <v>2310000</v>
      </c>
      <c r="R171" s="68">
        <f t="shared" ref="R171:R202" si="119">+_xlfn.STDEV.P(J171,L171,N171)</f>
        <v>52383.203414835181</v>
      </c>
      <c r="S171" s="69">
        <f t="shared" ref="S171:S202" si="120">+R171/P171</f>
        <v>6.8030134304980755E-2</v>
      </c>
      <c r="T171" s="68">
        <f t="shared" ref="T171:T202" si="121">+MEDIAN(J171,L171,N171)</f>
        <v>784000</v>
      </c>
      <c r="U171" s="68">
        <f t="shared" ref="U171:U202" si="122">+T171*F171*H171</f>
        <v>2352000</v>
      </c>
      <c r="V171" s="69">
        <f t="shared" ref="V171:V202" si="123">+R171/T171</f>
        <v>6.6815310478106099E-2</v>
      </c>
      <c r="W171" s="25" t="s">
        <v>41</v>
      </c>
      <c r="X171" s="25" t="s">
        <v>42</v>
      </c>
      <c r="Y171" s="53" t="s">
        <v>43</v>
      </c>
      <c r="Z171" s="28"/>
      <c r="AA171" s="28"/>
      <c r="AB171" s="28"/>
      <c r="AC171" s="28"/>
      <c r="AD171" s="28"/>
      <c r="AE171" s="28"/>
      <c r="AF171" s="28"/>
      <c r="AG171" s="28"/>
      <c r="AH171" s="28"/>
      <c r="AI171" s="28"/>
      <c r="AJ171" s="28"/>
      <c r="AK171" s="28"/>
    </row>
    <row r="172" spans="1:37" ht="47.25" customHeight="1" x14ac:dyDescent="0.25">
      <c r="A172" s="13">
        <f t="shared" si="81"/>
        <v>3</v>
      </c>
      <c r="B172" s="675">
        <v>161</v>
      </c>
      <c r="C172" s="38">
        <v>166</v>
      </c>
      <c r="D172" s="30" t="s">
        <v>360</v>
      </c>
      <c r="E172" s="31" t="s">
        <v>361</v>
      </c>
      <c r="F172" s="66">
        <v>2</v>
      </c>
      <c r="G172" s="32" t="s">
        <v>24</v>
      </c>
      <c r="H172" s="33">
        <v>1</v>
      </c>
      <c r="I172" s="33" t="s">
        <v>29</v>
      </c>
      <c r="J172" s="34">
        <f>+(499800*100)/119</f>
        <v>420000</v>
      </c>
      <c r="K172" s="34">
        <f t="shared" si="97"/>
        <v>840000</v>
      </c>
      <c r="L172" s="43">
        <f>+(767550*100)/119</f>
        <v>645000</v>
      </c>
      <c r="M172" s="148">
        <f t="shared" si="116"/>
        <v>1290000</v>
      </c>
      <c r="N172" s="83">
        <v>406000</v>
      </c>
      <c r="O172" s="41">
        <f t="shared" si="85"/>
        <v>812000</v>
      </c>
      <c r="P172" s="68">
        <f t="shared" si="117"/>
        <v>490333.33333333331</v>
      </c>
      <c r="Q172" s="68">
        <f t="shared" si="118"/>
        <v>980666.66666666663</v>
      </c>
      <c r="R172" s="68">
        <f t="shared" si="119"/>
        <v>109515.09282083249</v>
      </c>
      <c r="S172" s="69">
        <f t="shared" si="120"/>
        <v>0.22334825184398197</v>
      </c>
      <c r="T172" s="68">
        <f t="shared" si="121"/>
        <v>420000</v>
      </c>
      <c r="U172" s="68">
        <f t="shared" si="122"/>
        <v>840000</v>
      </c>
      <c r="V172" s="69">
        <f t="shared" si="123"/>
        <v>0.26075022100198214</v>
      </c>
      <c r="W172" s="25" t="s">
        <v>143</v>
      </c>
      <c r="X172" s="25" t="s">
        <v>144</v>
      </c>
      <c r="Y172" s="53" t="s">
        <v>248</v>
      </c>
      <c r="Z172" s="28"/>
      <c r="AA172" s="28"/>
      <c r="AB172" s="28"/>
      <c r="AC172" s="28"/>
      <c r="AD172" s="28"/>
      <c r="AE172" s="28"/>
      <c r="AF172" s="28"/>
      <c r="AG172" s="28"/>
      <c r="AH172" s="28"/>
      <c r="AI172" s="28"/>
      <c r="AJ172" s="28"/>
      <c r="AK172" s="28"/>
    </row>
    <row r="173" spans="1:37" ht="31.5" customHeight="1" x14ac:dyDescent="0.25">
      <c r="A173" s="13">
        <f t="shared" si="81"/>
        <v>3</v>
      </c>
      <c r="B173" s="675">
        <v>162</v>
      </c>
      <c r="C173" s="38">
        <v>167</v>
      </c>
      <c r="D173" s="30" t="s">
        <v>362</v>
      </c>
      <c r="E173" s="31" t="s">
        <v>363</v>
      </c>
      <c r="F173" s="66">
        <v>30</v>
      </c>
      <c r="G173" s="32" t="s">
        <v>24</v>
      </c>
      <c r="H173" s="33">
        <v>1</v>
      </c>
      <c r="I173" s="33" t="s">
        <v>29</v>
      </c>
      <c r="J173" s="34">
        <f>+(2975*100)/119</f>
        <v>2500</v>
      </c>
      <c r="K173" s="40">
        <f t="shared" si="97"/>
        <v>75000</v>
      </c>
      <c r="L173" s="35">
        <f>+(1700*100)/119</f>
        <v>1428.5714285714287</v>
      </c>
      <c r="M173" s="35">
        <f t="shared" si="116"/>
        <v>42857.142857142862</v>
      </c>
      <c r="N173" s="107">
        <f>+(2142*100)/119</f>
        <v>1800</v>
      </c>
      <c r="O173" s="41">
        <f t="shared" si="85"/>
        <v>54000</v>
      </c>
      <c r="P173" s="68">
        <f t="shared" si="117"/>
        <v>1909.5238095238094</v>
      </c>
      <c r="Q173" s="68">
        <f t="shared" si="118"/>
        <v>57285.714285714283</v>
      </c>
      <c r="R173" s="68">
        <f t="shared" si="119"/>
        <v>444.21195733405148</v>
      </c>
      <c r="S173" s="69">
        <f t="shared" si="120"/>
        <v>0.23262970334202199</v>
      </c>
      <c r="T173" s="68">
        <f t="shared" si="121"/>
        <v>1800</v>
      </c>
      <c r="U173" s="68">
        <f t="shared" si="122"/>
        <v>54000</v>
      </c>
      <c r="V173" s="69">
        <f t="shared" si="123"/>
        <v>0.24678442074113971</v>
      </c>
      <c r="W173" s="47" t="s">
        <v>251</v>
      </c>
      <c r="X173" s="47" t="s">
        <v>252</v>
      </c>
      <c r="Y173" s="48" t="s">
        <v>253</v>
      </c>
      <c r="Z173" s="28"/>
      <c r="AA173" s="28"/>
      <c r="AB173" s="28"/>
      <c r="AC173" s="28"/>
      <c r="AD173" s="28"/>
      <c r="AE173" s="28"/>
      <c r="AF173" s="28"/>
      <c r="AG173" s="28"/>
      <c r="AH173" s="28"/>
      <c r="AI173" s="28"/>
      <c r="AJ173" s="28"/>
      <c r="AK173" s="28"/>
    </row>
    <row r="174" spans="1:37" ht="141.75" customHeight="1" x14ac:dyDescent="0.25">
      <c r="A174" s="13">
        <f t="shared" si="81"/>
        <v>3</v>
      </c>
      <c r="B174" s="675">
        <v>163</v>
      </c>
      <c r="C174" s="38">
        <v>168</v>
      </c>
      <c r="D174" s="49" t="s">
        <v>364</v>
      </c>
      <c r="E174" s="50" t="s">
        <v>365</v>
      </c>
      <c r="F174" s="66">
        <v>1</v>
      </c>
      <c r="G174" s="32" t="s">
        <v>24</v>
      </c>
      <c r="H174" s="33">
        <v>1</v>
      </c>
      <c r="I174" s="33" t="s">
        <v>29</v>
      </c>
      <c r="J174" s="34">
        <v>2360707</v>
      </c>
      <c r="K174" s="40">
        <f t="shared" si="97"/>
        <v>2360707</v>
      </c>
      <c r="L174" s="80">
        <v>2430945</v>
      </c>
      <c r="M174" s="35">
        <f t="shared" si="116"/>
        <v>2430945</v>
      </c>
      <c r="N174" s="80">
        <v>2915729</v>
      </c>
      <c r="O174" s="41">
        <f t="shared" si="85"/>
        <v>2915729</v>
      </c>
      <c r="P174" s="68">
        <f t="shared" si="117"/>
        <v>2569127</v>
      </c>
      <c r="Q174" s="68">
        <f t="shared" si="118"/>
        <v>2569127</v>
      </c>
      <c r="R174" s="68">
        <f t="shared" si="119"/>
        <v>246756.36292235032</v>
      </c>
      <c r="S174" s="69">
        <f t="shared" si="120"/>
        <v>9.6046775002695595E-2</v>
      </c>
      <c r="T174" s="68">
        <f t="shared" si="121"/>
        <v>2430945</v>
      </c>
      <c r="U174" s="68">
        <f t="shared" si="122"/>
        <v>2430945</v>
      </c>
      <c r="V174" s="69">
        <f t="shared" si="123"/>
        <v>0.10150635367001323</v>
      </c>
      <c r="W174" s="295" t="s">
        <v>366</v>
      </c>
      <c r="X174" s="296" t="s">
        <v>367</v>
      </c>
      <c r="Y174" s="249" t="s">
        <v>368</v>
      </c>
      <c r="Z174" s="28"/>
      <c r="AA174" s="28"/>
      <c r="AB174" s="28"/>
      <c r="AC174" s="28"/>
      <c r="AD174" s="28"/>
      <c r="AE174" s="28"/>
      <c r="AF174" s="28"/>
      <c r="AG174" s="28"/>
      <c r="AH174" s="28"/>
      <c r="AI174" s="28"/>
      <c r="AJ174" s="28"/>
      <c r="AK174" s="28"/>
    </row>
    <row r="175" spans="1:37" ht="280.14999999999998" customHeight="1" x14ac:dyDescent="0.25">
      <c r="A175" s="13">
        <f t="shared" si="81"/>
        <v>3</v>
      </c>
      <c r="B175" s="675">
        <v>164</v>
      </c>
      <c r="C175" s="38">
        <v>169</v>
      </c>
      <c r="D175" s="212" t="s">
        <v>369</v>
      </c>
      <c r="E175" s="27" t="s">
        <v>370</v>
      </c>
      <c r="F175" s="32">
        <v>5</v>
      </c>
      <c r="G175" s="32" t="s">
        <v>24</v>
      </c>
      <c r="H175" s="33"/>
      <c r="I175" s="33"/>
      <c r="J175" s="228">
        <v>1684211</v>
      </c>
      <c r="K175" s="64">
        <f t="shared" ref="K175:K177" si="124">+J175*F175</f>
        <v>8421055</v>
      </c>
      <c r="L175" s="228">
        <v>1684211</v>
      </c>
      <c r="M175" s="217">
        <f t="shared" ref="M175:M177" si="125">+L175*F175</f>
        <v>8421055</v>
      </c>
      <c r="N175" s="228">
        <v>1684211</v>
      </c>
      <c r="O175" s="35">
        <f t="shared" ref="O175:O177" si="126">+N175*F175</f>
        <v>8421055</v>
      </c>
      <c r="P175" s="68">
        <f t="shared" si="117"/>
        <v>1684211</v>
      </c>
      <c r="Q175" s="163">
        <f t="shared" ref="Q175:Q177" si="127">+P175*F175</f>
        <v>8421055</v>
      </c>
      <c r="R175" s="68">
        <f t="shared" si="119"/>
        <v>0</v>
      </c>
      <c r="S175" s="69">
        <f t="shared" si="120"/>
        <v>0</v>
      </c>
      <c r="T175" s="68">
        <f t="shared" si="121"/>
        <v>1684211</v>
      </c>
      <c r="U175" s="163">
        <f t="shared" ref="U175:U177" si="128">+T175*F175</f>
        <v>8421055</v>
      </c>
      <c r="V175" s="69">
        <f t="shared" si="123"/>
        <v>0</v>
      </c>
      <c r="W175" s="268" t="s">
        <v>41</v>
      </c>
      <c r="X175" s="25" t="s">
        <v>42</v>
      </c>
      <c r="Y175" s="27" t="s">
        <v>43</v>
      </c>
      <c r="Z175" s="28"/>
      <c r="AA175" s="28"/>
      <c r="AB175" s="28"/>
      <c r="AC175" s="28"/>
      <c r="AD175" s="28"/>
      <c r="AE175" s="28"/>
      <c r="AF175" s="28"/>
      <c r="AG175" s="28"/>
      <c r="AH175" s="28"/>
      <c r="AI175" s="28"/>
      <c r="AJ175" s="28"/>
      <c r="AK175" s="28"/>
    </row>
    <row r="176" spans="1:37" ht="252" customHeight="1" x14ac:dyDescent="0.25">
      <c r="A176" s="13">
        <f t="shared" si="81"/>
        <v>3</v>
      </c>
      <c r="B176" s="675">
        <v>165</v>
      </c>
      <c r="C176" s="38">
        <v>170</v>
      </c>
      <c r="D176" s="212" t="s">
        <v>371</v>
      </c>
      <c r="E176" s="27" t="s">
        <v>372</v>
      </c>
      <c r="F176" s="32">
        <v>3</v>
      </c>
      <c r="G176" s="32" t="s">
        <v>24</v>
      </c>
      <c r="H176" s="33"/>
      <c r="I176" s="33"/>
      <c r="J176" s="228">
        <v>3157895</v>
      </c>
      <c r="K176" s="64">
        <f t="shared" si="124"/>
        <v>9473685</v>
      </c>
      <c r="L176" s="228">
        <v>3157895</v>
      </c>
      <c r="M176" s="217">
        <f t="shared" si="125"/>
        <v>9473685</v>
      </c>
      <c r="N176" s="228">
        <v>3157895</v>
      </c>
      <c r="O176" s="35">
        <f t="shared" si="126"/>
        <v>9473685</v>
      </c>
      <c r="P176" s="68">
        <f t="shared" si="117"/>
        <v>3157895</v>
      </c>
      <c r="Q176" s="163">
        <f t="shared" si="127"/>
        <v>9473685</v>
      </c>
      <c r="R176" s="68">
        <f t="shared" si="119"/>
        <v>0</v>
      </c>
      <c r="S176" s="69">
        <f t="shared" si="120"/>
        <v>0</v>
      </c>
      <c r="T176" s="68">
        <f t="shared" si="121"/>
        <v>3157895</v>
      </c>
      <c r="U176" s="163">
        <f t="shared" si="128"/>
        <v>9473685</v>
      </c>
      <c r="V176" s="69">
        <f t="shared" si="123"/>
        <v>0</v>
      </c>
      <c r="W176" s="268" t="s">
        <v>41</v>
      </c>
      <c r="X176" s="25" t="s">
        <v>42</v>
      </c>
      <c r="Y176" s="27" t="s">
        <v>43</v>
      </c>
      <c r="Z176" s="28"/>
      <c r="AA176" s="28"/>
      <c r="AB176" s="28"/>
      <c r="AC176" s="28"/>
      <c r="AD176" s="28"/>
      <c r="AE176" s="28"/>
      <c r="AF176" s="28"/>
      <c r="AG176" s="28"/>
      <c r="AH176" s="28"/>
      <c r="AI176" s="28"/>
      <c r="AJ176" s="28"/>
      <c r="AK176" s="28"/>
    </row>
    <row r="177" spans="1:37" ht="337.15" customHeight="1" x14ac:dyDescent="0.25">
      <c r="A177" s="13">
        <f t="shared" si="81"/>
        <v>3</v>
      </c>
      <c r="B177" s="675">
        <v>166</v>
      </c>
      <c r="C177" s="38">
        <v>171</v>
      </c>
      <c r="D177" s="297" t="s">
        <v>373</v>
      </c>
      <c r="E177" s="27" t="s">
        <v>374</v>
      </c>
      <c r="F177" s="32">
        <v>2</v>
      </c>
      <c r="G177" s="32" t="s">
        <v>24</v>
      </c>
      <c r="H177" s="33"/>
      <c r="I177" s="33"/>
      <c r="J177" s="228">
        <v>1052632</v>
      </c>
      <c r="K177" s="64">
        <f t="shared" si="124"/>
        <v>2105264</v>
      </c>
      <c r="L177" s="228">
        <v>1052632</v>
      </c>
      <c r="M177" s="217">
        <f t="shared" si="125"/>
        <v>2105264</v>
      </c>
      <c r="N177" s="228">
        <v>1052632</v>
      </c>
      <c r="O177" s="35">
        <f t="shared" si="126"/>
        <v>2105264</v>
      </c>
      <c r="P177" s="68">
        <f t="shared" si="117"/>
        <v>1052632</v>
      </c>
      <c r="Q177" s="163">
        <f t="shared" si="127"/>
        <v>2105264</v>
      </c>
      <c r="R177" s="68">
        <f t="shared" si="119"/>
        <v>0</v>
      </c>
      <c r="S177" s="69">
        <f t="shared" si="120"/>
        <v>0</v>
      </c>
      <c r="T177" s="68">
        <f t="shared" si="121"/>
        <v>1052632</v>
      </c>
      <c r="U177" s="163">
        <f t="shared" si="128"/>
        <v>2105264</v>
      </c>
      <c r="V177" s="69">
        <f t="shared" si="123"/>
        <v>0</v>
      </c>
      <c r="W177" s="57" t="s">
        <v>41</v>
      </c>
      <c r="X177" s="268" t="s">
        <v>42</v>
      </c>
      <c r="Y177" s="27" t="s">
        <v>43</v>
      </c>
      <c r="Z177" s="28"/>
      <c r="AA177" s="28"/>
      <c r="AB177" s="28"/>
      <c r="AC177" s="28"/>
      <c r="AD177" s="28"/>
      <c r="AE177" s="28"/>
      <c r="AF177" s="28"/>
      <c r="AG177" s="28"/>
      <c r="AH177" s="28"/>
      <c r="AI177" s="28"/>
      <c r="AJ177" s="28"/>
      <c r="AK177" s="28"/>
    </row>
    <row r="178" spans="1:37" s="303" customFormat="1" ht="111.6" customHeight="1" x14ac:dyDescent="0.25">
      <c r="A178" s="13">
        <f>+COUNT(J178,L178,N178)</f>
        <v>1</v>
      </c>
      <c r="B178" s="675">
        <v>167</v>
      </c>
      <c r="C178" s="38">
        <v>172</v>
      </c>
      <c r="D178" s="159" t="s">
        <v>375</v>
      </c>
      <c r="E178" s="81" t="s">
        <v>376</v>
      </c>
      <c r="F178" s="298">
        <v>1</v>
      </c>
      <c r="G178" s="299" t="s">
        <v>24</v>
      </c>
      <c r="H178" s="300">
        <v>1</v>
      </c>
      <c r="I178" s="301" t="s">
        <v>29</v>
      </c>
      <c r="J178" s="35">
        <v>80000000</v>
      </c>
      <c r="K178" s="302">
        <f>+J178*F178*H178</f>
        <v>80000000</v>
      </c>
      <c r="L178" s="43"/>
      <c r="M178" s="147"/>
      <c r="N178" s="43"/>
      <c r="O178" s="35"/>
      <c r="P178" s="163">
        <f>+AVERAGE(J178,L178,N178)</f>
        <v>80000000</v>
      </c>
      <c r="Q178" s="163">
        <f>+P178*H178*F178</f>
        <v>80000000</v>
      </c>
      <c r="R178" s="163">
        <f>+_xlfn.STDEV.P(J178,L178,N178)</f>
        <v>0</v>
      </c>
      <c r="S178" s="183">
        <f>+R178/P178</f>
        <v>0</v>
      </c>
      <c r="T178" s="163">
        <f>+MEDIAN(J178,L178,N178)</f>
        <v>80000000</v>
      </c>
      <c r="U178" s="163">
        <f>+T178*F178*H178</f>
        <v>80000000</v>
      </c>
      <c r="V178" s="183">
        <f>+R178/T178</f>
        <v>0</v>
      </c>
      <c r="W178" s="177" t="s">
        <v>41</v>
      </c>
      <c r="X178" s="166" t="s">
        <v>42</v>
      </c>
      <c r="Y178" s="81" t="s">
        <v>43</v>
      </c>
      <c r="Z178" s="179"/>
      <c r="AA178" s="179"/>
      <c r="AB178" s="179"/>
      <c r="AC178" s="179"/>
      <c r="AD178" s="179"/>
      <c r="AE178" s="179"/>
      <c r="AF178" s="179"/>
      <c r="AG178" s="179"/>
      <c r="AH178" s="179"/>
      <c r="AI178" s="179"/>
      <c r="AJ178" s="179"/>
      <c r="AK178" s="179"/>
    </row>
    <row r="179" spans="1:37" ht="94.5" x14ac:dyDescent="0.25">
      <c r="A179" s="13">
        <f t="shared" si="81"/>
        <v>3</v>
      </c>
      <c r="B179" s="675">
        <v>168</v>
      </c>
      <c r="C179" s="38">
        <v>173</v>
      </c>
      <c r="D179" s="304" t="s">
        <v>377</v>
      </c>
      <c r="E179" s="171" t="s">
        <v>378</v>
      </c>
      <c r="F179" s="305">
        <v>1</v>
      </c>
      <c r="G179" s="51" t="s">
        <v>24</v>
      </c>
      <c r="H179" s="52">
        <v>1</v>
      </c>
      <c r="I179" s="52" t="s">
        <v>29</v>
      </c>
      <c r="J179" s="58">
        <f>+(1750000*100)/119</f>
        <v>1470588.2352941176</v>
      </c>
      <c r="K179" s="40">
        <f t="shared" si="97"/>
        <v>1470588.2352941176</v>
      </c>
      <c r="L179" s="35">
        <f>+(1500000*100)/119</f>
        <v>1260504.2016806724</v>
      </c>
      <c r="M179" s="35">
        <f t="shared" si="116"/>
        <v>1260504.2016806724</v>
      </c>
      <c r="N179" s="35">
        <v>900000</v>
      </c>
      <c r="O179" s="35">
        <f t="shared" si="85"/>
        <v>900000</v>
      </c>
      <c r="P179" s="68">
        <f t="shared" si="117"/>
        <v>1210364.1456582632</v>
      </c>
      <c r="Q179" s="68">
        <f t="shared" si="118"/>
        <v>1210364.1456582632</v>
      </c>
      <c r="R179" s="68">
        <f t="shared" si="119"/>
        <v>235624.35142610827</v>
      </c>
      <c r="S179" s="69">
        <f t="shared" si="120"/>
        <v>0.19467228294172798</v>
      </c>
      <c r="T179" s="68">
        <f t="shared" si="121"/>
        <v>1260504.2016806724</v>
      </c>
      <c r="U179" s="68">
        <f t="shared" si="122"/>
        <v>1260504.2016806724</v>
      </c>
      <c r="V179" s="69">
        <f t="shared" si="123"/>
        <v>0.18692865213137921</v>
      </c>
      <c r="W179" s="166" t="s">
        <v>379</v>
      </c>
      <c r="X179" s="166" t="s">
        <v>380</v>
      </c>
      <c r="Y179" s="81" t="s">
        <v>41</v>
      </c>
      <c r="Z179" s="28"/>
      <c r="AA179" s="28"/>
      <c r="AB179" s="28"/>
      <c r="AC179" s="28"/>
      <c r="AD179" s="28"/>
      <c r="AE179" s="28"/>
      <c r="AF179" s="28"/>
      <c r="AG179" s="28"/>
      <c r="AH179" s="28"/>
      <c r="AI179" s="28"/>
      <c r="AJ179" s="28"/>
      <c r="AK179" s="28"/>
    </row>
    <row r="180" spans="1:37" ht="201" customHeight="1" x14ac:dyDescent="0.25">
      <c r="A180" s="13">
        <f t="shared" si="81"/>
        <v>3</v>
      </c>
      <c r="B180" s="675">
        <v>169</v>
      </c>
      <c r="C180" s="38">
        <v>174</v>
      </c>
      <c r="D180" s="306" t="s">
        <v>381</v>
      </c>
      <c r="E180" s="218" t="s">
        <v>382</v>
      </c>
      <c r="F180" s="56">
        <v>8</v>
      </c>
      <c r="G180" s="56" t="s">
        <v>24</v>
      </c>
      <c r="H180" s="57"/>
      <c r="I180" s="57"/>
      <c r="J180" s="228">
        <v>105263</v>
      </c>
      <c r="K180" s="64">
        <f t="shared" ref="K180" si="129">+J180*F180</f>
        <v>842104</v>
      </c>
      <c r="L180" s="228">
        <v>105263</v>
      </c>
      <c r="M180" s="217">
        <f t="shared" ref="M180" si="130">+L180*F180</f>
        <v>842104</v>
      </c>
      <c r="N180" s="228">
        <v>105263</v>
      </c>
      <c r="O180" s="35">
        <f t="shared" ref="O180" si="131">+N180*F180</f>
        <v>842104</v>
      </c>
      <c r="P180" s="68">
        <f t="shared" si="117"/>
        <v>105263</v>
      </c>
      <c r="Q180" s="163">
        <f t="shared" ref="Q180" si="132">+P180*F180</f>
        <v>842104</v>
      </c>
      <c r="R180" s="68">
        <f t="shared" si="119"/>
        <v>0</v>
      </c>
      <c r="S180" s="69">
        <f t="shared" si="120"/>
        <v>0</v>
      </c>
      <c r="T180" s="68">
        <f t="shared" si="121"/>
        <v>105263</v>
      </c>
      <c r="U180" s="163">
        <f t="shared" ref="U180" si="133">+T180*F180</f>
        <v>842104</v>
      </c>
      <c r="V180" s="69">
        <f t="shared" si="123"/>
        <v>0</v>
      </c>
      <c r="W180" s="57" t="s">
        <v>41</v>
      </c>
      <c r="X180" s="268" t="s">
        <v>42</v>
      </c>
      <c r="Y180" s="27" t="s">
        <v>43</v>
      </c>
      <c r="Z180" s="28"/>
      <c r="AA180" s="28"/>
      <c r="AB180" s="28"/>
      <c r="AC180" s="28"/>
      <c r="AD180" s="28"/>
      <c r="AE180" s="28"/>
      <c r="AF180" s="28"/>
      <c r="AG180" s="28"/>
      <c r="AH180" s="28"/>
      <c r="AI180" s="28"/>
      <c r="AJ180" s="28"/>
      <c r="AK180" s="28"/>
    </row>
    <row r="181" spans="1:37" ht="31.5" customHeight="1" x14ac:dyDescent="0.25">
      <c r="A181" s="13">
        <f t="shared" si="81"/>
        <v>3</v>
      </c>
      <c r="B181" s="675">
        <v>170</v>
      </c>
      <c r="C181" s="38">
        <v>175</v>
      </c>
      <c r="D181" s="308" t="s">
        <v>200</v>
      </c>
      <c r="E181" s="75" t="s">
        <v>383</v>
      </c>
      <c r="F181" s="288">
        <v>100</v>
      </c>
      <c r="G181" s="76" t="s">
        <v>24</v>
      </c>
      <c r="H181" s="77">
        <v>1</v>
      </c>
      <c r="I181" s="77" t="s">
        <v>29</v>
      </c>
      <c r="J181" s="34">
        <f>+(1600*100)/119</f>
        <v>1344.5378151260504</v>
      </c>
      <c r="K181" s="40">
        <f t="shared" si="97"/>
        <v>134453.78151260506</v>
      </c>
      <c r="L181" s="35">
        <f>+(2300*100)/119</f>
        <v>1932.7731092436975</v>
      </c>
      <c r="M181" s="35">
        <f t="shared" si="116"/>
        <v>193277.31092436975</v>
      </c>
      <c r="N181" s="115">
        <f>+(2100*100)/119</f>
        <v>1764.7058823529412</v>
      </c>
      <c r="O181" s="41">
        <f t="shared" si="85"/>
        <v>176470.58823529413</v>
      </c>
      <c r="P181" s="68">
        <f t="shared" si="117"/>
        <v>1680.6722689075632</v>
      </c>
      <c r="Q181" s="68">
        <f t="shared" si="118"/>
        <v>168067.22689075631</v>
      </c>
      <c r="R181" s="68">
        <f t="shared" si="119"/>
        <v>247.38825956100246</v>
      </c>
      <c r="S181" s="69">
        <f t="shared" si="120"/>
        <v>0.14719601443879646</v>
      </c>
      <c r="T181" s="68">
        <f t="shared" si="121"/>
        <v>1764.7058823529412</v>
      </c>
      <c r="U181" s="68">
        <f t="shared" si="122"/>
        <v>176470.58823529413</v>
      </c>
      <c r="V181" s="69">
        <f t="shared" si="123"/>
        <v>0.14018668041790139</v>
      </c>
      <c r="W181" s="25" t="s">
        <v>384</v>
      </c>
      <c r="X181" s="25" t="s">
        <v>385</v>
      </c>
      <c r="Y181" s="27" t="s">
        <v>386</v>
      </c>
      <c r="Z181" s="28"/>
      <c r="AA181" s="28"/>
      <c r="AB181" s="28"/>
      <c r="AC181" s="28"/>
      <c r="AD181" s="28"/>
      <c r="AE181" s="28"/>
      <c r="AF181" s="28"/>
      <c r="AG181" s="28"/>
      <c r="AH181" s="28"/>
      <c r="AI181" s="28"/>
      <c r="AJ181" s="28"/>
      <c r="AK181" s="28"/>
    </row>
    <row r="182" spans="1:37" ht="47.25" customHeight="1" x14ac:dyDescent="0.25">
      <c r="A182" s="13">
        <f t="shared" si="81"/>
        <v>3</v>
      </c>
      <c r="B182" s="675">
        <v>171</v>
      </c>
      <c r="C182" s="38">
        <v>176</v>
      </c>
      <c r="D182" s="304" t="s">
        <v>387</v>
      </c>
      <c r="E182" s="31" t="s">
        <v>208</v>
      </c>
      <c r="F182" s="63">
        <v>200</v>
      </c>
      <c r="G182" s="56" t="s">
        <v>24</v>
      </c>
      <c r="H182" s="57">
        <v>1</v>
      </c>
      <c r="I182" s="57" t="s">
        <v>29</v>
      </c>
      <c r="J182" s="34">
        <f>+(10756*100)/119</f>
        <v>9038.6554621848736</v>
      </c>
      <c r="K182" s="40">
        <f t="shared" si="97"/>
        <v>1807731.0924369746</v>
      </c>
      <c r="L182" s="35">
        <f>+(12017*100)/119</f>
        <v>10098.319327731093</v>
      </c>
      <c r="M182" s="35">
        <f t="shared" si="116"/>
        <v>2019663.8655462186</v>
      </c>
      <c r="N182" s="35">
        <f>+(10900*100)/119</f>
        <v>9159.6638655462193</v>
      </c>
      <c r="O182" s="41">
        <f t="shared" si="85"/>
        <v>1831932.7731092439</v>
      </c>
      <c r="P182" s="68">
        <f t="shared" si="117"/>
        <v>9432.212885154062</v>
      </c>
      <c r="Q182" s="68">
        <f t="shared" si="118"/>
        <v>1886442.5770308124</v>
      </c>
      <c r="R182" s="68">
        <f t="shared" si="119"/>
        <v>473.59202066264169</v>
      </c>
      <c r="S182" s="69">
        <f t="shared" si="120"/>
        <v>5.0210064852125764E-2</v>
      </c>
      <c r="T182" s="68">
        <f t="shared" si="121"/>
        <v>9159.6638655462193</v>
      </c>
      <c r="U182" s="68">
        <f t="shared" si="122"/>
        <v>1831932.7731092439</v>
      </c>
      <c r="V182" s="69">
        <f t="shared" si="123"/>
        <v>5.1704082989774636E-2</v>
      </c>
      <c r="W182" s="47" t="s">
        <v>209</v>
      </c>
      <c r="X182" s="47" t="s">
        <v>210</v>
      </c>
      <c r="Y182" s="48" t="s">
        <v>211</v>
      </c>
      <c r="Z182" s="28"/>
      <c r="AA182" s="28"/>
      <c r="AB182" s="28"/>
      <c r="AC182" s="28"/>
      <c r="AD182" s="28"/>
      <c r="AE182" s="28"/>
      <c r="AF182" s="28"/>
      <c r="AG182" s="28"/>
      <c r="AH182" s="28"/>
      <c r="AI182" s="28"/>
      <c r="AJ182" s="28"/>
      <c r="AK182" s="28"/>
    </row>
    <row r="183" spans="1:37" ht="47.25" customHeight="1" x14ac:dyDescent="0.25">
      <c r="A183" s="13">
        <f t="shared" si="81"/>
        <v>3</v>
      </c>
      <c r="B183" s="675">
        <v>172</v>
      </c>
      <c r="C183" s="38">
        <v>177</v>
      </c>
      <c r="D183" s="49" t="s">
        <v>388</v>
      </c>
      <c r="E183" s="31" t="s">
        <v>389</v>
      </c>
      <c r="F183" s="66">
        <v>2</v>
      </c>
      <c r="G183" s="32" t="s">
        <v>24</v>
      </c>
      <c r="H183" s="33">
        <v>1</v>
      </c>
      <c r="I183" s="33" t="s">
        <v>29</v>
      </c>
      <c r="J183" s="309">
        <f>+(36900*100)/119</f>
        <v>31008.403361344539</v>
      </c>
      <c r="K183" s="40">
        <f t="shared" si="97"/>
        <v>62016.806722689078</v>
      </c>
      <c r="L183" s="310">
        <f>+(29970*100)/119</f>
        <v>25184.873949579833</v>
      </c>
      <c r="M183" s="35">
        <f t="shared" si="116"/>
        <v>50369.747899159665</v>
      </c>
      <c r="N183" s="311">
        <f>+(27900*100)/119</f>
        <v>23445.378151260506</v>
      </c>
      <c r="O183" s="41">
        <f t="shared" si="85"/>
        <v>46890.756302521011</v>
      </c>
      <c r="P183" s="68">
        <f t="shared" si="117"/>
        <v>26546.218487394959</v>
      </c>
      <c r="Q183" s="68">
        <f t="shared" si="118"/>
        <v>53092.436974789918</v>
      </c>
      <c r="R183" s="68">
        <f t="shared" si="119"/>
        <v>3234.1698363022483</v>
      </c>
      <c r="S183" s="69">
        <f t="shared" si="120"/>
        <v>0.12183165891736863</v>
      </c>
      <c r="T183" s="68">
        <f t="shared" si="121"/>
        <v>25184.873949579833</v>
      </c>
      <c r="U183" s="68">
        <f t="shared" si="122"/>
        <v>50369.747899159665</v>
      </c>
      <c r="V183" s="69">
        <f t="shared" si="123"/>
        <v>0.12841715399398315</v>
      </c>
      <c r="W183" s="312" t="s">
        <v>243</v>
      </c>
      <c r="X183" s="312" t="s">
        <v>390</v>
      </c>
      <c r="Y183" s="312" t="s">
        <v>391</v>
      </c>
      <c r="Z183" s="28"/>
      <c r="AA183" s="28"/>
      <c r="AB183" s="28"/>
      <c r="AC183" s="28"/>
      <c r="AD183" s="28"/>
      <c r="AE183" s="28"/>
      <c r="AF183" s="28"/>
      <c r="AG183" s="28"/>
      <c r="AH183" s="28"/>
      <c r="AI183" s="28"/>
      <c r="AJ183" s="28"/>
      <c r="AK183" s="28"/>
    </row>
    <row r="184" spans="1:37" ht="63" customHeight="1" x14ac:dyDescent="0.25">
      <c r="A184" s="90">
        <f t="shared" si="81"/>
        <v>1</v>
      </c>
      <c r="B184" s="675">
        <v>173</v>
      </c>
      <c r="C184" s="38">
        <v>178</v>
      </c>
      <c r="D184" s="49" t="s">
        <v>392</v>
      </c>
      <c r="E184" s="313" t="s">
        <v>393</v>
      </c>
      <c r="F184" s="91">
        <v>1</v>
      </c>
      <c r="G184" s="33" t="s">
        <v>24</v>
      </c>
      <c r="H184" s="33">
        <v>1</v>
      </c>
      <c r="I184" s="33" t="s">
        <v>29</v>
      </c>
      <c r="J184" s="64">
        <v>10000000</v>
      </c>
      <c r="K184" s="64">
        <f t="shared" si="97"/>
        <v>10000000</v>
      </c>
      <c r="L184" s="64"/>
      <c r="M184" s="217"/>
      <c r="N184" s="64"/>
      <c r="O184" s="41"/>
      <c r="P184" s="68">
        <f t="shared" si="117"/>
        <v>10000000</v>
      </c>
      <c r="Q184" s="68">
        <f t="shared" si="118"/>
        <v>10000000</v>
      </c>
      <c r="R184" s="68">
        <f t="shared" si="119"/>
        <v>0</v>
      </c>
      <c r="S184" s="290">
        <f t="shared" si="120"/>
        <v>0</v>
      </c>
      <c r="T184" s="68">
        <f t="shared" si="121"/>
        <v>10000000</v>
      </c>
      <c r="U184" s="68">
        <f t="shared" si="122"/>
        <v>10000000</v>
      </c>
      <c r="V184" s="290">
        <f t="shared" si="123"/>
        <v>0</v>
      </c>
      <c r="W184" s="258"/>
      <c r="X184" s="258"/>
      <c r="Y184" s="28"/>
      <c r="Z184" s="28" t="s">
        <v>205</v>
      </c>
      <c r="AA184" s="28" t="s">
        <v>206</v>
      </c>
      <c r="AB184" s="28"/>
      <c r="AC184" s="28"/>
      <c r="AD184" s="28"/>
      <c r="AE184" s="28"/>
      <c r="AF184" s="28"/>
      <c r="AG184" s="28"/>
      <c r="AH184" s="28"/>
      <c r="AI184" s="28"/>
      <c r="AJ184" s="28"/>
      <c r="AK184" s="28"/>
    </row>
    <row r="185" spans="1:37" ht="83.65" customHeight="1" x14ac:dyDescent="0.25">
      <c r="A185" s="13">
        <f t="shared" si="81"/>
        <v>3</v>
      </c>
      <c r="B185" s="675">
        <v>174</v>
      </c>
      <c r="C185" s="38">
        <v>179</v>
      </c>
      <c r="D185" s="30" t="s">
        <v>198</v>
      </c>
      <c r="E185" s="31" t="s">
        <v>394</v>
      </c>
      <c r="F185" s="66">
        <v>15</v>
      </c>
      <c r="G185" s="32" t="s">
        <v>24</v>
      </c>
      <c r="H185" s="33">
        <v>1</v>
      </c>
      <c r="I185" s="33" t="s">
        <v>29</v>
      </c>
      <c r="J185" s="34">
        <v>4500</v>
      </c>
      <c r="K185" s="34">
        <f t="shared" si="97"/>
        <v>67500</v>
      </c>
      <c r="L185" s="34">
        <v>5000</v>
      </c>
      <c r="M185" s="58">
        <f t="shared" si="116"/>
        <v>75000</v>
      </c>
      <c r="N185" s="34">
        <v>5000</v>
      </c>
      <c r="O185" s="41">
        <f t="shared" si="85"/>
        <v>75000</v>
      </c>
      <c r="P185" s="68">
        <f t="shared" si="117"/>
        <v>4833.333333333333</v>
      </c>
      <c r="Q185" s="68">
        <f t="shared" si="118"/>
        <v>72500</v>
      </c>
      <c r="R185" s="68">
        <f t="shared" si="119"/>
        <v>235.70226039551585</v>
      </c>
      <c r="S185" s="69">
        <f t="shared" si="120"/>
        <v>4.8765984909417075E-2</v>
      </c>
      <c r="T185" s="68">
        <f t="shared" si="121"/>
        <v>5000</v>
      </c>
      <c r="U185" s="68">
        <f t="shared" si="122"/>
        <v>75000</v>
      </c>
      <c r="V185" s="69">
        <f t="shared" si="123"/>
        <v>4.7140452079103168E-2</v>
      </c>
      <c r="W185" s="47" t="s">
        <v>41</v>
      </c>
      <c r="X185" s="25" t="s">
        <v>42</v>
      </c>
      <c r="Y185" s="27" t="s">
        <v>43</v>
      </c>
      <c r="Z185" s="237">
        <f>SUM(Q165:Q185)</f>
        <v>176058416.10084033</v>
      </c>
      <c r="AA185" s="237">
        <f>SUM(U165:U185)</f>
        <v>176199460.41092435</v>
      </c>
      <c r="AB185" s="28"/>
      <c r="AC185" s="28"/>
      <c r="AD185" s="28"/>
      <c r="AE185" s="28"/>
      <c r="AF185" s="28"/>
      <c r="AG185" s="28"/>
      <c r="AH185" s="28"/>
      <c r="AI185" s="28"/>
      <c r="AJ185" s="28"/>
      <c r="AK185" s="28"/>
    </row>
    <row r="186" spans="1:37" ht="15.75" customHeight="1" x14ac:dyDescent="0.25">
      <c r="A186" s="314"/>
      <c r="B186" s="314"/>
      <c r="C186" s="314"/>
      <c r="D186" s="315"/>
      <c r="E186" s="316" t="s">
        <v>395</v>
      </c>
      <c r="F186" s="317"/>
      <c r="G186" s="317"/>
      <c r="H186" s="317"/>
      <c r="I186" s="317"/>
      <c r="J186" s="317"/>
      <c r="K186" s="317"/>
      <c r="L186" s="317"/>
      <c r="M186" s="317"/>
      <c r="N186" s="317"/>
      <c r="O186" s="317"/>
      <c r="P186" s="317"/>
      <c r="Q186" s="317"/>
      <c r="R186" s="317"/>
      <c r="S186" s="317"/>
      <c r="T186" s="317"/>
      <c r="U186" s="317"/>
      <c r="V186" s="317"/>
      <c r="W186" s="317"/>
      <c r="X186" s="317"/>
      <c r="Y186" s="318"/>
      <c r="Z186" s="28"/>
      <c r="AA186" s="28"/>
      <c r="AB186" s="28"/>
      <c r="AC186" s="28"/>
      <c r="AD186" s="28"/>
      <c r="AE186" s="28"/>
      <c r="AF186" s="28"/>
      <c r="AG186" s="28"/>
      <c r="AH186" s="28"/>
      <c r="AI186" s="28"/>
      <c r="AJ186" s="28"/>
      <c r="AK186" s="28"/>
    </row>
    <row r="187" spans="1:37" ht="47.25" customHeight="1" x14ac:dyDescent="0.25">
      <c r="A187" s="13">
        <f t="shared" ref="A187:A228" si="134">+COUNT(J187,L187,N187)</f>
        <v>1</v>
      </c>
      <c r="B187" s="13">
        <v>175</v>
      </c>
      <c r="C187" s="38">
        <v>180</v>
      </c>
      <c r="D187" s="30" t="s">
        <v>396</v>
      </c>
      <c r="E187" s="31" t="s">
        <v>397</v>
      </c>
      <c r="F187" s="32">
        <v>1</v>
      </c>
      <c r="G187" s="32" t="s">
        <v>24</v>
      </c>
      <c r="H187" s="33">
        <v>2</v>
      </c>
      <c r="I187" s="33" t="s">
        <v>60</v>
      </c>
      <c r="J187" s="34">
        <f>+(3100001/30)</f>
        <v>103333.36666666667</v>
      </c>
      <c r="K187" s="34">
        <f t="shared" si="97"/>
        <v>206666.73333333334</v>
      </c>
      <c r="L187" s="34"/>
      <c r="M187" s="34"/>
      <c r="N187" s="40"/>
      <c r="O187" s="41"/>
      <c r="P187" s="22">
        <f t="shared" ref="P187:P188" si="135">+(ROUND(AVERAGE(J187),0))</f>
        <v>103333</v>
      </c>
      <c r="Q187" s="22">
        <f t="shared" ref="Q187:Q188" si="136">+P187*F187*H187</f>
        <v>206666</v>
      </c>
      <c r="R187" s="23">
        <f t="shared" si="119"/>
        <v>0</v>
      </c>
      <c r="S187" s="24">
        <f t="shared" si="120"/>
        <v>0</v>
      </c>
      <c r="T187" s="23">
        <f t="shared" si="121"/>
        <v>103333.36666666667</v>
      </c>
      <c r="U187" s="23">
        <f t="shared" si="122"/>
        <v>206666.73333333334</v>
      </c>
      <c r="V187" s="24">
        <f t="shared" si="123"/>
        <v>0</v>
      </c>
      <c r="W187" s="25" t="s">
        <v>26</v>
      </c>
      <c r="X187" s="25"/>
      <c r="Y187" s="27"/>
      <c r="Z187" s="28"/>
      <c r="AA187" s="28"/>
      <c r="AB187" s="28"/>
      <c r="AC187" s="28"/>
      <c r="AD187" s="28"/>
      <c r="AE187" s="28"/>
      <c r="AF187" s="28"/>
      <c r="AG187" s="28"/>
      <c r="AH187" s="28"/>
      <c r="AI187" s="28"/>
      <c r="AJ187" s="28"/>
      <c r="AK187" s="28"/>
    </row>
    <row r="188" spans="1:37" ht="63" customHeight="1" x14ac:dyDescent="0.25">
      <c r="A188" s="13">
        <f t="shared" si="134"/>
        <v>1</v>
      </c>
      <c r="B188" s="13">
        <v>176</v>
      </c>
      <c r="C188" s="38">
        <v>181</v>
      </c>
      <c r="D188" s="30" t="s">
        <v>398</v>
      </c>
      <c r="E188" s="31" t="s">
        <v>399</v>
      </c>
      <c r="F188" s="32">
        <v>1</v>
      </c>
      <c r="G188" s="32" t="s">
        <v>24</v>
      </c>
      <c r="H188" s="33">
        <v>2</v>
      </c>
      <c r="I188" s="33" t="s">
        <v>60</v>
      </c>
      <c r="J188" s="34">
        <f>+(3100001/30)</f>
        <v>103333.36666666667</v>
      </c>
      <c r="K188" s="34">
        <f t="shared" si="97"/>
        <v>206666.73333333334</v>
      </c>
      <c r="L188" s="34"/>
      <c r="M188" s="34"/>
      <c r="N188" s="44"/>
      <c r="O188" s="41"/>
      <c r="P188" s="22">
        <f t="shared" si="135"/>
        <v>103333</v>
      </c>
      <c r="Q188" s="22">
        <f t="shared" si="136"/>
        <v>206666</v>
      </c>
      <c r="R188" s="23">
        <f t="shared" si="119"/>
        <v>0</v>
      </c>
      <c r="S188" s="24">
        <f t="shared" si="120"/>
        <v>0</v>
      </c>
      <c r="T188" s="23">
        <f t="shared" si="121"/>
        <v>103333.36666666667</v>
      </c>
      <c r="U188" s="23">
        <f t="shared" si="122"/>
        <v>206666.73333333334</v>
      </c>
      <c r="V188" s="24">
        <f t="shared" si="123"/>
        <v>0</v>
      </c>
      <c r="W188" s="88" t="s">
        <v>26</v>
      </c>
      <c r="X188" s="88"/>
      <c r="Y188" s="89"/>
      <c r="Z188" s="28"/>
      <c r="AA188" s="28"/>
      <c r="AB188" s="28"/>
      <c r="AC188" s="28"/>
      <c r="AD188" s="28"/>
      <c r="AE188" s="28"/>
      <c r="AF188" s="28"/>
      <c r="AG188" s="28"/>
      <c r="AH188" s="28"/>
      <c r="AI188" s="28"/>
      <c r="AJ188" s="28"/>
      <c r="AK188" s="28"/>
    </row>
    <row r="189" spans="1:37" ht="63" customHeight="1" x14ac:dyDescent="0.25">
      <c r="A189" s="13">
        <f t="shared" si="134"/>
        <v>3</v>
      </c>
      <c r="B189" s="13">
        <v>177</v>
      </c>
      <c r="C189" s="38">
        <v>182</v>
      </c>
      <c r="D189" s="30" t="s">
        <v>400</v>
      </c>
      <c r="E189" s="31" t="s">
        <v>401</v>
      </c>
      <c r="F189" s="32">
        <v>5</v>
      </c>
      <c r="G189" s="32" t="s">
        <v>24</v>
      </c>
      <c r="H189" s="33">
        <v>2</v>
      </c>
      <c r="I189" s="33" t="s">
        <v>60</v>
      </c>
      <c r="J189" s="34">
        <f>+(428400*100)/119</f>
        <v>360000</v>
      </c>
      <c r="K189" s="34">
        <f t="shared" si="97"/>
        <v>3600000</v>
      </c>
      <c r="L189" s="267">
        <v>406000</v>
      </c>
      <c r="M189" s="148">
        <f t="shared" ref="M189:M202" si="137">+L189*H189*F189</f>
        <v>4060000</v>
      </c>
      <c r="N189" s="83">
        <v>413000</v>
      </c>
      <c r="O189" s="41">
        <f t="shared" ref="O189:O227" si="138">+N189*H189*F189</f>
        <v>4130000</v>
      </c>
      <c r="P189" s="68">
        <f t="shared" ref="P189:P202" si="139">+AVERAGE(J189,L189,N189)</f>
        <v>393000</v>
      </c>
      <c r="Q189" s="68">
        <f t="shared" ref="Q189:Q202" si="140">+P189*H189*F189</f>
        <v>3930000</v>
      </c>
      <c r="R189" s="68">
        <f t="shared" si="119"/>
        <v>23508.863576673939</v>
      </c>
      <c r="S189" s="69">
        <f t="shared" si="120"/>
        <v>5.9818991289246663E-2</v>
      </c>
      <c r="T189" s="68">
        <f t="shared" si="121"/>
        <v>406000</v>
      </c>
      <c r="U189" s="68">
        <f t="shared" si="122"/>
        <v>4060000</v>
      </c>
      <c r="V189" s="69">
        <f t="shared" si="123"/>
        <v>5.790360486865502E-2</v>
      </c>
      <c r="W189" s="86" t="s">
        <v>143</v>
      </c>
      <c r="X189" s="86" t="s">
        <v>43</v>
      </c>
      <c r="Y189" s="53" t="s">
        <v>248</v>
      </c>
      <c r="Z189" s="28"/>
      <c r="AA189" s="28"/>
      <c r="AB189" s="28"/>
      <c r="AC189" s="28"/>
      <c r="AD189" s="28"/>
      <c r="AE189" s="28"/>
      <c r="AF189" s="28"/>
      <c r="AG189" s="28"/>
      <c r="AH189" s="28"/>
      <c r="AI189" s="28"/>
      <c r="AJ189" s="28"/>
      <c r="AK189" s="28"/>
    </row>
    <row r="190" spans="1:37" ht="31.5" customHeight="1" x14ac:dyDescent="0.25">
      <c r="A190" s="13">
        <f t="shared" si="134"/>
        <v>3</v>
      </c>
      <c r="B190" s="13">
        <v>178</v>
      </c>
      <c r="C190" s="38">
        <v>183</v>
      </c>
      <c r="D190" s="30" t="s">
        <v>402</v>
      </c>
      <c r="E190" s="31" t="s">
        <v>403</v>
      </c>
      <c r="F190" s="32">
        <v>20</v>
      </c>
      <c r="G190" s="32" t="s">
        <v>24</v>
      </c>
      <c r="H190" s="33">
        <v>2</v>
      </c>
      <c r="I190" s="33" t="s">
        <v>60</v>
      </c>
      <c r="J190" s="34">
        <f>+(22900*100)/119</f>
        <v>19243.697478991595</v>
      </c>
      <c r="K190" s="40">
        <f t="shared" si="97"/>
        <v>769747.89915966382</v>
      </c>
      <c r="L190" s="35">
        <f>+(21420*100)/119</f>
        <v>18000</v>
      </c>
      <c r="M190" s="35">
        <f t="shared" si="137"/>
        <v>720000</v>
      </c>
      <c r="N190" s="107">
        <f>+(14280*100)/119</f>
        <v>12000</v>
      </c>
      <c r="O190" s="41">
        <f t="shared" si="138"/>
        <v>480000</v>
      </c>
      <c r="P190" s="68">
        <f t="shared" si="139"/>
        <v>16414.565826330534</v>
      </c>
      <c r="Q190" s="68">
        <f t="shared" si="140"/>
        <v>656582.63305322139</v>
      </c>
      <c r="R190" s="68">
        <f t="shared" si="119"/>
        <v>3162.5927581723654</v>
      </c>
      <c r="S190" s="69">
        <f t="shared" si="120"/>
        <v>0.19266990011391372</v>
      </c>
      <c r="T190" s="68">
        <f t="shared" si="121"/>
        <v>18000</v>
      </c>
      <c r="U190" s="68">
        <f t="shared" si="122"/>
        <v>720000</v>
      </c>
      <c r="V190" s="69">
        <f t="shared" si="123"/>
        <v>0.17569959767624252</v>
      </c>
      <c r="W190" s="47" t="s">
        <v>290</v>
      </c>
      <c r="X190" s="47" t="s">
        <v>252</v>
      </c>
      <c r="Y190" s="48" t="s">
        <v>251</v>
      </c>
      <c r="Z190" s="28"/>
      <c r="AA190" s="28"/>
      <c r="AB190" s="28"/>
      <c r="AC190" s="28"/>
      <c r="AD190" s="28"/>
      <c r="AE190" s="28"/>
      <c r="AF190" s="28"/>
      <c r="AG190" s="28"/>
      <c r="AH190" s="28"/>
      <c r="AI190" s="28"/>
      <c r="AJ190" s="28"/>
      <c r="AK190" s="28"/>
    </row>
    <row r="191" spans="1:37" ht="31.5" customHeight="1" x14ac:dyDescent="0.25">
      <c r="A191" s="13">
        <f t="shared" si="134"/>
        <v>3</v>
      </c>
      <c r="B191" s="13">
        <v>179</v>
      </c>
      <c r="C191" s="38">
        <v>184</v>
      </c>
      <c r="D191" s="30" t="s">
        <v>404</v>
      </c>
      <c r="E191" s="31" t="s">
        <v>405</v>
      </c>
      <c r="F191" s="32">
        <v>20</v>
      </c>
      <c r="G191" s="32" t="s">
        <v>24</v>
      </c>
      <c r="H191" s="33">
        <v>2</v>
      </c>
      <c r="I191" s="33" t="s">
        <v>60</v>
      </c>
      <c r="J191" s="34">
        <f>+(2975*100)/119</f>
        <v>2500</v>
      </c>
      <c r="K191" s="40">
        <f t="shared" si="97"/>
        <v>100000</v>
      </c>
      <c r="L191" s="35">
        <f>+(1700*100)/119</f>
        <v>1428.5714285714287</v>
      </c>
      <c r="M191" s="35">
        <f t="shared" si="137"/>
        <v>57142.857142857145</v>
      </c>
      <c r="N191" s="35">
        <f>+(2142*100)/119</f>
        <v>1800</v>
      </c>
      <c r="O191" s="41">
        <f t="shared" si="138"/>
        <v>72000</v>
      </c>
      <c r="P191" s="68">
        <f t="shared" si="139"/>
        <v>1909.5238095238094</v>
      </c>
      <c r="Q191" s="68">
        <f t="shared" si="140"/>
        <v>76380.952380952382</v>
      </c>
      <c r="R191" s="68">
        <f t="shared" si="119"/>
        <v>444.21195733405148</v>
      </c>
      <c r="S191" s="69">
        <f t="shared" si="120"/>
        <v>0.23262970334202199</v>
      </c>
      <c r="T191" s="68">
        <f t="shared" si="121"/>
        <v>1800</v>
      </c>
      <c r="U191" s="68">
        <f t="shared" si="122"/>
        <v>72000</v>
      </c>
      <c r="V191" s="69">
        <f t="shared" si="123"/>
        <v>0.24678442074113971</v>
      </c>
      <c r="W191" s="25" t="s">
        <v>251</v>
      </c>
      <c r="X191" s="25" t="s">
        <v>252</v>
      </c>
      <c r="Y191" s="27" t="s">
        <v>253</v>
      </c>
      <c r="Z191" s="28"/>
      <c r="AA191" s="28"/>
      <c r="AB191" s="28"/>
      <c r="AC191" s="28"/>
      <c r="AD191" s="28"/>
      <c r="AE191" s="28"/>
      <c r="AF191" s="28"/>
      <c r="AG191" s="28"/>
      <c r="AH191" s="28"/>
      <c r="AI191" s="28"/>
      <c r="AJ191" s="28"/>
      <c r="AK191" s="28"/>
    </row>
    <row r="192" spans="1:37" ht="31.5" customHeight="1" x14ac:dyDescent="0.25">
      <c r="A192" s="13">
        <f t="shared" si="134"/>
        <v>3</v>
      </c>
      <c r="B192" s="13">
        <v>180</v>
      </c>
      <c r="C192" s="38">
        <v>185</v>
      </c>
      <c r="D192" s="74" t="s">
        <v>406</v>
      </c>
      <c r="E192" s="75" t="s">
        <v>407</v>
      </c>
      <c r="F192" s="76">
        <v>40</v>
      </c>
      <c r="G192" s="76" t="s">
        <v>24</v>
      </c>
      <c r="H192" s="77">
        <v>2</v>
      </c>
      <c r="I192" s="77" t="s">
        <v>60</v>
      </c>
      <c r="J192" s="43">
        <f>+(2975*100)/119</f>
        <v>2500</v>
      </c>
      <c r="K192" s="40">
        <f t="shared" si="97"/>
        <v>200000</v>
      </c>
      <c r="L192" s="35">
        <f>+(1700*100)/119</f>
        <v>1428.5714285714287</v>
      </c>
      <c r="M192" s="35">
        <f t="shared" si="137"/>
        <v>114285.71428571429</v>
      </c>
      <c r="N192" s="35">
        <f>+(2142*100)/119</f>
        <v>1800</v>
      </c>
      <c r="O192" s="41">
        <f t="shared" si="138"/>
        <v>144000</v>
      </c>
      <c r="P192" s="68">
        <f t="shared" si="139"/>
        <v>1909.5238095238094</v>
      </c>
      <c r="Q192" s="68">
        <f t="shared" si="140"/>
        <v>152761.90476190476</v>
      </c>
      <c r="R192" s="68">
        <f t="shared" si="119"/>
        <v>444.21195733405148</v>
      </c>
      <c r="S192" s="69">
        <f t="shared" si="120"/>
        <v>0.23262970334202199</v>
      </c>
      <c r="T192" s="68">
        <f t="shared" si="121"/>
        <v>1800</v>
      </c>
      <c r="U192" s="68">
        <f t="shared" si="122"/>
        <v>144000</v>
      </c>
      <c r="V192" s="69">
        <f t="shared" si="123"/>
        <v>0.24678442074113971</v>
      </c>
      <c r="W192" s="88" t="s">
        <v>251</v>
      </c>
      <c r="X192" s="88" t="s">
        <v>252</v>
      </c>
      <c r="Y192" s="89" t="s">
        <v>253</v>
      </c>
      <c r="Z192" s="28"/>
      <c r="AA192" s="28"/>
      <c r="AB192" s="28"/>
      <c r="AC192" s="28"/>
      <c r="AD192" s="28"/>
      <c r="AE192" s="28"/>
      <c r="AF192" s="28"/>
      <c r="AG192" s="28"/>
      <c r="AH192" s="28"/>
      <c r="AI192" s="28"/>
      <c r="AJ192" s="28"/>
      <c r="AK192" s="28"/>
    </row>
    <row r="193" spans="1:37" ht="31.5" x14ac:dyDescent="0.25">
      <c r="A193" s="13">
        <f t="shared" si="134"/>
        <v>3</v>
      </c>
      <c r="B193" s="13">
        <v>181</v>
      </c>
      <c r="C193" s="38">
        <v>186</v>
      </c>
      <c r="D193" s="49" t="s">
        <v>408</v>
      </c>
      <c r="E193" s="50" t="s">
        <v>409</v>
      </c>
      <c r="F193" s="32">
        <v>1</v>
      </c>
      <c r="G193" s="32" t="s">
        <v>24</v>
      </c>
      <c r="H193" s="33">
        <v>2</v>
      </c>
      <c r="I193" s="33" t="s">
        <v>60</v>
      </c>
      <c r="J193" s="34">
        <v>800000</v>
      </c>
      <c r="K193" s="40">
        <f t="shared" si="97"/>
        <v>1600000</v>
      </c>
      <c r="L193" s="35">
        <v>896000</v>
      </c>
      <c r="M193" s="35">
        <f t="shared" si="137"/>
        <v>1792000</v>
      </c>
      <c r="N193" s="35">
        <v>944000</v>
      </c>
      <c r="O193" s="41">
        <f t="shared" si="138"/>
        <v>1888000</v>
      </c>
      <c r="P193" s="68">
        <f t="shared" si="139"/>
        <v>880000</v>
      </c>
      <c r="Q193" s="68">
        <f t="shared" si="140"/>
        <v>1760000</v>
      </c>
      <c r="R193" s="68">
        <f t="shared" si="119"/>
        <v>59866.518188383059</v>
      </c>
      <c r="S193" s="69">
        <f t="shared" si="120"/>
        <v>6.8030134304980755E-2</v>
      </c>
      <c r="T193" s="68">
        <f t="shared" si="121"/>
        <v>896000</v>
      </c>
      <c r="U193" s="68">
        <f t="shared" si="122"/>
        <v>1792000</v>
      </c>
      <c r="V193" s="69">
        <f t="shared" si="123"/>
        <v>6.6815310478106099E-2</v>
      </c>
      <c r="W193" s="25" t="s">
        <v>41</v>
      </c>
      <c r="X193" s="166" t="s">
        <v>42</v>
      </c>
      <c r="Y193" s="81" t="s">
        <v>43</v>
      </c>
      <c r="Z193" s="28"/>
      <c r="AA193" s="28"/>
      <c r="AB193" s="28"/>
      <c r="AC193" s="28"/>
      <c r="AD193" s="28"/>
      <c r="AE193" s="28"/>
      <c r="AF193" s="28"/>
      <c r="AG193" s="28"/>
      <c r="AH193" s="28"/>
      <c r="AI193" s="28"/>
      <c r="AJ193" s="28"/>
      <c r="AK193" s="28"/>
    </row>
    <row r="194" spans="1:37" ht="16.5" customHeight="1" x14ac:dyDescent="0.25">
      <c r="A194" s="13">
        <f t="shared" si="134"/>
        <v>3</v>
      </c>
      <c r="B194" s="13">
        <v>182</v>
      </c>
      <c r="C194" s="38">
        <v>187</v>
      </c>
      <c r="D194" s="304" t="s">
        <v>410</v>
      </c>
      <c r="E194" s="55" t="s">
        <v>411</v>
      </c>
      <c r="F194" s="56">
        <v>2</v>
      </c>
      <c r="G194" s="56" t="s">
        <v>24</v>
      </c>
      <c r="H194" s="57">
        <v>2</v>
      </c>
      <c r="I194" s="57" t="s">
        <v>60</v>
      </c>
      <c r="J194" s="58">
        <v>121700</v>
      </c>
      <c r="K194" s="40">
        <f t="shared" si="97"/>
        <v>486800</v>
      </c>
      <c r="L194" s="35">
        <f>+(110600*100)/119</f>
        <v>92941.176470588238</v>
      </c>
      <c r="M194" s="35">
        <f t="shared" si="137"/>
        <v>371764.70588235295</v>
      </c>
      <c r="N194" s="115">
        <f>+(174267*100)/119</f>
        <v>146442.85714285713</v>
      </c>
      <c r="O194" s="41">
        <f t="shared" si="138"/>
        <v>585771.42857142852</v>
      </c>
      <c r="P194" s="68">
        <f t="shared" si="139"/>
        <v>120361.34453781512</v>
      </c>
      <c r="Q194" s="68">
        <f t="shared" si="140"/>
        <v>481445.37815126049</v>
      </c>
      <c r="R194" s="68">
        <f t="shared" si="119"/>
        <v>21862.471002827122</v>
      </c>
      <c r="S194" s="69">
        <f t="shared" si="120"/>
        <v>0.18164030226463923</v>
      </c>
      <c r="T194" s="68">
        <f t="shared" si="121"/>
        <v>121700</v>
      </c>
      <c r="U194" s="68">
        <f t="shared" si="122"/>
        <v>486800</v>
      </c>
      <c r="V194" s="69">
        <f t="shared" si="123"/>
        <v>0.17964232541353428</v>
      </c>
      <c r="W194" s="319" t="s">
        <v>412</v>
      </c>
      <c r="X194" s="25" t="s">
        <v>413</v>
      </c>
      <c r="Y194" s="27" t="s">
        <v>414</v>
      </c>
      <c r="Z194" s="28"/>
      <c r="AA194" s="28"/>
      <c r="AB194" s="28"/>
      <c r="AC194" s="28"/>
      <c r="AD194" s="28"/>
      <c r="AE194" s="28"/>
      <c r="AF194" s="28"/>
      <c r="AG194" s="28"/>
      <c r="AH194" s="28"/>
      <c r="AI194" s="28"/>
      <c r="AJ194" s="28"/>
      <c r="AK194" s="28"/>
    </row>
    <row r="195" spans="1:37" ht="47.25" customHeight="1" x14ac:dyDescent="0.25">
      <c r="A195" s="13">
        <f t="shared" si="134"/>
        <v>3</v>
      </c>
      <c r="B195" s="13">
        <v>183</v>
      </c>
      <c r="C195" s="38">
        <v>188</v>
      </c>
      <c r="D195" s="49" t="s">
        <v>415</v>
      </c>
      <c r="E195" s="31" t="s">
        <v>416</v>
      </c>
      <c r="F195" s="32">
        <v>10</v>
      </c>
      <c r="G195" s="32" t="s">
        <v>24</v>
      </c>
      <c r="H195" s="33">
        <v>2</v>
      </c>
      <c r="I195" s="33" t="s">
        <v>60</v>
      </c>
      <c r="J195" s="34">
        <f>+(8100*100)/119</f>
        <v>6806.7226890756301</v>
      </c>
      <c r="K195" s="40">
        <f t="shared" si="97"/>
        <v>136134.4537815126</v>
      </c>
      <c r="L195" s="35">
        <v>9900</v>
      </c>
      <c r="M195" s="35">
        <f t="shared" si="137"/>
        <v>198000</v>
      </c>
      <c r="N195" s="320">
        <f>+(10700*100)/119</f>
        <v>8991.5966386554628</v>
      </c>
      <c r="O195" s="41">
        <f t="shared" si="138"/>
        <v>179831.93277310926</v>
      </c>
      <c r="P195" s="68">
        <f t="shared" si="139"/>
        <v>8566.106442577031</v>
      </c>
      <c r="Q195" s="68">
        <f t="shared" si="140"/>
        <v>171322.12885154062</v>
      </c>
      <c r="R195" s="68">
        <f t="shared" si="119"/>
        <v>1298.1711650854645</v>
      </c>
      <c r="S195" s="69">
        <f t="shared" si="120"/>
        <v>0.15154740065253289</v>
      </c>
      <c r="T195" s="68">
        <f t="shared" si="121"/>
        <v>8991.5966386554628</v>
      </c>
      <c r="U195" s="68">
        <f t="shared" si="122"/>
        <v>179831.93277310926</v>
      </c>
      <c r="V195" s="69">
        <f t="shared" si="123"/>
        <v>0.14437604546277594</v>
      </c>
      <c r="W195" s="25" t="s">
        <v>417</v>
      </c>
      <c r="X195" s="319" t="s">
        <v>412</v>
      </c>
      <c r="Y195" s="321" t="s">
        <v>418</v>
      </c>
      <c r="Z195" s="28"/>
      <c r="AA195" s="28"/>
      <c r="AB195" s="28"/>
      <c r="AC195" s="28"/>
      <c r="AD195" s="28"/>
      <c r="AE195" s="28"/>
      <c r="AF195" s="28"/>
      <c r="AG195" s="28"/>
      <c r="AH195" s="28"/>
      <c r="AI195" s="28"/>
      <c r="AJ195" s="28"/>
      <c r="AK195" s="28"/>
    </row>
    <row r="196" spans="1:37" ht="31.5" customHeight="1" x14ac:dyDescent="0.25">
      <c r="A196" s="13">
        <f t="shared" si="134"/>
        <v>3</v>
      </c>
      <c r="B196" s="13">
        <v>184</v>
      </c>
      <c r="C196" s="38">
        <v>189</v>
      </c>
      <c r="D196" s="49" t="s">
        <v>419</v>
      </c>
      <c r="E196" s="322" t="s">
        <v>420</v>
      </c>
      <c r="F196" s="32">
        <v>20</v>
      </c>
      <c r="G196" s="32" t="s">
        <v>24</v>
      </c>
      <c r="H196" s="33">
        <v>2</v>
      </c>
      <c r="I196" s="33" t="s">
        <v>60</v>
      </c>
      <c r="J196" s="34">
        <f>+(128900*100)/119</f>
        <v>108319.32773109243</v>
      </c>
      <c r="K196" s="40">
        <f t="shared" si="97"/>
        <v>4332773.1092436975</v>
      </c>
      <c r="L196" s="35">
        <f>+(122600*100)/119</f>
        <v>103025.21008403362</v>
      </c>
      <c r="M196" s="35">
        <f t="shared" si="137"/>
        <v>4121008.4033613447</v>
      </c>
      <c r="N196" s="115">
        <f>+(154900*100)/119</f>
        <v>130168.06722689075</v>
      </c>
      <c r="O196" s="41">
        <f t="shared" si="138"/>
        <v>5206722.6890756302</v>
      </c>
      <c r="P196" s="68">
        <f t="shared" si="139"/>
        <v>113837.53501400561</v>
      </c>
      <c r="Q196" s="68">
        <f t="shared" si="140"/>
        <v>4553501.4005602244</v>
      </c>
      <c r="R196" s="68">
        <f t="shared" si="119"/>
        <v>11747.953926316533</v>
      </c>
      <c r="S196" s="69">
        <f t="shared" si="120"/>
        <v>0.10319929999249514</v>
      </c>
      <c r="T196" s="68">
        <f t="shared" si="121"/>
        <v>108319.32773109243</v>
      </c>
      <c r="U196" s="68">
        <f t="shared" si="122"/>
        <v>4332773.1092436975</v>
      </c>
      <c r="V196" s="69">
        <f t="shared" si="123"/>
        <v>0.10845667317545908</v>
      </c>
      <c r="W196" s="25" t="s">
        <v>421</v>
      </c>
      <c r="X196" s="25" t="s">
        <v>422</v>
      </c>
      <c r="Y196" s="27" t="s">
        <v>423</v>
      </c>
      <c r="Z196" s="28"/>
      <c r="AA196" s="28"/>
      <c r="AB196" s="28"/>
      <c r="AC196" s="28"/>
      <c r="AD196" s="28"/>
      <c r="AE196" s="28"/>
      <c r="AF196" s="28"/>
      <c r="AG196" s="28"/>
      <c r="AH196" s="28"/>
      <c r="AI196" s="28"/>
      <c r="AJ196" s="28"/>
      <c r="AK196" s="28"/>
    </row>
    <row r="197" spans="1:37" ht="31.5" customHeight="1" x14ac:dyDescent="0.25">
      <c r="A197" s="13">
        <f t="shared" si="134"/>
        <v>3</v>
      </c>
      <c r="B197" s="13">
        <v>185</v>
      </c>
      <c r="C197" s="38">
        <v>190</v>
      </c>
      <c r="D197" s="304" t="s">
        <v>424</v>
      </c>
      <c r="E197" s="171" t="s">
        <v>425</v>
      </c>
      <c r="F197" s="56">
        <v>10</v>
      </c>
      <c r="G197" s="56" t="s">
        <v>24</v>
      </c>
      <c r="H197" s="57">
        <v>2</v>
      </c>
      <c r="I197" s="57" t="s">
        <v>60</v>
      </c>
      <c r="J197" s="58">
        <v>35000</v>
      </c>
      <c r="K197" s="40">
        <f t="shared" si="97"/>
        <v>700000</v>
      </c>
      <c r="L197" s="35">
        <v>39000</v>
      </c>
      <c r="M197" s="35">
        <f t="shared" si="137"/>
        <v>780000</v>
      </c>
      <c r="N197" s="115">
        <v>41000</v>
      </c>
      <c r="O197" s="41">
        <f t="shared" si="138"/>
        <v>820000</v>
      </c>
      <c r="P197" s="68">
        <f t="shared" si="139"/>
        <v>38333.333333333336</v>
      </c>
      <c r="Q197" s="68">
        <f t="shared" si="140"/>
        <v>766666.66666666674</v>
      </c>
      <c r="R197" s="68">
        <f t="shared" si="119"/>
        <v>2494.4382578492941</v>
      </c>
      <c r="S197" s="69">
        <f t="shared" si="120"/>
        <v>6.5072302378677241E-2</v>
      </c>
      <c r="T197" s="68">
        <f t="shared" si="121"/>
        <v>39000</v>
      </c>
      <c r="U197" s="68">
        <f t="shared" si="122"/>
        <v>780000</v>
      </c>
      <c r="V197" s="69">
        <f t="shared" si="123"/>
        <v>6.3959955329469076E-2</v>
      </c>
      <c r="W197" s="166" t="s">
        <v>41</v>
      </c>
      <c r="X197" s="323" t="s">
        <v>42</v>
      </c>
      <c r="Y197" s="81" t="s">
        <v>43</v>
      </c>
      <c r="Z197" s="28"/>
      <c r="AA197" s="28"/>
      <c r="AB197" s="28"/>
      <c r="AC197" s="28"/>
      <c r="AD197" s="28"/>
      <c r="AE197" s="28"/>
      <c r="AF197" s="28"/>
      <c r="AG197" s="28"/>
      <c r="AH197" s="28"/>
      <c r="AI197" s="28"/>
      <c r="AJ197" s="28"/>
      <c r="AK197" s="28"/>
    </row>
    <row r="198" spans="1:37" ht="31.5" customHeight="1" x14ac:dyDescent="0.25">
      <c r="A198" s="13">
        <f t="shared" si="134"/>
        <v>3</v>
      </c>
      <c r="B198" s="13">
        <v>186</v>
      </c>
      <c r="C198" s="38">
        <v>191</v>
      </c>
      <c r="D198" s="30" t="s">
        <v>426</v>
      </c>
      <c r="E198" s="31" t="s">
        <v>427</v>
      </c>
      <c r="F198" s="32">
        <v>2</v>
      </c>
      <c r="G198" s="32" t="s">
        <v>24</v>
      </c>
      <c r="H198" s="33">
        <v>2</v>
      </c>
      <c r="I198" s="33" t="s">
        <v>60</v>
      </c>
      <c r="J198" s="34">
        <f>+(567700*100)/119</f>
        <v>477058.82352941175</v>
      </c>
      <c r="K198" s="40">
        <f t="shared" si="97"/>
        <v>1908235.294117647</v>
      </c>
      <c r="L198" s="35">
        <f>+(736560*100)/119</f>
        <v>618957.98319327726</v>
      </c>
      <c r="M198" s="35">
        <f t="shared" si="137"/>
        <v>2475831.9327731091</v>
      </c>
      <c r="N198" s="35">
        <f>+(599999*100)/119</f>
        <v>504200.84033613448</v>
      </c>
      <c r="O198" s="41">
        <f t="shared" si="138"/>
        <v>2016803.3613445379</v>
      </c>
      <c r="P198" s="68">
        <f t="shared" si="139"/>
        <v>533405.88235294109</v>
      </c>
      <c r="Q198" s="68">
        <f t="shared" si="140"/>
        <v>2133623.5294117643</v>
      </c>
      <c r="R198" s="68">
        <f t="shared" si="119"/>
        <v>61500.914560844642</v>
      </c>
      <c r="S198" s="69">
        <f t="shared" si="120"/>
        <v>0.11529853081026027</v>
      </c>
      <c r="T198" s="68">
        <f t="shared" si="121"/>
        <v>504200.84033613448</v>
      </c>
      <c r="U198" s="68">
        <f t="shared" si="122"/>
        <v>2016803.3613445379</v>
      </c>
      <c r="V198" s="69">
        <f t="shared" si="123"/>
        <v>0.12197701717403715</v>
      </c>
      <c r="W198" s="47" t="s">
        <v>428</v>
      </c>
      <c r="X198" s="47" t="s">
        <v>429</v>
      </c>
      <c r="Y198" s="48" t="s">
        <v>430</v>
      </c>
      <c r="Z198" s="28"/>
      <c r="AA198" s="28"/>
      <c r="AB198" s="28"/>
      <c r="AC198" s="28"/>
      <c r="AD198" s="28"/>
      <c r="AE198" s="28"/>
      <c r="AF198" s="28"/>
      <c r="AG198" s="28"/>
      <c r="AH198" s="28"/>
      <c r="AI198" s="28"/>
      <c r="AJ198" s="28"/>
      <c r="AK198" s="28"/>
    </row>
    <row r="199" spans="1:37" ht="31.5" customHeight="1" x14ac:dyDescent="0.25">
      <c r="A199" s="13">
        <f t="shared" si="134"/>
        <v>3</v>
      </c>
      <c r="B199" s="13">
        <v>187</v>
      </c>
      <c r="C199" s="38">
        <v>192</v>
      </c>
      <c r="D199" s="30" t="s">
        <v>431</v>
      </c>
      <c r="E199" s="31" t="s">
        <v>432</v>
      </c>
      <c r="F199" s="32">
        <v>1</v>
      </c>
      <c r="G199" s="32" t="s">
        <v>24</v>
      </c>
      <c r="H199" s="33">
        <v>2</v>
      </c>
      <c r="I199" s="33" t="s">
        <v>60</v>
      </c>
      <c r="J199" s="34">
        <f>+(21420*100)/119</f>
        <v>18000</v>
      </c>
      <c r="K199" s="40">
        <f t="shared" si="97"/>
        <v>36000</v>
      </c>
      <c r="L199" s="35">
        <f>+(12000*100)/119</f>
        <v>10084.033613445377</v>
      </c>
      <c r="M199" s="35">
        <f t="shared" si="137"/>
        <v>20168.067226890755</v>
      </c>
      <c r="N199" s="35">
        <f>+(22900*100)/119</f>
        <v>19243.697478991595</v>
      </c>
      <c r="O199" s="41">
        <f t="shared" si="138"/>
        <v>38487.39495798319</v>
      </c>
      <c r="P199" s="68">
        <f t="shared" si="139"/>
        <v>15775.910364145655</v>
      </c>
      <c r="Q199" s="68">
        <f t="shared" si="140"/>
        <v>31551.82072829131</v>
      </c>
      <c r="R199" s="68">
        <f t="shared" si="119"/>
        <v>4056.6646039724528</v>
      </c>
      <c r="S199" s="69">
        <f t="shared" si="120"/>
        <v>0.25714298004583913</v>
      </c>
      <c r="T199" s="68">
        <f t="shared" si="121"/>
        <v>18000</v>
      </c>
      <c r="U199" s="68">
        <f t="shared" si="122"/>
        <v>36000</v>
      </c>
      <c r="V199" s="69">
        <f t="shared" si="123"/>
        <v>0.22537025577624739</v>
      </c>
      <c r="W199" s="25" t="s">
        <v>252</v>
      </c>
      <c r="X199" s="25" t="s">
        <v>251</v>
      </c>
      <c r="Y199" s="27" t="s">
        <v>253</v>
      </c>
      <c r="Z199" s="28"/>
      <c r="AA199" s="28"/>
      <c r="AB199" s="28"/>
      <c r="AC199" s="28"/>
      <c r="AD199" s="28"/>
      <c r="AE199" s="28"/>
      <c r="AF199" s="28"/>
      <c r="AG199" s="28"/>
      <c r="AH199" s="28"/>
      <c r="AI199" s="28"/>
      <c r="AJ199" s="28"/>
      <c r="AK199" s="28"/>
    </row>
    <row r="200" spans="1:37" ht="31.5" customHeight="1" x14ac:dyDescent="0.25">
      <c r="A200" s="13">
        <f t="shared" si="134"/>
        <v>3</v>
      </c>
      <c r="B200" s="13">
        <v>188</v>
      </c>
      <c r="C200" s="38">
        <v>193</v>
      </c>
      <c r="D200" s="30" t="s">
        <v>433</v>
      </c>
      <c r="E200" s="31" t="s">
        <v>434</v>
      </c>
      <c r="F200" s="32">
        <v>1</v>
      </c>
      <c r="G200" s="32" t="s">
        <v>24</v>
      </c>
      <c r="H200" s="33">
        <v>2</v>
      </c>
      <c r="I200" s="33" t="s">
        <v>60</v>
      </c>
      <c r="J200" s="34">
        <f>+(9500*100)/119</f>
        <v>7983.1932773109247</v>
      </c>
      <c r="K200" s="40">
        <f t="shared" si="97"/>
        <v>15966.386554621849</v>
      </c>
      <c r="L200" s="35">
        <f>+(9490*100)/119</f>
        <v>7974.7899159663866</v>
      </c>
      <c r="M200" s="35">
        <f t="shared" si="137"/>
        <v>15949.579831932773</v>
      </c>
      <c r="N200" s="35">
        <f>+(9990*100)/119</f>
        <v>8394.957983193277</v>
      </c>
      <c r="O200" s="41">
        <f t="shared" si="138"/>
        <v>16789.915966386554</v>
      </c>
      <c r="P200" s="68">
        <f t="shared" si="139"/>
        <v>8117.6470588235288</v>
      </c>
      <c r="Q200" s="68">
        <f t="shared" si="140"/>
        <v>16235.294117647058</v>
      </c>
      <c r="R200" s="68">
        <f t="shared" si="119"/>
        <v>196.11844329651845</v>
      </c>
      <c r="S200" s="69">
        <f t="shared" si="120"/>
        <v>2.4159518377107347E-2</v>
      </c>
      <c r="T200" s="68">
        <f t="shared" si="121"/>
        <v>7983.1932773109247</v>
      </c>
      <c r="U200" s="68">
        <f t="shared" si="122"/>
        <v>15966.386554621849</v>
      </c>
      <c r="V200" s="69">
        <f t="shared" si="123"/>
        <v>2.4566415528721783E-2</v>
      </c>
      <c r="W200" s="86" t="s">
        <v>435</v>
      </c>
      <c r="X200" s="86" t="s">
        <v>436</v>
      </c>
      <c r="Y200" s="53" t="s">
        <v>437</v>
      </c>
      <c r="Z200" s="28"/>
      <c r="AA200" s="28"/>
      <c r="AB200" s="28"/>
      <c r="AC200" s="28"/>
      <c r="AD200" s="28"/>
      <c r="AE200" s="28"/>
      <c r="AF200" s="28"/>
      <c r="AG200" s="28"/>
      <c r="AH200" s="28"/>
      <c r="AI200" s="28"/>
      <c r="AJ200" s="28"/>
      <c r="AK200" s="28"/>
    </row>
    <row r="201" spans="1:37" ht="15.75" customHeight="1" x14ac:dyDescent="0.25">
      <c r="A201" s="13">
        <f t="shared" si="134"/>
        <v>3</v>
      </c>
      <c r="B201" s="13">
        <v>189</v>
      </c>
      <c r="C201" s="38">
        <v>194</v>
      </c>
      <c r="D201" s="30" t="s">
        <v>200</v>
      </c>
      <c r="E201" s="31" t="s">
        <v>438</v>
      </c>
      <c r="F201" s="32">
        <v>5</v>
      </c>
      <c r="G201" s="32" t="s">
        <v>24</v>
      </c>
      <c r="H201" s="33">
        <v>2</v>
      </c>
      <c r="I201" s="33" t="s">
        <v>60</v>
      </c>
      <c r="J201" s="34">
        <f>+(19500*100)/119</f>
        <v>16386.55462184874</v>
      </c>
      <c r="K201" s="40">
        <f t="shared" ref="K201:K236" si="141">+J201*F201*H201</f>
        <v>163865.5462184874</v>
      </c>
      <c r="L201" s="35">
        <f>+(17407*100)/119</f>
        <v>14627.731092436974</v>
      </c>
      <c r="M201" s="35">
        <f t="shared" si="137"/>
        <v>146277.31092436973</v>
      </c>
      <c r="N201" s="115">
        <f>+(16650*100)/119</f>
        <v>13991.596638655463</v>
      </c>
      <c r="O201" s="41">
        <f t="shared" si="138"/>
        <v>139915.96638655462</v>
      </c>
      <c r="P201" s="68">
        <f t="shared" si="139"/>
        <v>15001.960784313726</v>
      </c>
      <c r="Q201" s="68">
        <f t="shared" si="140"/>
        <v>150019.60784313726</v>
      </c>
      <c r="R201" s="68">
        <f t="shared" si="119"/>
        <v>1012.913893025769</v>
      </c>
      <c r="S201" s="69">
        <f t="shared" si="120"/>
        <v>6.7518766885785148E-2</v>
      </c>
      <c r="T201" s="68">
        <f t="shared" si="121"/>
        <v>14627.731092436974</v>
      </c>
      <c r="U201" s="68">
        <f t="shared" si="122"/>
        <v>146277.31092436973</v>
      </c>
      <c r="V201" s="69">
        <f t="shared" si="123"/>
        <v>6.9246138490300743E-2</v>
      </c>
      <c r="W201" s="25" t="s">
        <v>202</v>
      </c>
      <c r="X201" s="25" t="s">
        <v>203</v>
      </c>
      <c r="Y201" s="27" t="s">
        <v>204</v>
      </c>
      <c r="Z201" s="28"/>
      <c r="AA201" s="28"/>
      <c r="AB201" s="28"/>
      <c r="AC201" s="28"/>
      <c r="AD201" s="28"/>
      <c r="AE201" s="28"/>
      <c r="AF201" s="28"/>
      <c r="AG201" s="28"/>
      <c r="AH201" s="28"/>
      <c r="AI201" s="28"/>
      <c r="AJ201" s="28"/>
      <c r="AK201" s="28"/>
    </row>
    <row r="202" spans="1:37" ht="88.5" customHeight="1" x14ac:dyDescent="0.25">
      <c r="A202" s="13">
        <f t="shared" si="134"/>
        <v>3</v>
      </c>
      <c r="B202" s="13">
        <v>190</v>
      </c>
      <c r="C202" s="38">
        <v>195</v>
      </c>
      <c r="D202" s="30" t="s">
        <v>207</v>
      </c>
      <c r="E202" s="31" t="s">
        <v>208</v>
      </c>
      <c r="F202" s="32">
        <v>100</v>
      </c>
      <c r="G202" s="32" t="s">
        <v>24</v>
      </c>
      <c r="H202" s="33">
        <v>2</v>
      </c>
      <c r="I202" s="33" t="s">
        <v>60</v>
      </c>
      <c r="J202" s="34">
        <f>+(10756*100)/119</f>
        <v>9038.6554621848736</v>
      </c>
      <c r="K202" s="40">
        <f t="shared" si="141"/>
        <v>1807731.0924369746</v>
      </c>
      <c r="L202" s="35">
        <f>+(12017*100)/119</f>
        <v>10098.319327731093</v>
      </c>
      <c r="M202" s="35">
        <f t="shared" si="137"/>
        <v>2019663.8655462186</v>
      </c>
      <c r="N202" s="35">
        <f>+(10900*100)/119</f>
        <v>9159.6638655462193</v>
      </c>
      <c r="O202" s="41">
        <f t="shared" si="138"/>
        <v>1831932.7731092439</v>
      </c>
      <c r="P202" s="68">
        <f t="shared" si="139"/>
        <v>9432.212885154062</v>
      </c>
      <c r="Q202" s="68">
        <f t="shared" si="140"/>
        <v>1886442.5770308124</v>
      </c>
      <c r="R202" s="68">
        <f t="shared" si="119"/>
        <v>473.59202066264169</v>
      </c>
      <c r="S202" s="69">
        <f t="shared" si="120"/>
        <v>5.0210064852125764E-2</v>
      </c>
      <c r="T202" s="68">
        <f t="shared" si="121"/>
        <v>9159.6638655462193</v>
      </c>
      <c r="U202" s="68">
        <f t="shared" si="122"/>
        <v>1831932.7731092439</v>
      </c>
      <c r="V202" s="69">
        <f t="shared" si="123"/>
        <v>5.1704082989774636E-2</v>
      </c>
      <c r="W202" s="78" t="s">
        <v>209</v>
      </c>
      <c r="X202" s="78" t="s">
        <v>210</v>
      </c>
      <c r="Y202" s="79" t="s">
        <v>211</v>
      </c>
      <c r="Z202" s="28"/>
      <c r="AA202" s="28"/>
      <c r="AB202" s="28"/>
      <c r="AC202" s="28"/>
      <c r="AD202" s="28"/>
      <c r="AE202" s="28"/>
      <c r="AF202" s="28"/>
      <c r="AG202" s="28"/>
      <c r="AH202" s="28"/>
      <c r="AI202" s="28"/>
      <c r="AJ202" s="28"/>
      <c r="AK202" s="28"/>
    </row>
    <row r="203" spans="1:37" ht="47.25" customHeight="1" x14ac:dyDescent="0.25">
      <c r="A203" s="13">
        <f t="shared" si="134"/>
        <v>1</v>
      </c>
      <c r="B203" s="13">
        <v>191</v>
      </c>
      <c r="C203" s="38">
        <v>196</v>
      </c>
      <c r="D203" s="30" t="s">
        <v>439</v>
      </c>
      <c r="E203" s="31" t="s">
        <v>440</v>
      </c>
      <c r="F203" s="32">
        <v>1</v>
      </c>
      <c r="G203" s="32" t="s">
        <v>24</v>
      </c>
      <c r="H203" s="33">
        <v>2</v>
      </c>
      <c r="I203" s="33" t="s">
        <v>60</v>
      </c>
      <c r="J203" s="34">
        <f>+(5635001/30)</f>
        <v>187833.36666666667</v>
      </c>
      <c r="K203" s="34">
        <f t="shared" si="141"/>
        <v>375666.73333333334</v>
      </c>
      <c r="L203" s="34"/>
      <c r="M203" s="34"/>
      <c r="N203" s="40"/>
      <c r="O203" s="41"/>
      <c r="P203" s="22">
        <f>+(ROUND(AVERAGE(J203),0))</f>
        <v>187833</v>
      </c>
      <c r="Q203" s="22">
        <f>+P203*F203*H203</f>
        <v>375666</v>
      </c>
      <c r="R203" s="23">
        <f>+_xlfn.STDEV.P(J203,L203,N203)</f>
        <v>0</v>
      </c>
      <c r="S203" s="24">
        <f>+R203/P203</f>
        <v>0</v>
      </c>
      <c r="T203" s="23">
        <f>+MEDIAN(J203,L203,N203)</f>
        <v>187833.36666666667</v>
      </c>
      <c r="U203" s="23">
        <f>+T203*F203*H203</f>
        <v>375666.73333333334</v>
      </c>
      <c r="V203" s="24">
        <f>+R203/T203</f>
        <v>0</v>
      </c>
      <c r="W203" s="25" t="s">
        <v>26</v>
      </c>
      <c r="X203" s="25"/>
      <c r="Y203" s="27"/>
      <c r="Z203" s="28"/>
      <c r="AA203" s="28"/>
      <c r="AB203" s="28"/>
      <c r="AC203" s="28"/>
      <c r="AD203" s="28"/>
      <c r="AE203" s="28"/>
      <c r="AF203" s="28"/>
      <c r="AG203" s="28"/>
      <c r="AH203" s="28"/>
      <c r="AI203" s="28"/>
      <c r="AJ203" s="28"/>
      <c r="AK203" s="28"/>
    </row>
    <row r="204" spans="1:37" ht="31.5" customHeight="1" x14ac:dyDescent="0.25">
      <c r="A204" s="13">
        <f t="shared" si="134"/>
        <v>3</v>
      </c>
      <c r="B204" s="13">
        <v>192</v>
      </c>
      <c r="C204" s="38">
        <v>197</v>
      </c>
      <c r="D204" s="49" t="s">
        <v>441</v>
      </c>
      <c r="E204" s="50" t="s">
        <v>442</v>
      </c>
      <c r="F204" s="32">
        <v>4</v>
      </c>
      <c r="G204" s="32" t="s">
        <v>24</v>
      </c>
      <c r="H204" s="33">
        <v>2</v>
      </c>
      <c r="I204" s="33" t="s">
        <v>60</v>
      </c>
      <c r="J204" s="34">
        <v>320000</v>
      </c>
      <c r="K204" s="34">
        <f t="shared" si="141"/>
        <v>2560000</v>
      </c>
      <c r="L204" s="34">
        <v>200000</v>
      </c>
      <c r="M204" s="58">
        <f>+L204*H204*F204</f>
        <v>1600000</v>
      </c>
      <c r="N204" s="34">
        <v>320000</v>
      </c>
      <c r="O204" s="41">
        <f t="shared" si="138"/>
        <v>2560000</v>
      </c>
      <c r="P204" s="68">
        <f>+AVERAGE(J204,L204,N204)</f>
        <v>280000</v>
      </c>
      <c r="Q204" s="68">
        <f>+P204*H204*F204</f>
        <v>2240000</v>
      </c>
      <c r="R204" s="68">
        <f>+_xlfn.STDEV.P(J204,L204,N204)</f>
        <v>56568.5424949238</v>
      </c>
      <c r="S204" s="69">
        <f>+R204/P204</f>
        <v>0.20203050891044214</v>
      </c>
      <c r="T204" s="68">
        <f>+MEDIAN(J204,L204,N204)</f>
        <v>320000</v>
      </c>
      <c r="U204" s="68">
        <f>+T204*F204*H204</f>
        <v>2560000</v>
      </c>
      <c r="V204" s="69">
        <f>+R204/T204</f>
        <v>0.17677669529663687</v>
      </c>
      <c r="W204" s="81" t="s">
        <v>65</v>
      </c>
      <c r="X204" s="25" t="s">
        <v>41</v>
      </c>
      <c r="Y204" s="86" t="s">
        <v>443</v>
      </c>
      <c r="Z204" s="28"/>
      <c r="AA204" s="28"/>
      <c r="AB204" s="28"/>
      <c r="AC204" s="28"/>
      <c r="AD204" s="28"/>
      <c r="AE204" s="28"/>
      <c r="AF204" s="28"/>
      <c r="AG204" s="28"/>
      <c r="AH204" s="28"/>
      <c r="AI204" s="28"/>
      <c r="AJ204" s="28"/>
      <c r="AK204" s="28"/>
    </row>
    <row r="205" spans="1:37" ht="63" customHeight="1" x14ac:dyDescent="0.25">
      <c r="A205" s="13">
        <f t="shared" si="134"/>
        <v>3</v>
      </c>
      <c r="B205" s="13">
        <v>193</v>
      </c>
      <c r="C205" s="38">
        <v>198</v>
      </c>
      <c r="D205" s="30" t="s">
        <v>444</v>
      </c>
      <c r="E205" s="31" t="s">
        <v>445</v>
      </c>
      <c r="F205" s="32">
        <v>200</v>
      </c>
      <c r="G205" s="32" t="s">
        <v>24</v>
      </c>
      <c r="H205" s="33">
        <v>2</v>
      </c>
      <c r="I205" s="33" t="s">
        <v>60</v>
      </c>
      <c r="J205" s="34">
        <f>+(7021*100)/119</f>
        <v>5900</v>
      </c>
      <c r="K205" s="34">
        <f t="shared" si="141"/>
        <v>2360000</v>
      </c>
      <c r="L205" s="34">
        <f>+(8925*100)/119</f>
        <v>7500</v>
      </c>
      <c r="M205" s="58">
        <f t="shared" ref="M205:M209" si="142">+L205*H205*F205</f>
        <v>3000000</v>
      </c>
      <c r="N205" s="34">
        <f>+(5499*100)/119</f>
        <v>4621.0084033613448</v>
      </c>
      <c r="O205" s="41">
        <f t="shared" si="138"/>
        <v>1848403.3613445379</v>
      </c>
      <c r="P205" s="68">
        <f t="shared" ref="P205:P228" si="143">+AVERAGE(J205,L205,N205)</f>
        <v>6007.0028011204486</v>
      </c>
      <c r="Q205" s="68">
        <f t="shared" ref="Q205:Q211" si="144">+P205*H205*F205</f>
        <v>2402801.1204481795</v>
      </c>
      <c r="R205" s="68">
        <f t="shared" ref="R205:R228" si="145">+_xlfn.STDEV.P(J205,L205,N205)</f>
        <v>1177.7762529345205</v>
      </c>
      <c r="S205" s="69">
        <f t="shared" ref="S205:S228" si="146">+R205/P205</f>
        <v>0.196067205547971</v>
      </c>
      <c r="T205" s="68">
        <f t="shared" ref="T205:T228" si="147">+MEDIAN(J205,L205,N205)</f>
        <v>5900</v>
      </c>
      <c r="U205" s="68">
        <f t="shared" ref="U205:U211" si="148">+T205*F205*H205</f>
        <v>2360000</v>
      </c>
      <c r="V205" s="69">
        <f t="shared" ref="V205:V228" si="149">+R205/T205</f>
        <v>0.19962309371771533</v>
      </c>
      <c r="W205" s="25" t="s">
        <v>446</v>
      </c>
      <c r="X205" s="25" t="s">
        <v>447</v>
      </c>
      <c r="Y205" s="27" t="s">
        <v>448</v>
      </c>
      <c r="Z205" s="28"/>
      <c r="AA205" s="28"/>
      <c r="AB205" s="28"/>
      <c r="AC205" s="28"/>
      <c r="AD205" s="28"/>
      <c r="AE205" s="28"/>
      <c r="AF205" s="28"/>
      <c r="AG205" s="28"/>
      <c r="AH205" s="28"/>
      <c r="AI205" s="28"/>
      <c r="AJ205" s="28"/>
      <c r="AK205" s="28"/>
    </row>
    <row r="206" spans="1:37" ht="47.25" customHeight="1" x14ac:dyDescent="0.25">
      <c r="A206" s="13">
        <f t="shared" si="134"/>
        <v>3</v>
      </c>
      <c r="B206" s="13">
        <v>194</v>
      </c>
      <c r="C206" s="38">
        <v>199</v>
      </c>
      <c r="D206" s="74" t="s">
        <v>449</v>
      </c>
      <c r="E206" s="75" t="s">
        <v>450</v>
      </c>
      <c r="F206" s="76">
        <v>15</v>
      </c>
      <c r="G206" s="76" t="s">
        <v>24</v>
      </c>
      <c r="H206" s="77"/>
      <c r="I206" s="77"/>
      <c r="J206" s="43">
        <f>+(7021*100)/119</f>
        <v>5900</v>
      </c>
      <c r="K206" s="34">
        <f>+J206*F206</f>
        <v>88500</v>
      </c>
      <c r="L206" s="43">
        <f>+(4800*100)/119</f>
        <v>4033.6134453781515</v>
      </c>
      <c r="M206" s="147">
        <f>+L206*F206</f>
        <v>60504.201680672275</v>
      </c>
      <c r="N206" s="43">
        <f>+(9520*100)/119</f>
        <v>8000</v>
      </c>
      <c r="O206" s="41">
        <f>+N206*F206</f>
        <v>120000</v>
      </c>
      <c r="P206" s="68">
        <f t="shared" si="143"/>
        <v>5977.8711484593841</v>
      </c>
      <c r="Q206" s="68">
        <f>+P206*F206</f>
        <v>89668.067226890766</v>
      </c>
      <c r="R206" s="68">
        <f t="shared" si="145"/>
        <v>1620.2064707917179</v>
      </c>
      <c r="S206" s="69">
        <f t="shared" si="146"/>
        <v>0.27103402374426844</v>
      </c>
      <c r="T206" s="68">
        <f t="shared" si="147"/>
        <v>5900</v>
      </c>
      <c r="U206" s="68">
        <f>+T206*F206</f>
        <v>88500</v>
      </c>
      <c r="V206" s="69">
        <f t="shared" si="149"/>
        <v>0.27461126623588439</v>
      </c>
      <c r="W206" s="25" t="s">
        <v>446</v>
      </c>
      <c r="X206" s="25" t="s">
        <v>447</v>
      </c>
      <c r="Y206" s="319" t="s">
        <v>451</v>
      </c>
      <c r="Z206" s="28"/>
      <c r="AA206" s="28"/>
      <c r="AB206" s="28"/>
      <c r="AC206" s="28"/>
      <c r="AD206" s="28"/>
      <c r="AE206" s="28"/>
      <c r="AF206" s="28"/>
      <c r="AG206" s="28"/>
      <c r="AH206" s="28"/>
      <c r="AI206" s="28"/>
      <c r="AJ206" s="28"/>
      <c r="AK206" s="28"/>
    </row>
    <row r="207" spans="1:37" ht="47.25" x14ac:dyDescent="0.25">
      <c r="A207" s="13">
        <f t="shared" si="134"/>
        <v>3</v>
      </c>
      <c r="B207" s="13">
        <v>195</v>
      </c>
      <c r="C207" s="38">
        <v>200</v>
      </c>
      <c r="D207" s="49" t="s">
        <v>452</v>
      </c>
      <c r="E207" s="50" t="s">
        <v>453</v>
      </c>
      <c r="F207" s="32">
        <v>1</v>
      </c>
      <c r="G207" s="32" t="s">
        <v>24</v>
      </c>
      <c r="H207" s="33">
        <v>2</v>
      </c>
      <c r="I207" s="33" t="s">
        <v>60</v>
      </c>
      <c r="J207" s="324">
        <v>15000000</v>
      </c>
      <c r="K207" s="40">
        <f t="shared" si="141"/>
        <v>30000000</v>
      </c>
      <c r="L207" s="35">
        <v>16800000</v>
      </c>
      <c r="M207" s="35">
        <f t="shared" si="142"/>
        <v>33600000</v>
      </c>
      <c r="N207" s="35">
        <v>17700000</v>
      </c>
      <c r="O207" s="41">
        <f t="shared" si="138"/>
        <v>35400000</v>
      </c>
      <c r="P207" s="68">
        <f t="shared" si="143"/>
        <v>16500000</v>
      </c>
      <c r="Q207" s="68">
        <f t="shared" si="144"/>
        <v>33000000</v>
      </c>
      <c r="R207" s="68">
        <f t="shared" si="145"/>
        <v>1122497.2160321823</v>
      </c>
      <c r="S207" s="69">
        <f t="shared" si="146"/>
        <v>6.8030134304980741E-2</v>
      </c>
      <c r="T207" s="68">
        <f t="shared" si="147"/>
        <v>16800000</v>
      </c>
      <c r="U207" s="68">
        <f t="shared" si="148"/>
        <v>33600000</v>
      </c>
      <c r="V207" s="69">
        <f t="shared" si="149"/>
        <v>6.6815310478106085E-2</v>
      </c>
      <c r="W207" s="166" t="s">
        <v>41</v>
      </c>
      <c r="X207" s="166" t="s">
        <v>42</v>
      </c>
      <c r="Y207" s="81" t="s">
        <v>43</v>
      </c>
      <c r="Z207" s="28"/>
      <c r="AA207" s="28"/>
      <c r="AB207" s="28"/>
      <c r="AC207" s="28"/>
      <c r="AD207" s="28"/>
      <c r="AE207" s="28"/>
      <c r="AF207" s="28"/>
      <c r="AG207" s="28"/>
      <c r="AH207" s="28"/>
      <c r="AI207" s="28"/>
      <c r="AJ207" s="28"/>
      <c r="AK207" s="28"/>
    </row>
    <row r="208" spans="1:37" ht="31.5" x14ac:dyDescent="0.25">
      <c r="A208" s="13">
        <f t="shared" si="134"/>
        <v>3</v>
      </c>
      <c r="B208" s="13">
        <v>196</v>
      </c>
      <c r="C208" s="38">
        <v>201</v>
      </c>
      <c r="D208" s="30" t="s">
        <v>454</v>
      </c>
      <c r="E208" s="31" t="s">
        <v>455</v>
      </c>
      <c r="F208" s="32">
        <v>2</v>
      </c>
      <c r="G208" s="32" t="s">
        <v>24</v>
      </c>
      <c r="H208" s="33">
        <v>2</v>
      </c>
      <c r="I208" s="33" t="s">
        <v>60</v>
      </c>
      <c r="J208" s="34">
        <f>+(49900*100)/119</f>
        <v>41932.773109243695</v>
      </c>
      <c r="K208" s="40">
        <f t="shared" si="141"/>
        <v>167731.09243697478</v>
      </c>
      <c r="L208" s="35">
        <f>+(39900*100)/119</f>
        <v>33529.411764705881</v>
      </c>
      <c r="M208" s="35">
        <f t="shared" si="142"/>
        <v>134117.64705882352</v>
      </c>
      <c r="N208" s="115">
        <v>34900</v>
      </c>
      <c r="O208" s="41">
        <f t="shared" si="138"/>
        <v>139600</v>
      </c>
      <c r="P208" s="68">
        <f t="shared" si="143"/>
        <v>36787.39495798319</v>
      </c>
      <c r="Q208" s="68">
        <f t="shared" si="144"/>
        <v>147149.57983193276</v>
      </c>
      <c r="R208" s="68">
        <f t="shared" si="145"/>
        <v>3681.1062890824342</v>
      </c>
      <c r="S208" s="69">
        <f t="shared" si="146"/>
        <v>0.1000643370721634</v>
      </c>
      <c r="T208" s="68">
        <f t="shared" si="147"/>
        <v>34900</v>
      </c>
      <c r="U208" s="68">
        <f t="shared" si="148"/>
        <v>139600</v>
      </c>
      <c r="V208" s="69">
        <f t="shared" si="149"/>
        <v>0.10547582490207548</v>
      </c>
      <c r="W208" s="25" t="s">
        <v>456</v>
      </c>
      <c r="X208" s="25" t="s">
        <v>457</v>
      </c>
      <c r="Y208" s="319" t="s">
        <v>458</v>
      </c>
      <c r="Z208" s="28"/>
      <c r="AA208" s="28"/>
      <c r="AB208" s="28"/>
      <c r="AC208" s="28"/>
      <c r="AD208" s="28"/>
      <c r="AE208" s="28"/>
      <c r="AF208" s="28"/>
      <c r="AG208" s="28"/>
      <c r="AH208" s="28"/>
      <c r="AI208" s="28"/>
      <c r="AJ208" s="28"/>
      <c r="AK208" s="28"/>
    </row>
    <row r="209" spans="1:37" ht="31.5" x14ac:dyDescent="0.25">
      <c r="A209" s="13">
        <f t="shared" si="134"/>
        <v>3</v>
      </c>
      <c r="B209" s="13">
        <v>197</v>
      </c>
      <c r="C209" s="38">
        <v>202</v>
      </c>
      <c r="D209" s="308" t="s">
        <v>459</v>
      </c>
      <c r="E209" s="325" t="s">
        <v>460</v>
      </c>
      <c r="F209" s="76">
        <v>20</v>
      </c>
      <c r="G209" s="76" t="s">
        <v>24</v>
      </c>
      <c r="H209" s="77">
        <v>2</v>
      </c>
      <c r="I209" s="77" t="s">
        <v>60</v>
      </c>
      <c r="J209" s="67">
        <v>46000</v>
      </c>
      <c r="K209" s="40">
        <f t="shared" si="141"/>
        <v>1840000</v>
      </c>
      <c r="L209" s="35">
        <v>52000</v>
      </c>
      <c r="M209" s="35">
        <f t="shared" si="142"/>
        <v>2080000</v>
      </c>
      <c r="N209" s="115">
        <v>54000</v>
      </c>
      <c r="O209" s="41">
        <f t="shared" si="138"/>
        <v>2160000</v>
      </c>
      <c r="P209" s="68">
        <f t="shared" si="143"/>
        <v>50666.666666666664</v>
      </c>
      <c r="Q209" s="68">
        <f t="shared" si="144"/>
        <v>2026666.6666666665</v>
      </c>
      <c r="R209" s="68">
        <f t="shared" si="145"/>
        <v>3399.3463423951898</v>
      </c>
      <c r="S209" s="69">
        <f t="shared" si="146"/>
        <v>6.7092362020957697E-2</v>
      </c>
      <c r="T209" s="68">
        <f t="shared" si="147"/>
        <v>52000</v>
      </c>
      <c r="U209" s="68">
        <f t="shared" si="148"/>
        <v>2080000</v>
      </c>
      <c r="V209" s="69">
        <f t="shared" si="149"/>
        <v>6.5372045046061339E-2</v>
      </c>
      <c r="W209" s="25" t="s">
        <v>41</v>
      </c>
      <c r="X209" s="166" t="s">
        <v>42</v>
      </c>
      <c r="Y209" s="81" t="s">
        <v>43</v>
      </c>
      <c r="Z209" s="326"/>
      <c r="AA209" s="28"/>
      <c r="AB209" s="28"/>
      <c r="AC209" s="28"/>
      <c r="AD209" s="28"/>
      <c r="AE209" s="28"/>
      <c r="AF209" s="28"/>
      <c r="AG209" s="28"/>
      <c r="AH209" s="28"/>
      <c r="AI209" s="28"/>
      <c r="AJ209" s="28"/>
      <c r="AK209" s="28"/>
    </row>
    <row r="210" spans="1:37" ht="31.5" x14ac:dyDescent="0.25">
      <c r="A210" s="153">
        <f t="shared" si="134"/>
        <v>3</v>
      </c>
      <c r="B210" s="13">
        <v>198</v>
      </c>
      <c r="C210" s="38">
        <v>203</v>
      </c>
      <c r="D210" s="74" t="s">
        <v>461</v>
      </c>
      <c r="E210" s="75" t="s">
        <v>462</v>
      </c>
      <c r="F210" s="76">
        <v>2</v>
      </c>
      <c r="G210" s="76" t="s">
        <v>24</v>
      </c>
      <c r="H210" s="77"/>
      <c r="I210" s="77"/>
      <c r="J210" s="43">
        <v>9000</v>
      </c>
      <c r="K210" s="43">
        <f>+J210*F210</f>
        <v>18000</v>
      </c>
      <c r="L210" s="196">
        <v>10000</v>
      </c>
      <c r="M210" s="147">
        <f>+L210*F210</f>
        <v>20000</v>
      </c>
      <c r="N210" s="196">
        <v>11000</v>
      </c>
      <c r="O210" s="156">
        <f>+N210*F210</f>
        <v>22000</v>
      </c>
      <c r="P210" s="197">
        <f t="shared" si="143"/>
        <v>10000</v>
      </c>
      <c r="Q210" s="197">
        <f>+P210*F210</f>
        <v>20000</v>
      </c>
      <c r="R210" s="197">
        <f t="shared" si="145"/>
        <v>816.49658092772597</v>
      </c>
      <c r="S210" s="198">
        <f t="shared" si="146"/>
        <v>8.1649658092772595E-2</v>
      </c>
      <c r="T210" s="197">
        <f t="shared" si="147"/>
        <v>10000</v>
      </c>
      <c r="U210" s="197">
        <f>+T210*F210</f>
        <v>20000</v>
      </c>
      <c r="V210" s="198">
        <f t="shared" si="149"/>
        <v>8.1649658092772595E-2</v>
      </c>
      <c r="W210" s="78" t="s">
        <v>41</v>
      </c>
      <c r="X210" s="327" t="s">
        <v>42</v>
      </c>
      <c r="Y210" s="328" t="s">
        <v>43</v>
      </c>
      <c r="Z210" s="28"/>
      <c r="AA210" s="28"/>
      <c r="AB210" s="28"/>
      <c r="AC210" s="28"/>
      <c r="AD210" s="28"/>
      <c r="AE210" s="28"/>
      <c r="AF210" s="28"/>
      <c r="AG210" s="28"/>
      <c r="AH210" s="28"/>
      <c r="AI210" s="28"/>
      <c r="AJ210" s="28"/>
      <c r="AK210" s="28"/>
    </row>
    <row r="211" spans="1:37" s="180" customFormat="1" ht="53.65" customHeight="1" x14ac:dyDescent="0.25">
      <c r="A211" s="13">
        <f t="shared" si="134"/>
        <v>1</v>
      </c>
      <c r="B211" s="13">
        <v>199</v>
      </c>
      <c r="C211" s="38">
        <v>204</v>
      </c>
      <c r="D211" s="160" t="s">
        <v>463</v>
      </c>
      <c r="E211" s="161" t="s">
        <v>464</v>
      </c>
      <c r="F211" s="329">
        <v>1</v>
      </c>
      <c r="G211" s="329" t="s">
        <v>24</v>
      </c>
      <c r="H211" s="166">
        <v>1</v>
      </c>
      <c r="I211" s="166" t="s">
        <v>302</v>
      </c>
      <c r="J211" s="35">
        <v>5000000</v>
      </c>
      <c r="K211" s="35">
        <f t="shared" si="141"/>
        <v>5000000</v>
      </c>
      <c r="L211" s="35"/>
      <c r="M211" s="35"/>
      <c r="N211" s="35"/>
      <c r="O211" s="35"/>
      <c r="P211" s="163">
        <f t="shared" si="143"/>
        <v>5000000</v>
      </c>
      <c r="Q211" s="163">
        <f t="shared" si="144"/>
        <v>5000000</v>
      </c>
      <c r="R211" s="163">
        <f t="shared" si="145"/>
        <v>0</v>
      </c>
      <c r="S211" s="183">
        <f t="shared" si="146"/>
        <v>0</v>
      </c>
      <c r="T211" s="163">
        <f t="shared" si="147"/>
        <v>5000000</v>
      </c>
      <c r="U211" s="163">
        <f t="shared" si="148"/>
        <v>5000000</v>
      </c>
      <c r="V211" s="183">
        <f t="shared" si="149"/>
        <v>0</v>
      </c>
      <c r="W211" s="166"/>
      <c r="X211" s="166"/>
      <c r="Y211" s="81"/>
      <c r="Z211" s="81"/>
      <c r="AA211" s="658"/>
      <c r="AB211" s="179"/>
      <c r="AC211" s="179"/>
      <c r="AD211" s="179"/>
      <c r="AE211" s="179"/>
      <c r="AF211" s="179"/>
      <c r="AG211" s="179"/>
      <c r="AH211" s="179"/>
      <c r="AI211" s="179"/>
      <c r="AJ211" s="179"/>
      <c r="AK211" s="179"/>
    </row>
    <row r="212" spans="1:37" ht="47.25" customHeight="1" x14ac:dyDescent="0.25">
      <c r="A212" s="168">
        <f t="shared" si="134"/>
        <v>3</v>
      </c>
      <c r="B212" s="13">
        <v>200</v>
      </c>
      <c r="C212" s="38">
        <v>205</v>
      </c>
      <c r="D212" s="54" t="s">
        <v>465</v>
      </c>
      <c r="E212" s="55" t="s">
        <v>466</v>
      </c>
      <c r="F212" s="56">
        <v>100</v>
      </c>
      <c r="G212" s="56" t="s">
        <v>24</v>
      </c>
      <c r="H212" s="57"/>
      <c r="I212" s="57"/>
      <c r="J212" s="58">
        <v>23000</v>
      </c>
      <c r="K212" s="58">
        <f>+J212*F212</f>
        <v>2300000</v>
      </c>
      <c r="L212" s="58">
        <v>26000</v>
      </c>
      <c r="M212" s="147">
        <f>+L212*F212</f>
        <v>2600000</v>
      </c>
      <c r="N212" s="58">
        <v>27000</v>
      </c>
      <c r="O212" s="330">
        <f>+N212*F212</f>
        <v>2700000</v>
      </c>
      <c r="P212" s="209">
        <f t="shared" si="143"/>
        <v>25333.333333333332</v>
      </c>
      <c r="Q212" s="209">
        <f>+P212*F212</f>
        <v>2533333.333333333</v>
      </c>
      <c r="R212" s="209">
        <f t="shared" si="145"/>
        <v>1699.6731711975949</v>
      </c>
      <c r="S212" s="210">
        <f t="shared" si="146"/>
        <v>6.7092362020957697E-2</v>
      </c>
      <c r="T212" s="209">
        <f t="shared" si="147"/>
        <v>26000</v>
      </c>
      <c r="U212" s="209">
        <f>+T212*F212</f>
        <v>2600000</v>
      </c>
      <c r="V212" s="210">
        <f t="shared" si="149"/>
        <v>6.5372045046061339E-2</v>
      </c>
      <c r="W212" s="78" t="s">
        <v>41</v>
      </c>
      <c r="X212" s="78" t="s">
        <v>42</v>
      </c>
      <c r="Y212" s="79" t="s">
        <v>43</v>
      </c>
      <c r="Z212" s="28"/>
      <c r="AA212" s="28"/>
      <c r="AB212" s="28"/>
      <c r="AC212" s="28"/>
      <c r="AD212" s="28"/>
      <c r="AE212" s="28"/>
      <c r="AF212" s="28"/>
      <c r="AG212" s="28"/>
      <c r="AH212" s="28"/>
      <c r="AI212" s="28"/>
      <c r="AJ212" s="28"/>
      <c r="AK212" s="28"/>
    </row>
    <row r="213" spans="1:37" ht="47.25" customHeight="1" x14ac:dyDescent="0.25">
      <c r="A213" s="13">
        <f t="shared" si="134"/>
        <v>3</v>
      </c>
      <c r="B213" s="13">
        <v>201</v>
      </c>
      <c r="C213" s="38">
        <v>206</v>
      </c>
      <c r="D213" s="30" t="s">
        <v>467</v>
      </c>
      <c r="E213" s="31" t="s">
        <v>468</v>
      </c>
      <c r="F213" s="32">
        <v>2</v>
      </c>
      <c r="G213" s="32" t="s">
        <v>24</v>
      </c>
      <c r="H213" s="33">
        <v>2</v>
      </c>
      <c r="I213" s="33" t="s">
        <v>60</v>
      </c>
      <c r="J213" s="34">
        <v>150000</v>
      </c>
      <c r="K213" s="40">
        <f t="shared" si="141"/>
        <v>600000</v>
      </c>
      <c r="L213" s="35">
        <v>168000</v>
      </c>
      <c r="M213" s="35">
        <f t="shared" ref="M213" si="150">+L213*H213*F213</f>
        <v>672000</v>
      </c>
      <c r="N213" s="115">
        <v>177000</v>
      </c>
      <c r="O213" s="41">
        <f t="shared" si="138"/>
        <v>708000</v>
      </c>
      <c r="P213" s="68">
        <f t="shared" si="143"/>
        <v>165000</v>
      </c>
      <c r="Q213" s="68">
        <f t="shared" ref="Q213:Q227" si="151">+P213*H213*F213</f>
        <v>660000</v>
      </c>
      <c r="R213" s="68">
        <f t="shared" si="145"/>
        <v>11224.972160321824</v>
      </c>
      <c r="S213" s="69">
        <f t="shared" si="146"/>
        <v>6.8030134304980755E-2</v>
      </c>
      <c r="T213" s="68">
        <f t="shared" si="147"/>
        <v>168000</v>
      </c>
      <c r="U213" s="68">
        <f t="shared" ref="U213:U227" si="152">+T213*F213*H213</f>
        <v>672000</v>
      </c>
      <c r="V213" s="69">
        <f t="shared" si="149"/>
        <v>6.6815310478106099E-2</v>
      </c>
      <c r="W213" s="88" t="s">
        <v>41</v>
      </c>
      <c r="X213" s="88" t="s">
        <v>42</v>
      </c>
      <c r="Y213" s="89" t="s">
        <v>43</v>
      </c>
      <c r="Z213" s="326"/>
      <c r="AA213" s="28"/>
      <c r="AB213" s="28"/>
      <c r="AC213" s="28"/>
      <c r="AD213" s="28"/>
      <c r="AE213" s="28"/>
      <c r="AF213" s="28"/>
      <c r="AG213" s="28"/>
      <c r="AH213" s="28"/>
      <c r="AI213" s="28"/>
      <c r="AJ213" s="28"/>
      <c r="AK213" s="28"/>
    </row>
    <row r="214" spans="1:37" ht="250.5" customHeight="1" x14ac:dyDescent="0.25">
      <c r="A214" s="13">
        <f t="shared" si="134"/>
        <v>3</v>
      </c>
      <c r="B214" s="13">
        <v>202</v>
      </c>
      <c r="C214" s="38">
        <v>207</v>
      </c>
      <c r="D214" s="306" t="s">
        <v>469</v>
      </c>
      <c r="E214" s="272" t="s">
        <v>470</v>
      </c>
      <c r="F214" s="56">
        <v>8</v>
      </c>
      <c r="G214" s="56" t="s">
        <v>24</v>
      </c>
      <c r="H214" s="57"/>
      <c r="I214" s="57"/>
      <c r="J214" s="228">
        <v>105263</v>
      </c>
      <c r="K214" s="64">
        <f t="shared" ref="K214:K226" si="153">+J214*F214</f>
        <v>842104</v>
      </c>
      <c r="L214" s="228">
        <v>105263</v>
      </c>
      <c r="M214" s="217">
        <f t="shared" ref="M214:M226" si="154">+L214*F214</f>
        <v>842104</v>
      </c>
      <c r="N214" s="228">
        <v>105263</v>
      </c>
      <c r="O214" s="35">
        <f t="shared" ref="O214:O226" si="155">+N214*F214</f>
        <v>842104</v>
      </c>
      <c r="P214" s="68">
        <f t="shared" si="143"/>
        <v>105263</v>
      </c>
      <c r="Q214" s="163">
        <f t="shared" ref="Q214:Q226" si="156">+P214*F214</f>
        <v>842104</v>
      </c>
      <c r="R214" s="68">
        <f>+_xlfn.STDEV.P(J214,L214,N214)</f>
        <v>0</v>
      </c>
      <c r="S214" s="69">
        <f t="shared" si="146"/>
        <v>0</v>
      </c>
      <c r="T214" s="68">
        <f t="shared" si="147"/>
        <v>105263</v>
      </c>
      <c r="U214" s="163">
        <f t="shared" ref="U214:U226" si="157">+T214*F214</f>
        <v>842104</v>
      </c>
      <c r="V214" s="69">
        <f t="shared" si="149"/>
        <v>0</v>
      </c>
      <c r="W214" s="57" t="s">
        <v>41</v>
      </c>
      <c r="X214" s="268" t="s">
        <v>42</v>
      </c>
      <c r="Y214" s="27" t="s">
        <v>43</v>
      </c>
      <c r="Z214" s="28"/>
      <c r="AA214" s="28"/>
      <c r="AB214" s="28"/>
      <c r="AC214" s="28"/>
      <c r="AD214" s="28"/>
      <c r="AE214" s="28"/>
      <c r="AF214" s="28"/>
      <c r="AG214" s="28"/>
      <c r="AH214" s="28"/>
      <c r="AI214" s="28"/>
      <c r="AJ214" s="28"/>
      <c r="AK214" s="28"/>
    </row>
    <row r="215" spans="1:37" ht="238.15" customHeight="1" x14ac:dyDescent="0.25">
      <c r="A215" s="13">
        <f t="shared" si="134"/>
        <v>3</v>
      </c>
      <c r="B215" s="13">
        <v>203</v>
      </c>
      <c r="C215" s="38">
        <v>208</v>
      </c>
      <c r="D215" s="212" t="s">
        <v>471</v>
      </c>
      <c r="E215" s="272" t="s">
        <v>472</v>
      </c>
      <c r="F215" s="32">
        <v>1</v>
      </c>
      <c r="G215" s="32" t="s">
        <v>24</v>
      </c>
      <c r="H215" s="33"/>
      <c r="I215" s="33"/>
      <c r="J215" s="228">
        <v>1894737</v>
      </c>
      <c r="K215" s="64">
        <f t="shared" si="153"/>
        <v>1894737</v>
      </c>
      <c r="L215" s="228">
        <v>1894737</v>
      </c>
      <c r="M215" s="217">
        <f t="shared" si="154"/>
        <v>1894737</v>
      </c>
      <c r="N215" s="228">
        <v>1894737</v>
      </c>
      <c r="O215" s="35">
        <f t="shared" si="155"/>
        <v>1894737</v>
      </c>
      <c r="P215" s="68">
        <f t="shared" si="143"/>
        <v>1894737</v>
      </c>
      <c r="Q215" s="163">
        <f t="shared" si="156"/>
        <v>1894737</v>
      </c>
      <c r="R215" s="68">
        <f t="shared" si="145"/>
        <v>0</v>
      </c>
      <c r="S215" s="69">
        <f t="shared" si="146"/>
        <v>0</v>
      </c>
      <c r="T215" s="68">
        <f t="shared" si="147"/>
        <v>1894737</v>
      </c>
      <c r="U215" s="163">
        <f t="shared" si="157"/>
        <v>1894737</v>
      </c>
      <c r="V215" s="69">
        <f t="shared" si="149"/>
        <v>0</v>
      </c>
      <c r="W215" s="57" t="s">
        <v>41</v>
      </c>
      <c r="X215" s="268" t="s">
        <v>42</v>
      </c>
      <c r="Y215" s="27" t="s">
        <v>43</v>
      </c>
      <c r="Z215" s="28"/>
      <c r="AA215" s="28"/>
      <c r="AB215" s="28"/>
      <c r="AC215" s="28"/>
      <c r="AD215" s="28"/>
      <c r="AE215" s="28"/>
      <c r="AF215" s="28"/>
      <c r="AG215" s="28"/>
      <c r="AH215" s="28"/>
      <c r="AI215" s="28"/>
      <c r="AJ215" s="28"/>
      <c r="AK215" s="28"/>
    </row>
    <row r="216" spans="1:37" ht="248.1" customHeight="1" x14ac:dyDescent="0.25">
      <c r="A216" s="13">
        <f t="shared" si="134"/>
        <v>3</v>
      </c>
      <c r="B216" s="13">
        <v>204</v>
      </c>
      <c r="C216" s="38">
        <v>209</v>
      </c>
      <c r="D216" s="212" t="s">
        <v>473</v>
      </c>
      <c r="E216" s="272" t="s">
        <v>474</v>
      </c>
      <c r="F216" s="32">
        <v>1</v>
      </c>
      <c r="G216" s="32" t="s">
        <v>24</v>
      </c>
      <c r="H216" s="33"/>
      <c r="I216" s="33"/>
      <c r="J216" s="228">
        <v>1684211</v>
      </c>
      <c r="K216" s="64">
        <f t="shared" si="153"/>
        <v>1684211</v>
      </c>
      <c r="L216" s="228">
        <v>1684211</v>
      </c>
      <c r="M216" s="217">
        <f t="shared" si="154"/>
        <v>1684211</v>
      </c>
      <c r="N216" s="228">
        <v>1684211</v>
      </c>
      <c r="O216" s="35">
        <f t="shared" si="155"/>
        <v>1684211</v>
      </c>
      <c r="P216" s="68">
        <f t="shared" si="143"/>
        <v>1684211</v>
      </c>
      <c r="Q216" s="163">
        <f t="shared" si="156"/>
        <v>1684211</v>
      </c>
      <c r="R216" s="68">
        <f t="shared" si="145"/>
        <v>0</v>
      </c>
      <c r="S216" s="69">
        <f t="shared" si="146"/>
        <v>0</v>
      </c>
      <c r="T216" s="68">
        <f t="shared" si="147"/>
        <v>1684211</v>
      </c>
      <c r="U216" s="163">
        <f t="shared" si="157"/>
        <v>1684211</v>
      </c>
      <c r="V216" s="69">
        <f t="shared" si="149"/>
        <v>0</v>
      </c>
      <c r="W216" s="57" t="s">
        <v>41</v>
      </c>
      <c r="X216" s="268" t="s">
        <v>42</v>
      </c>
      <c r="Y216" s="27" t="s">
        <v>43</v>
      </c>
      <c r="Z216" s="28"/>
      <c r="AA216" s="28"/>
      <c r="AB216" s="28"/>
      <c r="AC216" s="28"/>
      <c r="AD216" s="28"/>
      <c r="AE216" s="28"/>
      <c r="AF216" s="28"/>
      <c r="AG216" s="28"/>
      <c r="AH216" s="28"/>
      <c r="AI216" s="28"/>
      <c r="AJ216" s="28"/>
      <c r="AK216" s="28"/>
    </row>
    <row r="217" spans="1:37" ht="240" customHeight="1" x14ac:dyDescent="0.25">
      <c r="A217" s="13">
        <f t="shared" si="134"/>
        <v>3</v>
      </c>
      <c r="B217" s="13">
        <v>205</v>
      </c>
      <c r="C217" s="38">
        <v>210</v>
      </c>
      <c r="D217" s="212" t="s">
        <v>475</v>
      </c>
      <c r="E217" s="272" t="s">
        <v>476</v>
      </c>
      <c r="F217" s="32">
        <v>1</v>
      </c>
      <c r="G217" s="32" t="s">
        <v>24</v>
      </c>
      <c r="H217" s="33"/>
      <c r="I217" s="33"/>
      <c r="J217" s="228">
        <v>1473684</v>
      </c>
      <c r="K217" s="64">
        <f t="shared" si="153"/>
        <v>1473684</v>
      </c>
      <c r="L217" s="228">
        <v>1473684</v>
      </c>
      <c r="M217" s="217">
        <f t="shared" si="154"/>
        <v>1473684</v>
      </c>
      <c r="N217" s="228">
        <v>1473684</v>
      </c>
      <c r="O217" s="35">
        <f t="shared" si="155"/>
        <v>1473684</v>
      </c>
      <c r="P217" s="68">
        <f t="shared" si="143"/>
        <v>1473684</v>
      </c>
      <c r="Q217" s="163">
        <f t="shared" si="156"/>
        <v>1473684</v>
      </c>
      <c r="R217" s="68">
        <f t="shared" si="145"/>
        <v>0</v>
      </c>
      <c r="S217" s="69">
        <f t="shared" si="146"/>
        <v>0</v>
      </c>
      <c r="T217" s="68">
        <f t="shared" si="147"/>
        <v>1473684</v>
      </c>
      <c r="U217" s="163">
        <f t="shared" si="157"/>
        <v>1473684</v>
      </c>
      <c r="V217" s="69">
        <f t="shared" si="149"/>
        <v>0</v>
      </c>
      <c r="W217" s="57" t="s">
        <v>41</v>
      </c>
      <c r="X217" s="268" t="s">
        <v>42</v>
      </c>
      <c r="Y217" s="27" t="s">
        <v>43</v>
      </c>
      <c r="Z217" s="28"/>
      <c r="AA217" s="28"/>
      <c r="AB217" s="28"/>
      <c r="AC217" s="28"/>
      <c r="AD217" s="28"/>
      <c r="AE217" s="28"/>
      <c r="AF217" s="28"/>
      <c r="AG217" s="28"/>
      <c r="AH217" s="28"/>
      <c r="AI217" s="28"/>
      <c r="AJ217" s="28"/>
      <c r="AK217" s="28"/>
    </row>
    <row r="218" spans="1:37" ht="245.1" customHeight="1" x14ac:dyDescent="0.25">
      <c r="A218" s="13">
        <f t="shared" si="134"/>
        <v>3</v>
      </c>
      <c r="B218" s="13">
        <v>206</v>
      </c>
      <c r="C218" s="38">
        <v>211</v>
      </c>
      <c r="D218" s="212" t="s">
        <v>477</v>
      </c>
      <c r="E218" s="272" t="s">
        <v>478</v>
      </c>
      <c r="F218" s="32">
        <v>1</v>
      </c>
      <c r="G218" s="32" t="s">
        <v>24</v>
      </c>
      <c r="H218" s="33"/>
      <c r="I218" s="33"/>
      <c r="J218" s="228">
        <v>1894737</v>
      </c>
      <c r="K218" s="64">
        <f t="shared" si="153"/>
        <v>1894737</v>
      </c>
      <c r="L218" s="228">
        <v>1894737</v>
      </c>
      <c r="M218" s="217">
        <f t="shared" si="154"/>
        <v>1894737</v>
      </c>
      <c r="N218" s="228">
        <v>1894737</v>
      </c>
      <c r="O218" s="35">
        <f t="shared" si="155"/>
        <v>1894737</v>
      </c>
      <c r="P218" s="68">
        <f t="shared" si="143"/>
        <v>1894737</v>
      </c>
      <c r="Q218" s="163">
        <f t="shared" si="156"/>
        <v>1894737</v>
      </c>
      <c r="R218" s="68">
        <f t="shared" si="145"/>
        <v>0</v>
      </c>
      <c r="S218" s="69">
        <f t="shared" si="146"/>
        <v>0</v>
      </c>
      <c r="T218" s="68">
        <f t="shared" si="147"/>
        <v>1894737</v>
      </c>
      <c r="U218" s="163">
        <f t="shared" si="157"/>
        <v>1894737</v>
      </c>
      <c r="V218" s="69">
        <f t="shared" si="149"/>
        <v>0</v>
      </c>
      <c r="W218" s="57" t="s">
        <v>41</v>
      </c>
      <c r="X218" s="268" t="s">
        <v>42</v>
      </c>
      <c r="Y218" s="27" t="s">
        <v>43</v>
      </c>
      <c r="Z218" s="28"/>
      <c r="AA218" s="28"/>
      <c r="AB218" s="28"/>
      <c r="AC218" s="28"/>
      <c r="AD218" s="28"/>
      <c r="AE218" s="28"/>
      <c r="AF218" s="28"/>
      <c r="AG218" s="28"/>
      <c r="AH218" s="28"/>
      <c r="AI218" s="28"/>
      <c r="AJ218" s="28"/>
      <c r="AK218" s="28"/>
    </row>
    <row r="219" spans="1:37" ht="258.60000000000002" customHeight="1" x14ac:dyDescent="0.25">
      <c r="A219" s="13">
        <f t="shared" si="134"/>
        <v>3</v>
      </c>
      <c r="B219" s="13">
        <v>207</v>
      </c>
      <c r="C219" s="38">
        <v>212</v>
      </c>
      <c r="D219" s="212" t="s">
        <v>479</v>
      </c>
      <c r="E219" s="218" t="s">
        <v>480</v>
      </c>
      <c r="F219" s="32">
        <v>1</v>
      </c>
      <c r="G219" s="32" t="s">
        <v>24</v>
      </c>
      <c r="H219" s="33"/>
      <c r="I219" s="33"/>
      <c r="J219" s="228">
        <v>1684211</v>
      </c>
      <c r="K219" s="64">
        <f t="shared" si="153"/>
        <v>1684211</v>
      </c>
      <c r="L219" s="228">
        <v>1684211</v>
      </c>
      <c r="M219" s="217">
        <f t="shared" si="154"/>
        <v>1684211</v>
      </c>
      <c r="N219" s="228">
        <v>1684211</v>
      </c>
      <c r="O219" s="35">
        <f t="shared" si="155"/>
        <v>1684211</v>
      </c>
      <c r="P219" s="68">
        <f t="shared" si="143"/>
        <v>1684211</v>
      </c>
      <c r="Q219" s="163">
        <f t="shared" si="156"/>
        <v>1684211</v>
      </c>
      <c r="R219" s="68">
        <f t="shared" si="145"/>
        <v>0</v>
      </c>
      <c r="S219" s="69">
        <f t="shared" si="146"/>
        <v>0</v>
      </c>
      <c r="T219" s="68">
        <f t="shared" si="147"/>
        <v>1684211</v>
      </c>
      <c r="U219" s="163">
        <f t="shared" si="157"/>
        <v>1684211</v>
      </c>
      <c r="V219" s="69">
        <f t="shared" si="149"/>
        <v>0</v>
      </c>
      <c r="W219" s="57" t="s">
        <v>41</v>
      </c>
      <c r="X219" s="268" t="s">
        <v>42</v>
      </c>
      <c r="Y219" s="27" t="s">
        <v>43</v>
      </c>
      <c r="Z219" s="28"/>
      <c r="AA219" s="28"/>
      <c r="AB219" s="28"/>
      <c r="AC219" s="28"/>
      <c r="AD219" s="28"/>
      <c r="AE219" s="28"/>
      <c r="AF219" s="28"/>
      <c r="AG219" s="28"/>
      <c r="AH219" s="28"/>
      <c r="AI219" s="28"/>
      <c r="AJ219" s="28"/>
      <c r="AK219" s="28"/>
    </row>
    <row r="220" spans="1:37" ht="265.5" customHeight="1" x14ac:dyDescent="0.25">
      <c r="A220" s="13">
        <f t="shared" si="134"/>
        <v>3</v>
      </c>
      <c r="B220" s="13">
        <v>208</v>
      </c>
      <c r="C220" s="38">
        <v>213</v>
      </c>
      <c r="D220" s="212" t="s">
        <v>481</v>
      </c>
      <c r="E220" s="218" t="s">
        <v>482</v>
      </c>
      <c r="F220" s="32">
        <v>1</v>
      </c>
      <c r="G220" s="32" t="s">
        <v>24</v>
      </c>
      <c r="H220" s="33"/>
      <c r="I220" s="33"/>
      <c r="J220" s="228">
        <v>1473684</v>
      </c>
      <c r="K220" s="64">
        <f t="shared" si="153"/>
        <v>1473684</v>
      </c>
      <c r="L220" s="228">
        <v>1473684</v>
      </c>
      <c r="M220" s="217">
        <f t="shared" si="154"/>
        <v>1473684</v>
      </c>
      <c r="N220" s="228">
        <v>1473684</v>
      </c>
      <c r="O220" s="35">
        <f t="shared" si="155"/>
        <v>1473684</v>
      </c>
      <c r="P220" s="68">
        <f t="shared" si="143"/>
        <v>1473684</v>
      </c>
      <c r="Q220" s="163">
        <f t="shared" si="156"/>
        <v>1473684</v>
      </c>
      <c r="R220" s="68">
        <f t="shared" si="145"/>
        <v>0</v>
      </c>
      <c r="S220" s="69">
        <f t="shared" si="146"/>
        <v>0</v>
      </c>
      <c r="T220" s="68">
        <f t="shared" si="147"/>
        <v>1473684</v>
      </c>
      <c r="U220" s="163">
        <f t="shared" si="157"/>
        <v>1473684</v>
      </c>
      <c r="V220" s="69">
        <f t="shared" si="149"/>
        <v>0</v>
      </c>
      <c r="W220" s="57" t="s">
        <v>41</v>
      </c>
      <c r="X220" s="268" t="s">
        <v>42</v>
      </c>
      <c r="Y220" s="27" t="s">
        <v>43</v>
      </c>
      <c r="Z220" s="28"/>
      <c r="AA220" s="28"/>
      <c r="AB220" s="28"/>
      <c r="AC220" s="28"/>
      <c r="AD220" s="28"/>
      <c r="AE220" s="28"/>
      <c r="AF220" s="28"/>
      <c r="AG220" s="28"/>
      <c r="AH220" s="28"/>
      <c r="AI220" s="28"/>
      <c r="AJ220" s="28"/>
      <c r="AK220" s="28"/>
    </row>
    <row r="221" spans="1:37" ht="273.60000000000002" customHeight="1" x14ac:dyDescent="0.25">
      <c r="A221" s="13">
        <f t="shared" si="134"/>
        <v>3</v>
      </c>
      <c r="B221" s="13">
        <v>209</v>
      </c>
      <c r="C221" s="38">
        <v>214</v>
      </c>
      <c r="D221" s="212" t="s">
        <v>483</v>
      </c>
      <c r="E221" s="218" t="s">
        <v>478</v>
      </c>
      <c r="F221" s="32">
        <v>1</v>
      </c>
      <c r="G221" s="32" t="s">
        <v>24</v>
      </c>
      <c r="H221" s="33"/>
      <c r="I221" s="33"/>
      <c r="J221" s="228">
        <v>1894737</v>
      </c>
      <c r="K221" s="64">
        <f t="shared" si="153"/>
        <v>1894737</v>
      </c>
      <c r="L221" s="228">
        <v>1894737</v>
      </c>
      <c r="M221" s="217">
        <f t="shared" si="154"/>
        <v>1894737</v>
      </c>
      <c r="N221" s="228">
        <v>1894737</v>
      </c>
      <c r="O221" s="35">
        <f t="shared" si="155"/>
        <v>1894737</v>
      </c>
      <c r="P221" s="68">
        <f t="shared" si="143"/>
        <v>1894737</v>
      </c>
      <c r="Q221" s="163">
        <f t="shared" si="156"/>
        <v>1894737</v>
      </c>
      <c r="R221" s="68">
        <f t="shared" si="145"/>
        <v>0</v>
      </c>
      <c r="S221" s="69">
        <f t="shared" si="146"/>
        <v>0</v>
      </c>
      <c r="T221" s="68">
        <f t="shared" si="147"/>
        <v>1894737</v>
      </c>
      <c r="U221" s="163">
        <f t="shared" si="157"/>
        <v>1894737</v>
      </c>
      <c r="V221" s="69">
        <f t="shared" si="149"/>
        <v>0</v>
      </c>
      <c r="W221" s="57" t="s">
        <v>41</v>
      </c>
      <c r="X221" s="268" t="s">
        <v>42</v>
      </c>
      <c r="Y221" s="27" t="s">
        <v>43</v>
      </c>
      <c r="Z221" s="28"/>
      <c r="AA221" s="28"/>
      <c r="AB221" s="28"/>
      <c r="AC221" s="28"/>
      <c r="AD221" s="28"/>
      <c r="AE221" s="28"/>
      <c r="AF221" s="28"/>
      <c r="AG221" s="28"/>
      <c r="AH221" s="28"/>
      <c r="AI221" s="28"/>
      <c r="AJ221" s="28"/>
      <c r="AK221" s="28"/>
    </row>
    <row r="222" spans="1:37" ht="264.60000000000002" customHeight="1" x14ac:dyDescent="0.25">
      <c r="A222" s="13">
        <f t="shared" si="134"/>
        <v>3</v>
      </c>
      <c r="B222" s="13">
        <v>210</v>
      </c>
      <c r="C222" s="38">
        <v>215</v>
      </c>
      <c r="D222" s="212" t="s">
        <v>484</v>
      </c>
      <c r="E222" s="218" t="s">
        <v>480</v>
      </c>
      <c r="F222" s="32">
        <v>1</v>
      </c>
      <c r="G222" s="32" t="s">
        <v>24</v>
      </c>
      <c r="H222" s="33"/>
      <c r="I222" s="33"/>
      <c r="J222" s="228">
        <v>1684211</v>
      </c>
      <c r="K222" s="64">
        <f t="shared" si="153"/>
        <v>1684211</v>
      </c>
      <c r="L222" s="228">
        <v>1684211</v>
      </c>
      <c r="M222" s="217">
        <f t="shared" si="154"/>
        <v>1684211</v>
      </c>
      <c r="N222" s="228">
        <v>1684211</v>
      </c>
      <c r="O222" s="35">
        <f t="shared" si="155"/>
        <v>1684211</v>
      </c>
      <c r="P222" s="68">
        <f t="shared" si="143"/>
        <v>1684211</v>
      </c>
      <c r="Q222" s="163">
        <f t="shared" si="156"/>
        <v>1684211</v>
      </c>
      <c r="R222" s="68">
        <f t="shared" si="145"/>
        <v>0</v>
      </c>
      <c r="S222" s="69">
        <f t="shared" si="146"/>
        <v>0</v>
      </c>
      <c r="T222" s="68">
        <f t="shared" si="147"/>
        <v>1684211</v>
      </c>
      <c r="U222" s="163">
        <f t="shared" si="157"/>
        <v>1684211</v>
      </c>
      <c r="V222" s="69">
        <f t="shared" si="149"/>
        <v>0</v>
      </c>
      <c r="W222" s="57" t="s">
        <v>41</v>
      </c>
      <c r="X222" s="268" t="s">
        <v>42</v>
      </c>
      <c r="Y222" s="27" t="s">
        <v>43</v>
      </c>
      <c r="Z222" s="28"/>
      <c r="AA222" s="28"/>
      <c r="AB222" s="28"/>
      <c r="AC222" s="28"/>
      <c r="AD222" s="28"/>
      <c r="AE222" s="28"/>
      <c r="AF222" s="28"/>
      <c r="AG222" s="28"/>
      <c r="AH222" s="28"/>
      <c r="AI222" s="28"/>
      <c r="AJ222" s="28"/>
      <c r="AK222" s="28"/>
    </row>
    <row r="223" spans="1:37" ht="250.5" customHeight="1" x14ac:dyDescent="0.25">
      <c r="A223" s="13">
        <f t="shared" si="134"/>
        <v>3</v>
      </c>
      <c r="B223" s="13">
        <v>211</v>
      </c>
      <c r="C223" s="38">
        <v>216</v>
      </c>
      <c r="D223" s="212" t="s">
        <v>485</v>
      </c>
      <c r="E223" s="218" t="s">
        <v>482</v>
      </c>
      <c r="F223" s="32">
        <v>1</v>
      </c>
      <c r="G223" s="32" t="s">
        <v>24</v>
      </c>
      <c r="H223" s="33"/>
      <c r="I223" s="33"/>
      <c r="J223" s="228">
        <v>1473684</v>
      </c>
      <c r="K223" s="64">
        <f t="shared" si="153"/>
        <v>1473684</v>
      </c>
      <c r="L223" s="228">
        <v>1473684</v>
      </c>
      <c r="M223" s="217">
        <f t="shared" si="154"/>
        <v>1473684</v>
      </c>
      <c r="N223" s="228">
        <v>1473684</v>
      </c>
      <c r="O223" s="35">
        <f t="shared" si="155"/>
        <v>1473684</v>
      </c>
      <c r="P223" s="68">
        <f t="shared" si="143"/>
        <v>1473684</v>
      </c>
      <c r="Q223" s="163">
        <f t="shared" si="156"/>
        <v>1473684</v>
      </c>
      <c r="R223" s="68">
        <f t="shared" si="145"/>
        <v>0</v>
      </c>
      <c r="S223" s="69">
        <f t="shared" si="146"/>
        <v>0</v>
      </c>
      <c r="T223" s="68">
        <f t="shared" si="147"/>
        <v>1473684</v>
      </c>
      <c r="U223" s="163">
        <f t="shared" si="157"/>
        <v>1473684</v>
      </c>
      <c r="V223" s="69">
        <f t="shared" si="149"/>
        <v>0</v>
      </c>
      <c r="W223" s="57" t="s">
        <v>41</v>
      </c>
      <c r="X223" s="268" t="s">
        <v>42</v>
      </c>
      <c r="Y223" s="27" t="s">
        <v>43</v>
      </c>
      <c r="Z223" s="28"/>
      <c r="AA223" s="28"/>
      <c r="AB223" s="28"/>
      <c r="AC223" s="28"/>
      <c r="AD223" s="28"/>
      <c r="AE223" s="28"/>
      <c r="AF223" s="28"/>
      <c r="AG223" s="28"/>
      <c r="AH223" s="28"/>
      <c r="AI223" s="28"/>
      <c r="AJ223" s="28"/>
      <c r="AK223" s="28"/>
    </row>
    <row r="224" spans="1:37" ht="247.5" customHeight="1" x14ac:dyDescent="0.25">
      <c r="A224" s="13">
        <f t="shared" si="134"/>
        <v>3</v>
      </c>
      <c r="B224" s="13">
        <v>212</v>
      </c>
      <c r="C224" s="38">
        <v>217</v>
      </c>
      <c r="D224" s="212" t="s">
        <v>486</v>
      </c>
      <c r="E224" s="218" t="s">
        <v>478</v>
      </c>
      <c r="F224" s="32">
        <v>1</v>
      </c>
      <c r="G224" s="32" t="s">
        <v>24</v>
      </c>
      <c r="H224" s="33"/>
      <c r="I224" s="33"/>
      <c r="J224" s="228">
        <v>1894737</v>
      </c>
      <c r="K224" s="64">
        <f t="shared" si="153"/>
        <v>1894737</v>
      </c>
      <c r="L224" s="228">
        <v>1894737</v>
      </c>
      <c r="M224" s="217">
        <f t="shared" si="154"/>
        <v>1894737</v>
      </c>
      <c r="N224" s="228">
        <v>1894737</v>
      </c>
      <c r="O224" s="35">
        <f t="shared" si="155"/>
        <v>1894737</v>
      </c>
      <c r="P224" s="68">
        <f t="shared" si="143"/>
        <v>1894737</v>
      </c>
      <c r="Q224" s="163">
        <f t="shared" si="156"/>
        <v>1894737</v>
      </c>
      <c r="R224" s="68">
        <f t="shared" si="145"/>
        <v>0</v>
      </c>
      <c r="S224" s="69">
        <f t="shared" si="146"/>
        <v>0</v>
      </c>
      <c r="T224" s="68">
        <f t="shared" si="147"/>
        <v>1894737</v>
      </c>
      <c r="U224" s="163">
        <f t="shared" si="157"/>
        <v>1894737</v>
      </c>
      <c r="V224" s="69">
        <f t="shared" si="149"/>
        <v>0</v>
      </c>
      <c r="W224" s="57" t="s">
        <v>41</v>
      </c>
      <c r="X224" s="268" t="s">
        <v>42</v>
      </c>
      <c r="Y224" s="27" t="s">
        <v>43</v>
      </c>
      <c r="Z224" s="28"/>
      <c r="AA224" s="28"/>
      <c r="AB224" s="28"/>
      <c r="AC224" s="28"/>
      <c r="AD224" s="28"/>
      <c r="AE224" s="28"/>
      <c r="AF224" s="28"/>
      <c r="AG224" s="28"/>
      <c r="AH224" s="28"/>
      <c r="AI224" s="28"/>
      <c r="AJ224" s="28"/>
      <c r="AK224" s="28"/>
    </row>
    <row r="225" spans="1:37" ht="250.5" customHeight="1" x14ac:dyDescent="0.25">
      <c r="A225" s="13">
        <f t="shared" si="134"/>
        <v>3</v>
      </c>
      <c r="B225" s="13">
        <v>213</v>
      </c>
      <c r="C225" s="38">
        <v>218</v>
      </c>
      <c r="D225" s="212" t="s">
        <v>487</v>
      </c>
      <c r="E225" s="218" t="s">
        <v>480</v>
      </c>
      <c r="F225" s="32">
        <v>1</v>
      </c>
      <c r="G225" s="32" t="s">
        <v>24</v>
      </c>
      <c r="H225" s="33"/>
      <c r="I225" s="33"/>
      <c r="J225" s="228">
        <v>1684211</v>
      </c>
      <c r="K225" s="64">
        <f t="shared" si="153"/>
        <v>1684211</v>
      </c>
      <c r="L225" s="228">
        <v>1684211</v>
      </c>
      <c r="M225" s="217">
        <f t="shared" si="154"/>
        <v>1684211</v>
      </c>
      <c r="N225" s="228">
        <v>1684211</v>
      </c>
      <c r="O225" s="35">
        <f t="shared" si="155"/>
        <v>1684211</v>
      </c>
      <c r="P225" s="68">
        <f t="shared" si="143"/>
        <v>1684211</v>
      </c>
      <c r="Q225" s="163">
        <f t="shared" si="156"/>
        <v>1684211</v>
      </c>
      <c r="R225" s="68">
        <f t="shared" si="145"/>
        <v>0</v>
      </c>
      <c r="S225" s="69">
        <f t="shared" si="146"/>
        <v>0</v>
      </c>
      <c r="T225" s="68">
        <f t="shared" si="147"/>
        <v>1684211</v>
      </c>
      <c r="U225" s="163">
        <f t="shared" si="157"/>
        <v>1684211</v>
      </c>
      <c r="V225" s="69">
        <f t="shared" si="149"/>
        <v>0</v>
      </c>
      <c r="W225" s="57" t="s">
        <v>41</v>
      </c>
      <c r="X225" s="268" t="s">
        <v>42</v>
      </c>
      <c r="Y225" s="27" t="s">
        <v>43</v>
      </c>
      <c r="Z225" s="28"/>
      <c r="AA225" s="28"/>
      <c r="AB225" s="28"/>
      <c r="AC225" s="28"/>
      <c r="AD225" s="28"/>
      <c r="AE225" s="28"/>
      <c r="AF225" s="28"/>
      <c r="AG225" s="28"/>
      <c r="AH225" s="28"/>
      <c r="AI225" s="28"/>
      <c r="AJ225" s="28"/>
      <c r="AK225" s="28"/>
    </row>
    <row r="226" spans="1:37" ht="250.5" customHeight="1" x14ac:dyDescent="0.25">
      <c r="A226" s="13">
        <f t="shared" si="134"/>
        <v>3</v>
      </c>
      <c r="B226" s="13">
        <v>214</v>
      </c>
      <c r="C226" s="38">
        <v>219</v>
      </c>
      <c r="D226" s="212" t="s">
        <v>488</v>
      </c>
      <c r="E226" s="218" t="s">
        <v>482</v>
      </c>
      <c r="F226" s="32">
        <v>1</v>
      </c>
      <c r="G226" s="32" t="s">
        <v>24</v>
      </c>
      <c r="H226" s="33"/>
      <c r="I226" s="33"/>
      <c r="J226" s="228">
        <v>1473684</v>
      </c>
      <c r="K226" s="64">
        <f t="shared" si="153"/>
        <v>1473684</v>
      </c>
      <c r="L226" s="228">
        <v>1473684</v>
      </c>
      <c r="M226" s="217">
        <f t="shared" si="154"/>
        <v>1473684</v>
      </c>
      <c r="N226" s="228">
        <v>1473684</v>
      </c>
      <c r="O226" s="35">
        <f t="shared" si="155"/>
        <v>1473684</v>
      </c>
      <c r="P226" s="68">
        <f t="shared" si="143"/>
        <v>1473684</v>
      </c>
      <c r="Q226" s="163">
        <f t="shared" si="156"/>
        <v>1473684</v>
      </c>
      <c r="R226" s="68">
        <f t="shared" si="145"/>
        <v>0</v>
      </c>
      <c r="S226" s="69">
        <f t="shared" si="146"/>
        <v>0</v>
      </c>
      <c r="T226" s="68">
        <f t="shared" si="147"/>
        <v>1473684</v>
      </c>
      <c r="U226" s="163">
        <f t="shared" si="157"/>
        <v>1473684</v>
      </c>
      <c r="V226" s="69">
        <f t="shared" si="149"/>
        <v>0</v>
      </c>
      <c r="W226" s="57" t="s">
        <v>41</v>
      </c>
      <c r="X226" s="268" t="s">
        <v>42</v>
      </c>
      <c r="Y226" s="27" t="s">
        <v>43</v>
      </c>
      <c r="Z226" s="28"/>
      <c r="AA226" s="28"/>
      <c r="AB226" s="28"/>
      <c r="AC226" s="28"/>
      <c r="AD226" s="28"/>
      <c r="AE226" s="28"/>
      <c r="AF226" s="28"/>
      <c r="AG226" s="28"/>
      <c r="AH226" s="28"/>
      <c r="AI226" s="28"/>
      <c r="AJ226" s="28"/>
      <c r="AK226" s="28"/>
    </row>
    <row r="227" spans="1:37" ht="78.75" customHeight="1" x14ac:dyDescent="0.25">
      <c r="A227" s="13">
        <f t="shared" si="134"/>
        <v>3</v>
      </c>
      <c r="B227" s="13">
        <v>215</v>
      </c>
      <c r="C227" s="38">
        <v>220</v>
      </c>
      <c r="D227" s="49" t="s">
        <v>489</v>
      </c>
      <c r="E227" s="31" t="s">
        <v>490</v>
      </c>
      <c r="F227" s="32">
        <v>1</v>
      </c>
      <c r="G227" s="32" t="s">
        <v>24</v>
      </c>
      <c r="H227" s="33">
        <v>1</v>
      </c>
      <c r="I227" s="33" t="s">
        <v>491</v>
      </c>
      <c r="J227" s="34">
        <f>+(1757415*100)/119</f>
        <v>1476819.3277310925</v>
      </c>
      <c r="K227" s="34">
        <f t="shared" si="141"/>
        <v>1476819.3277310925</v>
      </c>
      <c r="L227" s="34">
        <v>1065461</v>
      </c>
      <c r="M227" s="58">
        <f t="shared" ref="M227" si="158">+L227*H227*F227</f>
        <v>1065461</v>
      </c>
      <c r="N227" s="40">
        <f>+(1453904*100)/119</f>
        <v>1221768.0672268907</v>
      </c>
      <c r="O227" s="41">
        <f t="shared" si="138"/>
        <v>1221768.0672268907</v>
      </c>
      <c r="P227" s="68">
        <f t="shared" si="143"/>
        <v>1254682.7983193276</v>
      </c>
      <c r="Q227" s="68">
        <f t="shared" si="151"/>
        <v>1254682.7983193276</v>
      </c>
      <c r="R227" s="68">
        <f t="shared" si="145"/>
        <v>169541.4464383189</v>
      </c>
      <c r="S227" s="69">
        <f t="shared" si="146"/>
        <v>0.13512693938692952</v>
      </c>
      <c r="T227" s="68">
        <f t="shared" si="147"/>
        <v>1221768.0672268907</v>
      </c>
      <c r="U227" s="68">
        <f t="shared" si="152"/>
        <v>1221768.0672268907</v>
      </c>
      <c r="V227" s="69">
        <f t="shared" si="149"/>
        <v>0.13876729224322892</v>
      </c>
      <c r="W227" s="25" t="s">
        <v>492</v>
      </c>
      <c r="X227" s="25" t="s">
        <v>1085</v>
      </c>
      <c r="Y227" s="25" t="s">
        <v>367</v>
      </c>
      <c r="Z227" s="28" t="s">
        <v>205</v>
      </c>
      <c r="AA227" s="28" t="s">
        <v>206</v>
      </c>
      <c r="AB227" s="28"/>
      <c r="AC227" s="28"/>
      <c r="AD227" s="28"/>
      <c r="AE227" s="28"/>
      <c r="AF227" s="28"/>
      <c r="AG227" s="28"/>
      <c r="AH227" s="28"/>
      <c r="AI227" s="28"/>
      <c r="AJ227" s="28"/>
      <c r="AK227" s="28"/>
    </row>
    <row r="228" spans="1:37" ht="316.14999999999998" customHeight="1" x14ac:dyDescent="0.25">
      <c r="A228" s="13">
        <f t="shared" si="134"/>
        <v>3</v>
      </c>
      <c r="B228" s="13">
        <v>216</v>
      </c>
      <c r="C228" s="38">
        <v>221</v>
      </c>
      <c r="D228" s="212" t="s">
        <v>493</v>
      </c>
      <c r="E228" s="218" t="s">
        <v>494</v>
      </c>
      <c r="F228" s="32">
        <v>3</v>
      </c>
      <c r="G228" s="32" t="s">
        <v>24</v>
      </c>
      <c r="H228" s="33"/>
      <c r="I228" s="33"/>
      <c r="J228" s="228">
        <v>1684211</v>
      </c>
      <c r="K228" s="64">
        <f t="shared" ref="K228" si="159">+J228*F228</f>
        <v>5052633</v>
      </c>
      <c r="L228" s="228">
        <v>1684211</v>
      </c>
      <c r="M228" s="217">
        <f t="shared" ref="M228" si="160">+L228*F228</f>
        <v>5052633</v>
      </c>
      <c r="N228" s="228">
        <v>1684211</v>
      </c>
      <c r="O228" s="35">
        <f t="shared" ref="O228" si="161">+N228*F228</f>
        <v>5052633</v>
      </c>
      <c r="P228" s="68">
        <f t="shared" si="143"/>
        <v>1684211</v>
      </c>
      <c r="Q228" s="163">
        <f t="shared" ref="Q228" si="162">+P228*F228</f>
        <v>5052633</v>
      </c>
      <c r="R228" s="68">
        <f t="shared" si="145"/>
        <v>0</v>
      </c>
      <c r="S228" s="69">
        <f t="shared" si="146"/>
        <v>0</v>
      </c>
      <c r="T228" s="68">
        <f t="shared" si="147"/>
        <v>1684211</v>
      </c>
      <c r="U228" s="163">
        <f t="shared" ref="U228" si="163">+T228*F228</f>
        <v>5052633</v>
      </c>
      <c r="V228" s="69">
        <f t="shared" si="149"/>
        <v>0</v>
      </c>
      <c r="W228" s="57" t="s">
        <v>41</v>
      </c>
      <c r="X228" s="268" t="s">
        <v>42</v>
      </c>
      <c r="Y228" s="27" t="s">
        <v>43</v>
      </c>
      <c r="Z228" s="236">
        <f>SUM(Q187:Q228)</f>
        <v>93035098.459383741</v>
      </c>
      <c r="AA228" s="237">
        <f>SUM(U187:U228)</f>
        <v>93850518.141176462</v>
      </c>
      <c r="AB228" s="28"/>
      <c r="AC228" s="28"/>
      <c r="AD228" s="28"/>
      <c r="AE228" s="28"/>
      <c r="AF228" s="28"/>
      <c r="AG228" s="28"/>
      <c r="AH228" s="28"/>
      <c r="AI228" s="28"/>
      <c r="AJ228" s="28"/>
      <c r="AK228" s="28"/>
    </row>
    <row r="229" spans="1:37" ht="44.1" customHeight="1" x14ac:dyDescent="0.25">
      <c r="A229" s="337"/>
      <c r="B229" s="677"/>
      <c r="C229" s="337"/>
      <c r="D229" s="337"/>
      <c r="E229" s="332" t="s">
        <v>1076</v>
      </c>
      <c r="F229" s="331"/>
      <c r="G229" s="331"/>
      <c r="H229" s="331"/>
      <c r="I229" s="331"/>
      <c r="J229" s="331"/>
      <c r="K229" s="331"/>
      <c r="L229" s="331"/>
      <c r="M229" s="331"/>
      <c r="N229" s="331"/>
      <c r="O229" s="331"/>
      <c r="P229" s="331"/>
      <c r="Q229" s="331"/>
      <c r="R229" s="331"/>
      <c r="S229" s="331"/>
      <c r="T229" s="331"/>
      <c r="U229" s="331"/>
      <c r="V229" s="331"/>
      <c r="W229" s="331"/>
      <c r="X229" s="338"/>
      <c r="Y229" s="339"/>
      <c r="Z229" s="28"/>
      <c r="AA229" s="28"/>
      <c r="AB229" s="28"/>
      <c r="AC229" s="28"/>
      <c r="AD229" s="28"/>
      <c r="AE229" s="28"/>
      <c r="AF229" s="28"/>
      <c r="AG229" s="28"/>
      <c r="AH229" s="28"/>
      <c r="AI229" s="28"/>
      <c r="AJ229" s="28"/>
      <c r="AK229" s="28"/>
    </row>
    <row r="230" spans="1:37" s="661" customFormat="1" ht="303.60000000000002" customHeight="1" x14ac:dyDescent="0.25">
      <c r="A230" s="628"/>
      <c r="B230" s="628">
        <v>217</v>
      </c>
      <c r="C230" s="629">
        <v>222</v>
      </c>
      <c r="D230" s="670" t="s">
        <v>504</v>
      </c>
      <c r="E230" s="630" t="s">
        <v>505</v>
      </c>
      <c r="F230" s="631">
        <v>1</v>
      </c>
      <c r="G230" s="632" t="s">
        <v>1058</v>
      </c>
      <c r="H230" s="633"/>
      <c r="I230" s="634"/>
      <c r="J230" s="666">
        <v>38000000</v>
      </c>
      <c r="K230" s="635">
        <f t="shared" ref="K230:K231" si="164">+J230*F230*H230</f>
        <v>0</v>
      </c>
      <c r="L230" s="635"/>
      <c r="M230" s="635"/>
      <c r="N230" s="636"/>
      <c r="O230" s="637"/>
      <c r="P230" s="638">
        <f t="shared" ref="P230:P231" si="165">+(ROUND(AVERAGE(J230),0))</f>
        <v>38000000</v>
      </c>
      <c r="Q230" s="671">
        <f>+P230*F230</f>
        <v>38000000</v>
      </c>
      <c r="R230" s="639">
        <f t="shared" ref="R230:R283" si="166">+_xlfn.STDEV.P(J230,L230,N230)</f>
        <v>0</v>
      </c>
      <c r="S230" s="640">
        <f t="shared" ref="S230:S283" si="167">+R230/P230</f>
        <v>0</v>
      </c>
      <c r="T230" s="639">
        <f t="shared" ref="T230:T283" si="168">+MEDIAN(J230,L230,N230)</f>
        <v>38000000</v>
      </c>
      <c r="U230" s="665">
        <f>+T230*F230</f>
        <v>38000000</v>
      </c>
      <c r="V230" s="640">
        <f t="shared" ref="V230:V283" si="169">+R230/T230</f>
        <v>0</v>
      </c>
      <c r="W230" s="632"/>
      <c r="X230" s="632"/>
      <c r="Y230" s="641"/>
      <c r="Z230" s="642"/>
      <c r="AA230" s="642"/>
      <c r="AB230" s="642"/>
      <c r="AC230" s="642"/>
      <c r="AD230" s="642"/>
      <c r="AE230" s="642"/>
      <c r="AF230" s="642"/>
      <c r="AG230" s="642"/>
      <c r="AH230" s="642"/>
      <c r="AI230" s="642"/>
      <c r="AJ230" s="642"/>
      <c r="AK230" s="642"/>
    </row>
    <row r="231" spans="1:37" s="661" customFormat="1" ht="357.6" customHeight="1" x14ac:dyDescent="0.25">
      <c r="A231" s="628"/>
      <c r="B231" s="628">
        <v>218</v>
      </c>
      <c r="C231" s="629">
        <v>223</v>
      </c>
      <c r="D231" s="670" t="s">
        <v>506</v>
      </c>
      <c r="E231" s="630" t="s">
        <v>507</v>
      </c>
      <c r="F231" s="631">
        <v>1</v>
      </c>
      <c r="G231" s="632" t="s">
        <v>1058</v>
      </c>
      <c r="H231" s="633"/>
      <c r="I231" s="634"/>
      <c r="J231" s="666">
        <v>30000000</v>
      </c>
      <c r="K231" s="635">
        <f t="shared" si="164"/>
        <v>0</v>
      </c>
      <c r="L231" s="635"/>
      <c r="M231" s="635"/>
      <c r="N231" s="636"/>
      <c r="O231" s="637"/>
      <c r="P231" s="638">
        <f t="shared" si="165"/>
        <v>30000000</v>
      </c>
      <c r="Q231" s="671">
        <f>+P231*F231</f>
        <v>30000000</v>
      </c>
      <c r="R231" s="639">
        <f t="shared" si="166"/>
        <v>0</v>
      </c>
      <c r="S231" s="640">
        <f t="shared" si="167"/>
        <v>0</v>
      </c>
      <c r="T231" s="639">
        <f t="shared" si="168"/>
        <v>30000000</v>
      </c>
      <c r="U231" s="665">
        <f>+T231*F231</f>
        <v>30000000</v>
      </c>
      <c r="V231" s="640">
        <f t="shared" si="169"/>
        <v>0</v>
      </c>
      <c r="W231" s="632"/>
      <c r="X231" s="632"/>
      <c r="Y231" s="641"/>
      <c r="Z231" s="642"/>
      <c r="AA231" s="642"/>
      <c r="AB231" s="642"/>
      <c r="AC231" s="642"/>
      <c r="AD231" s="642"/>
      <c r="AE231" s="642"/>
      <c r="AF231" s="642"/>
      <c r="AG231" s="642"/>
      <c r="AH231" s="642"/>
      <c r="AI231" s="642"/>
      <c r="AJ231" s="642"/>
      <c r="AK231" s="642"/>
    </row>
    <row r="232" spans="1:37" ht="63" x14ac:dyDescent="0.25">
      <c r="A232" s="90">
        <f t="shared" ref="A232:A288" si="170">+COUNT(J232,L232,N232)</f>
        <v>3</v>
      </c>
      <c r="B232" s="676">
        <v>219</v>
      </c>
      <c r="C232" s="38">
        <v>224</v>
      </c>
      <c r="D232" s="30" t="s">
        <v>508</v>
      </c>
      <c r="E232" s="31" t="s">
        <v>261</v>
      </c>
      <c r="F232" s="91">
        <v>1</v>
      </c>
      <c r="G232" s="33" t="s">
        <v>24</v>
      </c>
      <c r="H232" s="33">
        <v>8</v>
      </c>
      <c r="I232" s="33" t="s">
        <v>60</v>
      </c>
      <c r="J232" s="343">
        <f>+(798319*5.35%)+798319</f>
        <v>841029.06649999996</v>
      </c>
      <c r="K232" s="344">
        <f t="shared" si="141"/>
        <v>6728232.5319999997</v>
      </c>
      <c r="L232" s="282">
        <f>+(861345*5.35%)+861345</f>
        <v>907426.95750000002</v>
      </c>
      <c r="M232" s="35">
        <f t="shared" ref="M232:M257" si="171">+L232*H232*F232</f>
        <v>7259415.6600000001</v>
      </c>
      <c r="N232" s="282">
        <f>+(827731*5.35%)+827731</f>
        <v>872014.60849999997</v>
      </c>
      <c r="O232" s="41">
        <f t="shared" ref="O232:O236" si="172">+N232*H232*F232</f>
        <v>6976116.8679999998</v>
      </c>
      <c r="P232" s="68">
        <f t="shared" ref="P232:P283" si="173">+AVERAGE(J232,L232,N232)</f>
        <v>873490.21083333332</v>
      </c>
      <c r="Q232" s="68">
        <f t="shared" ref="Q232:Q282" si="174">+P232*H232*F232</f>
        <v>6987921.6866666665</v>
      </c>
      <c r="R232" s="68">
        <f t="shared" si="166"/>
        <v>27126.899736812</v>
      </c>
      <c r="S232" s="69">
        <f t="shared" si="167"/>
        <v>3.1055757008349529E-2</v>
      </c>
      <c r="T232" s="68">
        <f t="shared" si="168"/>
        <v>872014.60849999997</v>
      </c>
      <c r="U232" s="68">
        <f t="shared" ref="U232:U282" si="175">+T232*F232*H232</f>
        <v>6976116.8679999998</v>
      </c>
      <c r="V232" s="69">
        <f t="shared" si="169"/>
        <v>3.1108308820048856E-2</v>
      </c>
      <c r="W232" s="25" t="s">
        <v>180</v>
      </c>
      <c r="X232" s="25" t="s">
        <v>262</v>
      </c>
      <c r="Y232" s="27" t="s">
        <v>263</v>
      </c>
      <c r="Z232" s="28"/>
      <c r="AA232" s="28"/>
      <c r="AB232" s="28"/>
      <c r="AC232" s="28"/>
      <c r="AD232" s="28"/>
      <c r="AE232" s="28"/>
      <c r="AF232" s="28"/>
      <c r="AG232" s="28"/>
      <c r="AH232" s="28"/>
      <c r="AI232" s="28"/>
      <c r="AJ232" s="28"/>
      <c r="AK232" s="28"/>
    </row>
    <row r="233" spans="1:37" ht="148.5" customHeight="1" x14ac:dyDescent="0.25">
      <c r="A233" s="90">
        <f t="shared" si="170"/>
        <v>3</v>
      </c>
      <c r="B233" s="676">
        <v>220</v>
      </c>
      <c r="C233" s="38">
        <v>225</v>
      </c>
      <c r="D233" s="93" t="s">
        <v>509</v>
      </c>
      <c r="E233" s="31" t="s">
        <v>208</v>
      </c>
      <c r="F233" s="94">
        <v>120</v>
      </c>
      <c r="G233" s="77" t="s">
        <v>24</v>
      </c>
      <c r="H233" s="77">
        <v>8</v>
      </c>
      <c r="I233" s="77" t="s">
        <v>60</v>
      </c>
      <c r="J233" s="64">
        <f>+(10756*100)/119</f>
        <v>9038.6554621848736</v>
      </c>
      <c r="K233" s="344">
        <f t="shared" si="141"/>
        <v>8677109.2436974794</v>
      </c>
      <c r="L233" s="35">
        <f>+(12017*100)/119</f>
        <v>10098.319327731093</v>
      </c>
      <c r="M233" s="35">
        <f t="shared" si="171"/>
        <v>9694386.5546218492</v>
      </c>
      <c r="N233" s="35">
        <f>+(10900*100)/119</f>
        <v>9159.6638655462193</v>
      </c>
      <c r="O233" s="41">
        <f t="shared" si="172"/>
        <v>8793277.3109243698</v>
      </c>
      <c r="P233" s="68">
        <f t="shared" si="173"/>
        <v>9432.212885154062</v>
      </c>
      <c r="Q233" s="68">
        <f t="shared" si="174"/>
        <v>9054924.3697478995</v>
      </c>
      <c r="R233" s="68">
        <f t="shared" si="166"/>
        <v>473.59202066264169</v>
      </c>
      <c r="S233" s="69">
        <f t="shared" si="167"/>
        <v>5.0210064852125764E-2</v>
      </c>
      <c r="T233" s="68">
        <f t="shared" si="168"/>
        <v>9159.6638655462193</v>
      </c>
      <c r="U233" s="68">
        <f t="shared" si="175"/>
        <v>8793277.3109243698</v>
      </c>
      <c r="V233" s="69">
        <f t="shared" si="169"/>
        <v>5.1704082989774636E-2</v>
      </c>
      <c r="W233" s="78" t="s">
        <v>209</v>
      </c>
      <c r="X233" s="78" t="s">
        <v>210</v>
      </c>
      <c r="Y233" s="79" t="s">
        <v>211</v>
      </c>
      <c r="Z233" s="28"/>
      <c r="AA233" s="28"/>
      <c r="AB233" s="28"/>
      <c r="AC233" s="28"/>
      <c r="AD233" s="28"/>
      <c r="AE233" s="28"/>
      <c r="AF233" s="28"/>
      <c r="AG233" s="28"/>
      <c r="AH233" s="28"/>
      <c r="AI233" s="28"/>
      <c r="AJ233" s="28"/>
      <c r="AK233" s="28"/>
    </row>
    <row r="234" spans="1:37" ht="63" x14ac:dyDescent="0.25">
      <c r="A234" s="90">
        <f t="shared" si="170"/>
        <v>1</v>
      </c>
      <c r="B234" s="676">
        <v>221</v>
      </c>
      <c r="C234" s="38">
        <v>226</v>
      </c>
      <c r="D234" s="30" t="s">
        <v>510</v>
      </c>
      <c r="E234" s="31" t="s">
        <v>511</v>
      </c>
      <c r="F234" s="91">
        <v>1</v>
      </c>
      <c r="G234" s="33" t="s">
        <v>24</v>
      </c>
      <c r="H234" s="33">
        <v>8</v>
      </c>
      <c r="I234" s="33" t="s">
        <v>60</v>
      </c>
      <c r="J234" s="64">
        <f>5635001/30</f>
        <v>187833.36666666667</v>
      </c>
      <c r="K234" s="344">
        <f t="shared" si="141"/>
        <v>1502666.9333333333</v>
      </c>
      <c r="L234" s="35"/>
      <c r="M234" s="35"/>
      <c r="N234" s="35"/>
      <c r="O234" s="41"/>
      <c r="P234" s="68">
        <f t="shared" si="173"/>
        <v>187833.36666666667</v>
      </c>
      <c r="Q234" s="68">
        <f t="shared" si="174"/>
        <v>1502666.9333333333</v>
      </c>
      <c r="R234" s="68">
        <f t="shared" si="166"/>
        <v>0</v>
      </c>
      <c r="S234" s="69">
        <f t="shared" si="167"/>
        <v>0</v>
      </c>
      <c r="T234" s="68">
        <f t="shared" si="168"/>
        <v>187833.36666666667</v>
      </c>
      <c r="U234" s="68">
        <f t="shared" si="175"/>
        <v>1502666.9333333333</v>
      </c>
      <c r="V234" s="69">
        <f t="shared" si="169"/>
        <v>0</v>
      </c>
      <c r="W234" s="25" t="s">
        <v>26</v>
      </c>
      <c r="X234" s="25"/>
      <c r="Y234" s="27"/>
      <c r="Z234" s="28"/>
      <c r="AA234" s="28"/>
      <c r="AB234" s="28"/>
      <c r="AC234" s="28"/>
      <c r="AD234" s="28"/>
      <c r="AE234" s="28"/>
      <c r="AF234" s="28"/>
      <c r="AG234" s="28"/>
      <c r="AH234" s="28"/>
      <c r="AI234" s="28"/>
      <c r="AJ234" s="28"/>
      <c r="AK234" s="28"/>
    </row>
    <row r="235" spans="1:37" ht="15.75" customHeight="1" x14ac:dyDescent="0.25">
      <c r="A235" s="90">
        <f t="shared" si="170"/>
        <v>3</v>
      </c>
      <c r="B235" s="676">
        <v>222</v>
      </c>
      <c r="C235" s="38">
        <v>227</v>
      </c>
      <c r="D235" s="65" t="s">
        <v>512</v>
      </c>
      <c r="E235" s="31" t="s">
        <v>513</v>
      </c>
      <c r="F235" s="91">
        <v>1</v>
      </c>
      <c r="G235" s="33" t="s">
        <v>24</v>
      </c>
      <c r="H235" s="33">
        <v>2</v>
      </c>
      <c r="I235" s="33" t="s">
        <v>60</v>
      </c>
      <c r="J235" s="345">
        <v>2500000</v>
      </c>
      <c r="K235" s="40">
        <f t="shared" si="141"/>
        <v>5000000</v>
      </c>
      <c r="L235" s="35">
        <v>2800000</v>
      </c>
      <c r="M235" s="35">
        <f t="shared" si="171"/>
        <v>5600000</v>
      </c>
      <c r="N235" s="35">
        <v>3000000</v>
      </c>
      <c r="O235" s="41">
        <f t="shared" si="172"/>
        <v>6000000</v>
      </c>
      <c r="P235" s="68">
        <f t="shared" si="173"/>
        <v>2766666.6666666665</v>
      </c>
      <c r="Q235" s="68">
        <f t="shared" si="174"/>
        <v>5533333.333333333</v>
      </c>
      <c r="R235" s="68">
        <f t="shared" si="166"/>
        <v>205480.46676563253</v>
      </c>
      <c r="S235" s="69">
        <f t="shared" si="167"/>
        <v>7.4270048228541885E-2</v>
      </c>
      <c r="T235" s="68">
        <f t="shared" si="168"/>
        <v>2800000</v>
      </c>
      <c r="U235" s="68">
        <f t="shared" si="175"/>
        <v>5600000</v>
      </c>
      <c r="V235" s="69">
        <f t="shared" si="169"/>
        <v>7.3385880987725902E-2</v>
      </c>
      <c r="W235" s="78" t="s">
        <v>41</v>
      </c>
      <c r="X235" s="166" t="s">
        <v>42</v>
      </c>
      <c r="Y235" s="81" t="s">
        <v>43</v>
      </c>
      <c r="Z235" s="28"/>
      <c r="AA235" s="28"/>
      <c r="AB235" s="28"/>
      <c r="AC235" s="28"/>
      <c r="AD235" s="28"/>
      <c r="AE235" s="28"/>
      <c r="AF235" s="28"/>
      <c r="AG235" s="28"/>
      <c r="AH235" s="28"/>
      <c r="AI235" s="28"/>
      <c r="AJ235" s="28"/>
      <c r="AK235" s="28"/>
    </row>
    <row r="236" spans="1:37" ht="172.5" customHeight="1" x14ac:dyDescent="0.25">
      <c r="A236" s="90">
        <f t="shared" si="170"/>
        <v>3</v>
      </c>
      <c r="B236" s="676">
        <v>223</v>
      </c>
      <c r="C236" s="38">
        <v>228</v>
      </c>
      <c r="D236" s="65" t="s">
        <v>514</v>
      </c>
      <c r="E236" s="31" t="s">
        <v>208</v>
      </c>
      <c r="F236" s="91">
        <v>50</v>
      </c>
      <c r="G236" s="33" t="s">
        <v>24</v>
      </c>
      <c r="H236" s="33">
        <v>5</v>
      </c>
      <c r="I236" s="33" t="s">
        <v>60</v>
      </c>
      <c r="J236" s="64">
        <f>+(10756*100)/119</f>
        <v>9038.6554621848736</v>
      </c>
      <c r="K236" s="40">
        <f t="shared" si="141"/>
        <v>2259663.8655462181</v>
      </c>
      <c r="L236" s="35">
        <f>+(12017*100)/119</f>
        <v>10098.319327731093</v>
      </c>
      <c r="M236" s="35">
        <f t="shared" si="171"/>
        <v>2524579.8319327733</v>
      </c>
      <c r="N236" s="35">
        <f>+(10900*100)/119</f>
        <v>9159.6638655462193</v>
      </c>
      <c r="O236" s="41">
        <f t="shared" si="172"/>
        <v>2289915.9663865548</v>
      </c>
      <c r="P236" s="68">
        <f t="shared" si="173"/>
        <v>9432.212885154062</v>
      </c>
      <c r="Q236" s="68">
        <f t="shared" si="174"/>
        <v>2358053.2212885153</v>
      </c>
      <c r="R236" s="68">
        <f t="shared" si="166"/>
        <v>473.59202066264169</v>
      </c>
      <c r="S236" s="69">
        <f t="shared" si="167"/>
        <v>5.0210064852125764E-2</v>
      </c>
      <c r="T236" s="68">
        <f t="shared" si="168"/>
        <v>9159.6638655462193</v>
      </c>
      <c r="U236" s="68">
        <f t="shared" si="175"/>
        <v>2289915.9663865548</v>
      </c>
      <c r="V236" s="69">
        <f t="shared" si="169"/>
        <v>5.1704082989774636E-2</v>
      </c>
      <c r="W236" s="78" t="s">
        <v>209</v>
      </c>
      <c r="X236" s="78" t="s">
        <v>210</v>
      </c>
      <c r="Y236" s="79" t="s">
        <v>211</v>
      </c>
      <c r="Z236" s="28"/>
      <c r="AA236" s="28"/>
      <c r="AB236" s="28"/>
      <c r="AC236" s="28"/>
      <c r="AD236" s="28"/>
      <c r="AE236" s="28"/>
      <c r="AF236" s="28"/>
      <c r="AG236" s="28"/>
      <c r="AH236" s="28"/>
      <c r="AI236" s="28"/>
      <c r="AJ236" s="28"/>
      <c r="AK236" s="28"/>
    </row>
    <row r="237" spans="1:37" ht="15.75" customHeight="1" x14ac:dyDescent="0.25">
      <c r="A237" s="90">
        <f t="shared" si="170"/>
        <v>3</v>
      </c>
      <c r="B237" s="676">
        <v>224</v>
      </c>
      <c r="C237" s="38">
        <v>229</v>
      </c>
      <c r="D237" s="65" t="s">
        <v>515</v>
      </c>
      <c r="E237" s="31" t="s">
        <v>516</v>
      </c>
      <c r="F237" s="91">
        <v>200</v>
      </c>
      <c r="G237" s="33" t="s">
        <v>24</v>
      </c>
      <c r="H237" s="33"/>
      <c r="I237" s="33"/>
      <c r="J237" s="64">
        <f>+(9410*100)/119</f>
        <v>7907.5630252100837</v>
      </c>
      <c r="K237" s="34">
        <f>+J237*F237</f>
        <v>1581512.6050420168</v>
      </c>
      <c r="L237" s="282">
        <f>+(9000*5.35%)+9000</f>
        <v>9481.5</v>
      </c>
      <c r="M237" s="58">
        <f>+L237*F237</f>
        <v>1896300</v>
      </c>
      <c r="N237" s="34">
        <f>+(11900*100)/119</f>
        <v>10000</v>
      </c>
      <c r="O237" s="41">
        <f>+N237*F237</f>
        <v>2000000</v>
      </c>
      <c r="P237" s="68">
        <f t="shared" si="173"/>
        <v>9129.6876750700267</v>
      </c>
      <c r="Q237" s="68">
        <f>+P237*F237</f>
        <v>1825937.5350140054</v>
      </c>
      <c r="R237" s="68">
        <f t="shared" si="166"/>
        <v>889.71982756613454</v>
      </c>
      <c r="S237" s="69">
        <f t="shared" si="167"/>
        <v>9.7453479158509132E-2</v>
      </c>
      <c r="T237" s="68">
        <f t="shared" si="168"/>
        <v>9481.5</v>
      </c>
      <c r="U237" s="68">
        <f>+T237*F237</f>
        <v>1896300</v>
      </c>
      <c r="V237" s="69">
        <f t="shared" si="169"/>
        <v>9.3837454787336877E-2</v>
      </c>
      <c r="W237" s="25" t="s">
        <v>446</v>
      </c>
      <c r="X237" s="25" t="s">
        <v>517</v>
      </c>
      <c r="Y237" s="27" t="s">
        <v>447</v>
      </c>
      <c r="Z237" s="28"/>
      <c r="AA237" s="28"/>
      <c r="AB237" s="28"/>
      <c r="AC237" s="28"/>
      <c r="AD237" s="28"/>
      <c r="AE237" s="28"/>
      <c r="AF237" s="28"/>
      <c r="AG237" s="28"/>
      <c r="AH237" s="28"/>
      <c r="AI237" s="28"/>
      <c r="AJ237" s="28"/>
      <c r="AK237" s="28"/>
    </row>
    <row r="238" spans="1:37" ht="15.75" customHeight="1" x14ac:dyDescent="0.25">
      <c r="A238" s="90">
        <f t="shared" si="170"/>
        <v>3</v>
      </c>
      <c r="B238" s="676">
        <v>225</v>
      </c>
      <c r="C238" s="38">
        <v>230</v>
      </c>
      <c r="D238" s="65" t="s">
        <v>518</v>
      </c>
      <c r="E238" s="31" t="s">
        <v>519</v>
      </c>
      <c r="F238" s="91">
        <v>4</v>
      </c>
      <c r="G238" s="33" t="s">
        <v>24</v>
      </c>
      <c r="H238" s="33"/>
      <c r="I238" s="33"/>
      <c r="J238" s="64">
        <f>+(185000*100)/119</f>
        <v>155462.18487394959</v>
      </c>
      <c r="K238" s="34">
        <f t="shared" ref="K238:K245" si="176">+J238*F238</f>
        <v>621848.73949579836</v>
      </c>
      <c r="L238" s="34">
        <f>+(167800*100)/119</f>
        <v>141008.40336134454</v>
      </c>
      <c r="M238" s="58">
        <f t="shared" ref="M238:M245" si="177">+L238*F238</f>
        <v>564033.61344537814</v>
      </c>
      <c r="N238" s="282">
        <f>+(140000*5.35%)+140000</f>
        <v>147490</v>
      </c>
      <c r="O238" s="41">
        <f t="shared" ref="O238:O245" si="178">+N238*F238</f>
        <v>589960</v>
      </c>
      <c r="P238" s="68">
        <f t="shared" si="173"/>
        <v>147986.86274509804</v>
      </c>
      <c r="Q238" s="68">
        <f t="shared" ref="Q238:Q245" si="179">+P238*F238</f>
        <v>591947.45098039217</v>
      </c>
      <c r="R238" s="68">
        <f t="shared" si="166"/>
        <v>5911.1817455920318</v>
      </c>
      <c r="S238" s="69">
        <f t="shared" si="167"/>
        <v>3.9943962835226977E-2</v>
      </c>
      <c r="T238" s="68">
        <f t="shared" si="168"/>
        <v>147490</v>
      </c>
      <c r="U238" s="68">
        <f t="shared" ref="U238:U245" si="180">+T238*F238</f>
        <v>589960</v>
      </c>
      <c r="V238" s="69">
        <f t="shared" si="169"/>
        <v>4.0078525632870239E-2</v>
      </c>
      <c r="W238" s="25" t="s">
        <v>227</v>
      </c>
      <c r="X238" s="25" t="s">
        <v>228</v>
      </c>
      <c r="Y238" s="27" t="s">
        <v>229</v>
      </c>
      <c r="Z238" s="28"/>
      <c r="AA238" s="28"/>
      <c r="AB238" s="28"/>
      <c r="AC238" s="28"/>
      <c r="AD238" s="28"/>
      <c r="AE238" s="28"/>
      <c r="AF238" s="28"/>
      <c r="AG238" s="28"/>
      <c r="AH238" s="28"/>
      <c r="AI238" s="28"/>
      <c r="AJ238" s="28"/>
      <c r="AK238" s="28"/>
    </row>
    <row r="239" spans="1:37" ht="15.75" customHeight="1" x14ac:dyDescent="0.25">
      <c r="A239" s="90">
        <f t="shared" si="170"/>
        <v>3</v>
      </c>
      <c r="B239" s="676">
        <v>226</v>
      </c>
      <c r="C239" s="38">
        <v>231</v>
      </c>
      <c r="D239" s="65" t="s">
        <v>520</v>
      </c>
      <c r="E239" s="31" t="s">
        <v>521</v>
      </c>
      <c r="F239" s="91">
        <v>300</v>
      </c>
      <c r="G239" s="33" t="s">
        <v>24</v>
      </c>
      <c r="H239" s="33"/>
      <c r="I239" s="33"/>
      <c r="J239" s="64">
        <f>+(7021*100)/119</f>
        <v>5900</v>
      </c>
      <c r="K239" s="34">
        <f t="shared" si="176"/>
        <v>1770000</v>
      </c>
      <c r="L239" s="34">
        <f>+(8925*100)/119</f>
        <v>7500</v>
      </c>
      <c r="M239" s="58">
        <f t="shared" si="177"/>
        <v>2250000</v>
      </c>
      <c r="N239" s="34">
        <f>+(5499*100)/119</f>
        <v>4621.0084033613448</v>
      </c>
      <c r="O239" s="41">
        <f t="shared" si="178"/>
        <v>1386302.5210084035</v>
      </c>
      <c r="P239" s="68">
        <f t="shared" si="173"/>
        <v>6007.0028011204486</v>
      </c>
      <c r="Q239" s="68">
        <f t="shared" si="179"/>
        <v>1802100.8403361347</v>
      </c>
      <c r="R239" s="68">
        <f t="shared" si="166"/>
        <v>1177.7762529345205</v>
      </c>
      <c r="S239" s="69">
        <f t="shared" si="167"/>
        <v>0.196067205547971</v>
      </c>
      <c r="T239" s="68">
        <f t="shared" si="168"/>
        <v>5900</v>
      </c>
      <c r="U239" s="68">
        <f t="shared" si="180"/>
        <v>1770000</v>
      </c>
      <c r="V239" s="69">
        <f t="shared" si="169"/>
        <v>0.19962309371771533</v>
      </c>
      <c r="W239" s="25" t="s">
        <v>446</v>
      </c>
      <c r="X239" s="25" t="s">
        <v>447</v>
      </c>
      <c r="Y239" s="27" t="s">
        <v>448</v>
      </c>
      <c r="Z239" s="28"/>
      <c r="AA239" s="28"/>
      <c r="AB239" s="28"/>
      <c r="AC239" s="28"/>
      <c r="AD239" s="28"/>
      <c r="AE239" s="28"/>
      <c r="AF239" s="28"/>
      <c r="AG239" s="28"/>
      <c r="AH239" s="28"/>
      <c r="AI239" s="28"/>
      <c r="AJ239" s="28"/>
      <c r="AK239" s="28"/>
    </row>
    <row r="240" spans="1:37" ht="31.5" customHeight="1" x14ac:dyDescent="0.25">
      <c r="A240" s="90">
        <f t="shared" si="170"/>
        <v>3</v>
      </c>
      <c r="B240" s="676">
        <v>227</v>
      </c>
      <c r="C240" s="38">
        <v>232</v>
      </c>
      <c r="D240" s="65" t="s">
        <v>522</v>
      </c>
      <c r="E240" s="31" t="s">
        <v>523</v>
      </c>
      <c r="F240" s="91">
        <v>20</v>
      </c>
      <c r="G240" s="33" t="s">
        <v>24</v>
      </c>
      <c r="H240" s="33"/>
      <c r="I240" s="33"/>
      <c r="J240" s="64">
        <f>+(33100*100)/119</f>
        <v>27815.126050420167</v>
      </c>
      <c r="K240" s="34">
        <f t="shared" si="176"/>
        <v>556302.52100840339</v>
      </c>
      <c r="L240" s="34">
        <f>+(34900*100)/119</f>
        <v>29327.731092436974</v>
      </c>
      <c r="M240" s="58">
        <f t="shared" si="177"/>
        <v>586554.62184873945</v>
      </c>
      <c r="N240" s="34">
        <f>+(39900*100)/119</f>
        <v>33529.411764705881</v>
      </c>
      <c r="O240" s="41">
        <f t="shared" si="178"/>
        <v>670588.23529411759</v>
      </c>
      <c r="P240" s="68">
        <f t="shared" si="173"/>
        <v>30224.089635854343</v>
      </c>
      <c r="Q240" s="68">
        <f t="shared" si="179"/>
        <v>604481.79271708685</v>
      </c>
      <c r="R240" s="68">
        <f t="shared" si="166"/>
        <v>2417.4172560662651</v>
      </c>
      <c r="S240" s="69">
        <f t="shared" si="167"/>
        <v>7.998312886150663E-2</v>
      </c>
      <c r="T240" s="68">
        <f t="shared" si="168"/>
        <v>29327.731092436974</v>
      </c>
      <c r="U240" s="68">
        <f t="shared" si="180"/>
        <v>586554.62184873945</v>
      </c>
      <c r="V240" s="69">
        <f t="shared" si="169"/>
        <v>8.2427694404551735E-2</v>
      </c>
      <c r="W240" s="346" t="s">
        <v>524</v>
      </c>
      <c r="X240" s="347" t="s">
        <v>525</v>
      </c>
      <c r="Y240" s="348" t="s">
        <v>526</v>
      </c>
      <c r="Z240" s="28"/>
      <c r="AA240" s="28"/>
      <c r="AB240" s="28"/>
      <c r="AC240" s="28"/>
      <c r="AD240" s="28"/>
      <c r="AE240" s="28"/>
      <c r="AF240" s="28"/>
      <c r="AG240" s="28"/>
      <c r="AH240" s="28"/>
      <c r="AI240" s="28"/>
      <c r="AJ240" s="28"/>
      <c r="AK240" s="28"/>
    </row>
    <row r="241" spans="1:37" ht="15.75" customHeight="1" x14ac:dyDescent="0.25">
      <c r="A241" s="90">
        <f t="shared" si="170"/>
        <v>3</v>
      </c>
      <c r="B241" s="676">
        <v>228</v>
      </c>
      <c r="C241" s="38">
        <v>233</v>
      </c>
      <c r="D241" s="65" t="s">
        <v>527</v>
      </c>
      <c r="E241" s="31" t="s">
        <v>528</v>
      </c>
      <c r="F241" s="91">
        <v>50</v>
      </c>
      <c r="G241" s="33" t="s">
        <v>24</v>
      </c>
      <c r="H241" s="33"/>
      <c r="I241" s="33"/>
      <c r="J241" s="349">
        <v>1261</v>
      </c>
      <c r="K241" s="34">
        <f t="shared" si="176"/>
        <v>63050</v>
      </c>
      <c r="L241" s="80">
        <v>1008</v>
      </c>
      <c r="M241" s="58">
        <f t="shared" si="177"/>
        <v>50400</v>
      </c>
      <c r="N241" s="80">
        <v>840</v>
      </c>
      <c r="O241" s="41">
        <f t="shared" si="178"/>
        <v>42000</v>
      </c>
      <c r="P241" s="68">
        <f t="shared" si="173"/>
        <v>1036.3333333333333</v>
      </c>
      <c r="Q241" s="68">
        <f t="shared" si="179"/>
        <v>51816.666666666664</v>
      </c>
      <c r="R241" s="68">
        <f t="shared" si="166"/>
        <v>173.03628392783855</v>
      </c>
      <c r="S241" s="69">
        <f t="shared" si="167"/>
        <v>0.1669697175244502</v>
      </c>
      <c r="T241" s="68">
        <f t="shared" si="168"/>
        <v>1008</v>
      </c>
      <c r="U241" s="68">
        <f t="shared" si="180"/>
        <v>50400</v>
      </c>
      <c r="V241" s="69">
        <f t="shared" si="169"/>
        <v>0.17166298008714143</v>
      </c>
      <c r="W241" s="86" t="s">
        <v>529</v>
      </c>
      <c r="X241" s="86" t="s">
        <v>530</v>
      </c>
      <c r="Y241" s="53" t="s">
        <v>531</v>
      </c>
      <c r="Z241" s="28"/>
      <c r="AA241" s="28"/>
      <c r="AB241" s="28"/>
      <c r="AC241" s="28"/>
      <c r="AD241" s="28"/>
      <c r="AE241" s="28"/>
      <c r="AF241" s="28"/>
      <c r="AG241" s="28"/>
      <c r="AH241" s="28"/>
      <c r="AI241" s="28"/>
      <c r="AJ241" s="28"/>
      <c r="AK241" s="28"/>
    </row>
    <row r="242" spans="1:37" ht="151.15" customHeight="1" x14ac:dyDescent="0.25">
      <c r="A242" s="90">
        <f t="shared" si="170"/>
        <v>3</v>
      </c>
      <c r="B242" s="676">
        <v>229</v>
      </c>
      <c r="C242" s="38">
        <v>234</v>
      </c>
      <c r="D242" s="350" t="s">
        <v>532</v>
      </c>
      <c r="E242" s="218" t="s">
        <v>533</v>
      </c>
      <c r="F242" s="33">
        <v>5</v>
      </c>
      <c r="G242" s="33" t="s">
        <v>24</v>
      </c>
      <c r="H242" s="33"/>
      <c r="I242" s="33"/>
      <c r="J242" s="228">
        <v>4210526</v>
      </c>
      <c r="K242" s="64">
        <f t="shared" si="176"/>
        <v>21052630</v>
      </c>
      <c r="L242" s="334">
        <v>4210526</v>
      </c>
      <c r="M242" s="217">
        <f t="shared" si="177"/>
        <v>21052630</v>
      </c>
      <c r="N242" s="334">
        <v>4210526</v>
      </c>
      <c r="O242" s="35">
        <f t="shared" si="178"/>
        <v>21052630</v>
      </c>
      <c r="P242" s="68">
        <f t="shared" si="173"/>
        <v>4210526</v>
      </c>
      <c r="Q242" s="163">
        <f t="shared" si="179"/>
        <v>21052630</v>
      </c>
      <c r="R242" s="68">
        <f t="shared" si="166"/>
        <v>0</v>
      </c>
      <c r="S242" s="69">
        <f t="shared" si="167"/>
        <v>0</v>
      </c>
      <c r="T242" s="68">
        <f t="shared" si="168"/>
        <v>4210526</v>
      </c>
      <c r="U242" s="163">
        <f t="shared" si="180"/>
        <v>21052630</v>
      </c>
      <c r="V242" s="69">
        <f t="shared" si="169"/>
        <v>0</v>
      </c>
      <c r="W242" s="57" t="s">
        <v>41</v>
      </c>
      <c r="X242" s="268" t="s">
        <v>42</v>
      </c>
      <c r="Y242" s="27" t="s">
        <v>43</v>
      </c>
      <c r="Z242" s="28"/>
      <c r="AA242" s="28"/>
      <c r="AB242" s="28"/>
      <c r="AC242" s="28"/>
      <c r="AD242" s="28"/>
      <c r="AE242" s="28"/>
      <c r="AF242" s="28"/>
      <c r="AG242" s="28"/>
      <c r="AH242" s="28"/>
      <c r="AI242" s="28"/>
      <c r="AJ242" s="28"/>
      <c r="AK242" s="28"/>
    </row>
    <row r="243" spans="1:37" ht="153" customHeight="1" x14ac:dyDescent="0.25">
      <c r="A243" s="90">
        <f t="shared" si="170"/>
        <v>3</v>
      </c>
      <c r="B243" s="676">
        <v>230</v>
      </c>
      <c r="C243" s="38">
        <v>235</v>
      </c>
      <c r="D243" s="350" t="s">
        <v>534</v>
      </c>
      <c r="E243" s="218" t="s">
        <v>535</v>
      </c>
      <c r="F243" s="33">
        <v>4</v>
      </c>
      <c r="G243" s="33" t="s">
        <v>24</v>
      </c>
      <c r="H243" s="33"/>
      <c r="I243" s="33"/>
      <c r="J243" s="228">
        <v>3157895</v>
      </c>
      <c r="K243" s="64">
        <f t="shared" si="176"/>
        <v>12631580</v>
      </c>
      <c r="L243" s="228">
        <v>3157895</v>
      </c>
      <c r="M243" s="217">
        <f t="shared" si="177"/>
        <v>12631580</v>
      </c>
      <c r="N243" s="228">
        <v>3157895</v>
      </c>
      <c r="O243" s="35">
        <f t="shared" si="178"/>
        <v>12631580</v>
      </c>
      <c r="P243" s="68">
        <f t="shared" si="173"/>
        <v>3157895</v>
      </c>
      <c r="Q243" s="163">
        <f t="shared" si="179"/>
        <v>12631580</v>
      </c>
      <c r="R243" s="68">
        <f t="shared" si="166"/>
        <v>0</v>
      </c>
      <c r="S243" s="69">
        <f t="shared" si="167"/>
        <v>0</v>
      </c>
      <c r="T243" s="68">
        <f t="shared" si="168"/>
        <v>3157895</v>
      </c>
      <c r="U243" s="163">
        <f t="shared" si="180"/>
        <v>12631580</v>
      </c>
      <c r="V243" s="69">
        <f t="shared" si="169"/>
        <v>0</v>
      </c>
      <c r="W243" s="57" t="s">
        <v>41</v>
      </c>
      <c r="X243" s="268" t="s">
        <v>42</v>
      </c>
      <c r="Y243" s="27" t="s">
        <v>43</v>
      </c>
      <c r="Z243" s="28"/>
      <c r="AA243" s="28"/>
      <c r="AB243" s="28"/>
      <c r="AC243" s="28"/>
      <c r="AD243" s="28"/>
      <c r="AE243" s="28"/>
      <c r="AF243" s="28"/>
      <c r="AG243" s="28"/>
      <c r="AH243" s="28"/>
      <c r="AI243" s="28"/>
      <c r="AJ243" s="28"/>
      <c r="AK243" s="28"/>
    </row>
    <row r="244" spans="1:37" ht="206.65" customHeight="1" x14ac:dyDescent="0.25">
      <c r="A244" s="90">
        <f t="shared" si="170"/>
        <v>3</v>
      </c>
      <c r="B244" s="676">
        <v>231</v>
      </c>
      <c r="C244" s="38">
        <v>236</v>
      </c>
      <c r="D244" s="350" t="s">
        <v>536</v>
      </c>
      <c r="E244" s="218" t="s">
        <v>537</v>
      </c>
      <c r="F244" s="33">
        <v>3</v>
      </c>
      <c r="G244" s="33" t="s">
        <v>24</v>
      </c>
      <c r="H244" s="33"/>
      <c r="I244" s="33"/>
      <c r="J244" s="228">
        <v>2105263</v>
      </c>
      <c r="K244" s="64">
        <f t="shared" si="176"/>
        <v>6315789</v>
      </c>
      <c r="L244" s="228">
        <v>2105263</v>
      </c>
      <c r="M244" s="217">
        <f t="shared" si="177"/>
        <v>6315789</v>
      </c>
      <c r="N244" s="228">
        <v>2105263</v>
      </c>
      <c r="O244" s="35">
        <f t="shared" si="178"/>
        <v>6315789</v>
      </c>
      <c r="P244" s="68">
        <f t="shared" si="173"/>
        <v>2105263</v>
      </c>
      <c r="Q244" s="163">
        <f t="shared" si="179"/>
        <v>6315789</v>
      </c>
      <c r="R244" s="68">
        <f t="shared" si="166"/>
        <v>0</v>
      </c>
      <c r="S244" s="69">
        <f t="shared" si="167"/>
        <v>0</v>
      </c>
      <c r="T244" s="68">
        <f t="shared" si="168"/>
        <v>2105263</v>
      </c>
      <c r="U244" s="163">
        <f t="shared" si="180"/>
        <v>6315789</v>
      </c>
      <c r="V244" s="69">
        <f t="shared" si="169"/>
        <v>0</v>
      </c>
      <c r="W244" s="57" t="s">
        <v>41</v>
      </c>
      <c r="X244" s="268" t="s">
        <v>42</v>
      </c>
      <c r="Y244" s="27" t="s">
        <v>43</v>
      </c>
      <c r="Z244" s="28" t="s">
        <v>205</v>
      </c>
      <c r="AA244" s="28" t="s">
        <v>206</v>
      </c>
      <c r="AB244" s="28"/>
      <c r="AC244" s="28"/>
      <c r="AD244" s="28"/>
      <c r="AE244" s="28"/>
      <c r="AF244" s="28"/>
      <c r="AG244" s="28"/>
      <c r="AH244" s="28"/>
      <c r="AI244" s="28"/>
      <c r="AJ244" s="28"/>
      <c r="AK244" s="28"/>
    </row>
    <row r="245" spans="1:37" ht="117.6" customHeight="1" x14ac:dyDescent="0.25">
      <c r="A245" s="90">
        <f t="shared" si="170"/>
        <v>3</v>
      </c>
      <c r="B245" s="676">
        <v>232</v>
      </c>
      <c r="C245" s="38">
        <v>237</v>
      </c>
      <c r="D245" s="350" t="s">
        <v>538</v>
      </c>
      <c r="E245" s="27" t="s">
        <v>539</v>
      </c>
      <c r="F245" s="33">
        <v>15</v>
      </c>
      <c r="G245" s="33" t="s">
        <v>24</v>
      </c>
      <c r="H245" s="33"/>
      <c r="I245" s="33"/>
      <c r="J245" s="64">
        <v>368421</v>
      </c>
      <c r="K245" s="64">
        <f t="shared" si="176"/>
        <v>5526315</v>
      </c>
      <c r="L245" s="64">
        <v>368421</v>
      </c>
      <c r="M245" s="217">
        <f t="shared" si="177"/>
        <v>5526315</v>
      </c>
      <c r="N245" s="64">
        <v>368421</v>
      </c>
      <c r="O245" s="35">
        <f t="shared" si="178"/>
        <v>5526315</v>
      </c>
      <c r="P245" s="68">
        <f t="shared" si="173"/>
        <v>368421</v>
      </c>
      <c r="Q245" s="163">
        <f t="shared" si="179"/>
        <v>5526315</v>
      </c>
      <c r="R245" s="68">
        <f t="shared" si="166"/>
        <v>0</v>
      </c>
      <c r="S245" s="69">
        <f t="shared" si="167"/>
        <v>0</v>
      </c>
      <c r="T245" s="68">
        <f t="shared" si="168"/>
        <v>368421</v>
      </c>
      <c r="U245" s="163">
        <f t="shared" si="180"/>
        <v>5526315</v>
      </c>
      <c r="V245" s="69">
        <f t="shared" si="169"/>
        <v>0</v>
      </c>
      <c r="W245" s="57" t="s">
        <v>41</v>
      </c>
      <c r="X245" s="268" t="s">
        <v>42</v>
      </c>
      <c r="Y245" s="27" t="s">
        <v>43</v>
      </c>
      <c r="Z245" s="236">
        <f>SUM(Q230:Q245)</f>
        <v>143839497.83008403</v>
      </c>
      <c r="AA245" s="237">
        <f>SUM(U230:U245)</f>
        <v>143581505.70049298</v>
      </c>
      <c r="AB245" s="28"/>
      <c r="AC245" s="28"/>
      <c r="AD245" s="28"/>
      <c r="AE245" s="28"/>
      <c r="AF245" s="28"/>
      <c r="AG245" s="28"/>
      <c r="AH245" s="28"/>
      <c r="AI245" s="28"/>
      <c r="AJ245" s="28"/>
      <c r="AK245" s="28"/>
    </row>
    <row r="246" spans="1:37" ht="46.15" customHeight="1" x14ac:dyDescent="0.25">
      <c r="A246" s="351"/>
      <c r="B246" s="351"/>
      <c r="C246" s="351"/>
      <c r="D246" s="351"/>
      <c r="E246" s="351" t="s">
        <v>1077</v>
      </c>
      <c r="F246" s="222"/>
      <c r="G246" s="222"/>
      <c r="H246" s="222"/>
      <c r="I246" s="222"/>
      <c r="J246" s="222"/>
      <c r="K246" s="222"/>
      <c r="L246" s="222"/>
      <c r="M246" s="222"/>
      <c r="N246" s="222"/>
      <c r="O246" s="222"/>
      <c r="P246" s="222"/>
      <c r="Q246" s="222"/>
      <c r="R246" s="222"/>
      <c r="S246" s="222"/>
      <c r="T246" s="222"/>
      <c r="U246" s="222"/>
      <c r="V246" s="222"/>
      <c r="W246" s="222"/>
      <c r="X246" s="222"/>
      <c r="Y246" s="222"/>
      <c r="Z246" s="28"/>
      <c r="AA246" s="28"/>
      <c r="AB246" s="28"/>
      <c r="AC246" s="28"/>
      <c r="AD246" s="28"/>
      <c r="AE246" s="28"/>
      <c r="AF246" s="28"/>
      <c r="AG246" s="28"/>
      <c r="AH246" s="28"/>
      <c r="AI246" s="28"/>
      <c r="AJ246" s="28"/>
      <c r="AK246" s="28"/>
    </row>
    <row r="247" spans="1:37" ht="47.25" customHeight="1" x14ac:dyDescent="0.25">
      <c r="A247" s="13">
        <f t="shared" si="170"/>
        <v>3</v>
      </c>
      <c r="B247" s="675">
        <v>233</v>
      </c>
      <c r="C247" s="38">
        <v>238</v>
      </c>
      <c r="D247" s="65" t="s">
        <v>306</v>
      </c>
      <c r="E247" s="31" t="s">
        <v>540</v>
      </c>
      <c r="F247" s="66">
        <v>1</v>
      </c>
      <c r="G247" s="32" t="s">
        <v>24</v>
      </c>
      <c r="H247" s="33">
        <v>1</v>
      </c>
      <c r="I247" s="33" t="s">
        <v>94</v>
      </c>
      <c r="J247" s="34">
        <v>450000</v>
      </c>
      <c r="K247" s="34">
        <f t="shared" ref="K247:K284" si="181">+J247*F247*H247</f>
        <v>450000</v>
      </c>
      <c r="L247" s="34">
        <v>504000</v>
      </c>
      <c r="M247" s="58">
        <f t="shared" si="171"/>
        <v>504000</v>
      </c>
      <c r="N247" s="80">
        <v>531000</v>
      </c>
      <c r="O247" s="41">
        <f t="shared" ref="O247:O282" si="182">+N247*H247*F247</f>
        <v>531000</v>
      </c>
      <c r="P247" s="68">
        <f t="shared" si="173"/>
        <v>495000</v>
      </c>
      <c r="Q247" s="68">
        <f t="shared" si="174"/>
        <v>495000</v>
      </c>
      <c r="R247" s="68">
        <f t="shared" si="166"/>
        <v>33674.916480965476</v>
      </c>
      <c r="S247" s="69">
        <f t="shared" si="167"/>
        <v>6.8030134304980755E-2</v>
      </c>
      <c r="T247" s="68">
        <f t="shared" si="168"/>
        <v>504000</v>
      </c>
      <c r="U247" s="68">
        <f t="shared" si="175"/>
        <v>504000</v>
      </c>
      <c r="V247" s="69">
        <f t="shared" si="169"/>
        <v>6.6815310478106099E-2</v>
      </c>
      <c r="W247" s="25" t="s">
        <v>41</v>
      </c>
      <c r="X247" s="25" t="s">
        <v>42</v>
      </c>
      <c r="Y247" s="81" t="s">
        <v>43</v>
      </c>
      <c r="Z247" s="28"/>
      <c r="AA247" s="28"/>
      <c r="AB247" s="28"/>
      <c r="AC247" s="28"/>
      <c r="AD247" s="28"/>
      <c r="AE247" s="28"/>
      <c r="AF247" s="28"/>
      <c r="AG247" s="28"/>
      <c r="AH247" s="28"/>
      <c r="AI247" s="28"/>
      <c r="AJ247" s="28"/>
      <c r="AK247" s="28"/>
    </row>
    <row r="248" spans="1:37" ht="63" customHeight="1" x14ac:dyDescent="0.25">
      <c r="A248" s="13">
        <f t="shared" si="170"/>
        <v>3</v>
      </c>
      <c r="B248" s="675">
        <v>234</v>
      </c>
      <c r="C248" s="38">
        <v>239</v>
      </c>
      <c r="D248" s="65" t="s">
        <v>141</v>
      </c>
      <c r="E248" s="281" t="s">
        <v>541</v>
      </c>
      <c r="F248" s="66">
        <v>1</v>
      </c>
      <c r="G248" s="32" t="s">
        <v>24</v>
      </c>
      <c r="H248" s="33">
        <v>1</v>
      </c>
      <c r="I248" s="33" t="s">
        <v>94</v>
      </c>
      <c r="J248" s="34">
        <f>+(6902000*100)/119</f>
        <v>5800000</v>
      </c>
      <c r="K248" s="34">
        <f t="shared" si="181"/>
        <v>5800000</v>
      </c>
      <c r="L248" s="43">
        <f>+(3391500*100)/119</f>
        <v>2850000</v>
      </c>
      <c r="M248" s="147">
        <f t="shared" si="171"/>
        <v>2850000</v>
      </c>
      <c r="N248" s="43">
        <v>5800000</v>
      </c>
      <c r="O248" s="41">
        <f t="shared" si="182"/>
        <v>5800000</v>
      </c>
      <c r="P248" s="68">
        <f t="shared" si="173"/>
        <v>4816666.666666667</v>
      </c>
      <c r="Q248" s="68">
        <f t="shared" si="174"/>
        <v>4816666.666666667</v>
      </c>
      <c r="R248" s="68">
        <f t="shared" si="166"/>
        <v>1390643.3363335435</v>
      </c>
      <c r="S248" s="69">
        <f t="shared" si="167"/>
        <v>0.28871487951561453</v>
      </c>
      <c r="T248" s="68">
        <f t="shared" si="168"/>
        <v>5800000</v>
      </c>
      <c r="U248" s="68">
        <f t="shared" si="175"/>
        <v>5800000</v>
      </c>
      <c r="V248" s="69">
        <f t="shared" si="169"/>
        <v>0.2397660924713006</v>
      </c>
      <c r="W248" s="77" t="s">
        <v>143</v>
      </c>
      <c r="X248" s="25" t="s">
        <v>42</v>
      </c>
      <c r="Y248" s="352" t="s">
        <v>41</v>
      </c>
      <c r="Z248" s="28"/>
      <c r="AA248" s="28"/>
      <c r="AB248" s="28"/>
      <c r="AC248" s="28"/>
      <c r="AD248" s="28"/>
      <c r="AE248" s="28"/>
      <c r="AF248" s="28"/>
      <c r="AG248" s="28"/>
      <c r="AH248" s="28"/>
      <c r="AI248" s="28"/>
      <c r="AJ248" s="28"/>
      <c r="AK248" s="28"/>
    </row>
    <row r="249" spans="1:37" ht="78.75" customHeight="1" x14ac:dyDescent="0.25">
      <c r="A249" s="13">
        <f t="shared" si="170"/>
        <v>3</v>
      </c>
      <c r="B249" s="675">
        <v>235</v>
      </c>
      <c r="C249" s="38">
        <v>240</v>
      </c>
      <c r="D249" s="65" t="s">
        <v>542</v>
      </c>
      <c r="E249" s="281" t="s">
        <v>543</v>
      </c>
      <c r="F249" s="66">
        <v>15</v>
      </c>
      <c r="G249" s="32" t="s">
        <v>24</v>
      </c>
      <c r="H249" s="33">
        <v>1</v>
      </c>
      <c r="I249" s="33" t="s">
        <v>94</v>
      </c>
      <c r="J249" s="282">
        <f>+(25546*5.35%)+25546</f>
        <v>26912.710999999999</v>
      </c>
      <c r="K249" s="40">
        <f>+J249*F249*H249</f>
        <v>403690.66499999998</v>
      </c>
      <c r="L249" s="282">
        <f>+(26085*5.35%)+26085</f>
        <v>27480.547500000001</v>
      </c>
      <c r="M249" s="35">
        <f>+L249*H249*F249</f>
        <v>412208.21250000002</v>
      </c>
      <c r="N249" s="282">
        <f>+(29042*5.35%)+29042</f>
        <v>30595.746999999999</v>
      </c>
      <c r="O249" s="41">
        <f t="shared" si="182"/>
        <v>458936.20500000002</v>
      </c>
      <c r="P249" s="68">
        <f t="shared" si="173"/>
        <v>28329.6685</v>
      </c>
      <c r="Q249" s="68">
        <f t="shared" si="174"/>
        <v>424945.02749999997</v>
      </c>
      <c r="R249" s="68">
        <f t="shared" si="166"/>
        <v>1619.0415680899505</v>
      </c>
      <c r="S249" s="69">
        <f t="shared" si="167"/>
        <v>5.7150035768683653E-2</v>
      </c>
      <c r="T249" s="68">
        <f t="shared" si="168"/>
        <v>27480.547500000001</v>
      </c>
      <c r="U249" s="68">
        <f t="shared" si="175"/>
        <v>412208.21250000002</v>
      </c>
      <c r="V249" s="69">
        <f t="shared" si="169"/>
        <v>5.8915913814670193E-2</v>
      </c>
      <c r="W249" s="100" t="s">
        <v>544</v>
      </c>
      <c r="X249" s="100" t="s">
        <v>316</v>
      </c>
      <c r="Y249" s="100" t="s">
        <v>545</v>
      </c>
      <c r="Z249" s="28"/>
      <c r="AA249" s="28"/>
      <c r="AB249" s="28"/>
      <c r="AC249" s="28"/>
      <c r="AD249" s="28"/>
      <c r="AE249" s="28"/>
      <c r="AF249" s="28"/>
      <c r="AG249" s="28"/>
      <c r="AH249" s="28"/>
      <c r="AI249" s="28"/>
      <c r="AJ249" s="28"/>
      <c r="AK249" s="28"/>
    </row>
    <row r="250" spans="1:37" ht="267.75" customHeight="1" x14ac:dyDescent="0.25">
      <c r="A250" s="13">
        <f t="shared" si="170"/>
        <v>3</v>
      </c>
      <c r="B250" s="675">
        <v>236</v>
      </c>
      <c r="C250" s="38">
        <v>241</v>
      </c>
      <c r="D250" s="65" t="s">
        <v>308</v>
      </c>
      <c r="E250" s="281" t="s">
        <v>309</v>
      </c>
      <c r="F250" s="66">
        <v>2</v>
      </c>
      <c r="G250" s="32" t="s">
        <v>24</v>
      </c>
      <c r="H250" s="33">
        <v>1</v>
      </c>
      <c r="I250" s="33" t="s">
        <v>94</v>
      </c>
      <c r="J250" s="282">
        <f>+(513000*5.35%)+513000</f>
        <v>540445.5</v>
      </c>
      <c r="K250" s="40">
        <f t="shared" si="181"/>
        <v>1080891</v>
      </c>
      <c r="L250" s="282">
        <f>+(523800*5.35%)+523800</f>
        <v>551823.30000000005</v>
      </c>
      <c r="M250" s="35">
        <f t="shared" si="171"/>
        <v>1103646.6000000001</v>
      </c>
      <c r="N250" s="282">
        <f>+(583200*5.35%)+583200</f>
        <v>614401.19999999995</v>
      </c>
      <c r="O250" s="41">
        <f t="shared" si="182"/>
        <v>1228802.3999999999</v>
      </c>
      <c r="P250" s="68">
        <f t="shared" si="173"/>
        <v>568890</v>
      </c>
      <c r="Q250" s="68">
        <f t="shared" si="174"/>
        <v>1137780</v>
      </c>
      <c r="R250" s="68">
        <f t="shared" si="166"/>
        <v>32514.771794678156</v>
      </c>
      <c r="S250" s="69">
        <f t="shared" si="167"/>
        <v>5.7154760664940775E-2</v>
      </c>
      <c r="T250" s="68">
        <f t="shared" si="168"/>
        <v>551823.30000000005</v>
      </c>
      <c r="U250" s="68">
        <f t="shared" si="175"/>
        <v>1103646.6000000001</v>
      </c>
      <c r="V250" s="69">
        <f t="shared" si="169"/>
        <v>5.8922433675196666E-2</v>
      </c>
      <c r="W250" s="47" t="s">
        <v>310</v>
      </c>
      <c r="X250" s="47" t="s">
        <v>311</v>
      </c>
      <c r="Y250" s="48" t="s">
        <v>42</v>
      </c>
      <c r="Z250" s="28"/>
      <c r="AA250" s="28"/>
      <c r="AB250" s="28"/>
      <c r="AC250" s="28"/>
      <c r="AD250" s="28"/>
      <c r="AE250" s="28"/>
      <c r="AF250" s="28"/>
      <c r="AG250" s="28"/>
      <c r="AH250" s="28"/>
      <c r="AI250" s="28"/>
      <c r="AJ250" s="28"/>
      <c r="AK250" s="28"/>
    </row>
    <row r="251" spans="1:37" ht="31.5" customHeight="1" x14ac:dyDescent="0.25">
      <c r="A251" s="13">
        <f t="shared" si="170"/>
        <v>3</v>
      </c>
      <c r="B251" s="675">
        <v>237</v>
      </c>
      <c r="C251" s="38">
        <v>242</v>
      </c>
      <c r="D251" s="65" t="s">
        <v>246</v>
      </c>
      <c r="E251" s="31" t="s">
        <v>546</v>
      </c>
      <c r="F251" s="66">
        <v>3</v>
      </c>
      <c r="G251" s="32" t="s">
        <v>24</v>
      </c>
      <c r="H251" s="33">
        <v>1</v>
      </c>
      <c r="I251" s="33" t="s">
        <v>94</v>
      </c>
      <c r="J251" s="34">
        <f>+(773500*100)/119</f>
        <v>650000</v>
      </c>
      <c r="K251" s="34">
        <f t="shared" si="181"/>
        <v>1950000</v>
      </c>
      <c r="L251" s="43">
        <f>+(535500*100)/119</f>
        <v>450000</v>
      </c>
      <c r="M251" s="147">
        <f t="shared" si="171"/>
        <v>1350000</v>
      </c>
      <c r="N251" s="267">
        <v>406000</v>
      </c>
      <c r="O251" s="41">
        <f t="shared" si="182"/>
        <v>1218000</v>
      </c>
      <c r="P251" s="68">
        <f t="shared" si="173"/>
        <v>502000</v>
      </c>
      <c r="Q251" s="68">
        <f t="shared" si="174"/>
        <v>1506000</v>
      </c>
      <c r="R251" s="68">
        <f t="shared" si="166"/>
        <v>106182.23329101091</v>
      </c>
      <c r="S251" s="69">
        <f t="shared" si="167"/>
        <v>0.2115183930099819</v>
      </c>
      <c r="T251" s="68">
        <f t="shared" si="168"/>
        <v>450000</v>
      </c>
      <c r="U251" s="68">
        <f t="shared" si="175"/>
        <v>1350000</v>
      </c>
      <c r="V251" s="69">
        <f t="shared" si="169"/>
        <v>0.23596051842446869</v>
      </c>
      <c r="W251" s="77" t="s">
        <v>143</v>
      </c>
      <c r="X251" s="270" t="s">
        <v>144</v>
      </c>
      <c r="Y251" s="271" t="s">
        <v>248</v>
      </c>
      <c r="Z251" s="28"/>
      <c r="AA251" s="28"/>
      <c r="AB251" s="28"/>
      <c r="AC251" s="28"/>
      <c r="AD251" s="28"/>
      <c r="AE251" s="28"/>
      <c r="AF251" s="28"/>
      <c r="AG251" s="28"/>
      <c r="AH251" s="28"/>
      <c r="AI251" s="28"/>
      <c r="AJ251" s="28"/>
      <c r="AK251" s="28"/>
    </row>
    <row r="252" spans="1:37" ht="47.25" customHeight="1" x14ac:dyDescent="0.25">
      <c r="A252" s="13">
        <f t="shared" si="170"/>
        <v>3</v>
      </c>
      <c r="B252" s="675">
        <v>238</v>
      </c>
      <c r="C252" s="38">
        <v>243</v>
      </c>
      <c r="D252" s="65" t="s">
        <v>313</v>
      </c>
      <c r="E252" s="31" t="s">
        <v>314</v>
      </c>
      <c r="F252" s="66">
        <v>1</v>
      </c>
      <c r="G252" s="32" t="s">
        <v>24</v>
      </c>
      <c r="H252" s="33">
        <v>1</v>
      </c>
      <c r="I252" s="33" t="s">
        <v>94</v>
      </c>
      <c r="J252" s="282">
        <f>+(902500*5.35%)+902500</f>
        <v>950783.75</v>
      </c>
      <c r="K252" s="120">
        <f>+J252*H252</f>
        <v>950783.75</v>
      </c>
      <c r="L252" s="122">
        <f>+(921500*5.35%)+921500</f>
        <v>970800.25</v>
      </c>
      <c r="M252" s="35">
        <f t="shared" si="171"/>
        <v>970800.25</v>
      </c>
      <c r="N252" s="122">
        <f>+(10260005.35%)+1026000</f>
        <v>1128600.0534999999</v>
      </c>
      <c r="O252" s="41">
        <f t="shared" si="182"/>
        <v>1128600.0534999999</v>
      </c>
      <c r="P252" s="68">
        <f t="shared" si="173"/>
        <v>1016728.0178333333</v>
      </c>
      <c r="Q252" s="68">
        <f t="shared" si="174"/>
        <v>1016728.0178333333</v>
      </c>
      <c r="R252" s="68">
        <f t="shared" si="166"/>
        <v>79526.428903501204</v>
      </c>
      <c r="S252" s="69">
        <f t="shared" si="167"/>
        <v>7.821799685718657E-2</v>
      </c>
      <c r="T252" s="68">
        <f t="shared" si="168"/>
        <v>970800.25</v>
      </c>
      <c r="U252" s="68">
        <f t="shared" si="175"/>
        <v>970800.25</v>
      </c>
      <c r="V252" s="69">
        <f t="shared" si="169"/>
        <v>8.1918426477023673E-2</v>
      </c>
      <c r="W252" s="283" t="s">
        <v>315</v>
      </c>
      <c r="X252" s="284" t="s">
        <v>316</v>
      </c>
      <c r="Y252" s="283" t="s">
        <v>42</v>
      </c>
      <c r="Z252" s="28"/>
      <c r="AA252" s="28"/>
      <c r="AB252" s="28"/>
      <c r="AC252" s="28"/>
      <c r="AD252" s="28"/>
      <c r="AE252" s="28"/>
      <c r="AF252" s="28"/>
      <c r="AG252" s="28"/>
      <c r="AH252" s="28"/>
      <c r="AI252" s="28"/>
      <c r="AJ252" s="28"/>
      <c r="AK252" s="28"/>
    </row>
    <row r="253" spans="1:37" ht="87.75" customHeight="1" x14ac:dyDescent="0.25">
      <c r="A253" s="13">
        <f t="shared" si="170"/>
        <v>3</v>
      </c>
      <c r="B253" s="675">
        <v>239</v>
      </c>
      <c r="C253" s="38">
        <v>244</v>
      </c>
      <c r="D253" s="65" t="s">
        <v>291</v>
      </c>
      <c r="E253" s="31" t="s">
        <v>547</v>
      </c>
      <c r="F253" s="66">
        <v>1</v>
      </c>
      <c r="G253" s="32" t="s">
        <v>24</v>
      </c>
      <c r="H253" s="33">
        <v>1</v>
      </c>
      <c r="I253" s="33" t="s">
        <v>94</v>
      </c>
      <c r="J253" s="34">
        <v>9200000</v>
      </c>
      <c r="K253" s="34">
        <f t="shared" si="181"/>
        <v>9200000</v>
      </c>
      <c r="L253" s="34">
        <v>10300000</v>
      </c>
      <c r="M253" s="58">
        <f t="shared" si="171"/>
        <v>10300000</v>
      </c>
      <c r="N253" s="34">
        <v>10900000</v>
      </c>
      <c r="O253" s="41">
        <f t="shared" si="182"/>
        <v>10900000</v>
      </c>
      <c r="P253" s="68">
        <f t="shared" si="173"/>
        <v>10133333.333333334</v>
      </c>
      <c r="Q253" s="68">
        <f t="shared" si="174"/>
        <v>10133333.333333334</v>
      </c>
      <c r="R253" s="68">
        <f t="shared" si="166"/>
        <v>703957.06939809595</v>
      </c>
      <c r="S253" s="69">
        <f t="shared" si="167"/>
        <v>6.9469447637969986E-2</v>
      </c>
      <c r="T253" s="68">
        <f t="shared" si="168"/>
        <v>10300000</v>
      </c>
      <c r="U253" s="68">
        <f t="shared" si="175"/>
        <v>10300000</v>
      </c>
      <c r="V253" s="69">
        <f t="shared" si="169"/>
        <v>6.8345346543504465E-2</v>
      </c>
      <c r="W253" s="33" t="s">
        <v>41</v>
      </c>
      <c r="X253" s="254" t="s">
        <v>42</v>
      </c>
      <c r="Y253" s="286" t="s">
        <v>43</v>
      </c>
      <c r="Z253" s="28"/>
      <c r="AA253" s="28"/>
      <c r="AB253" s="28"/>
      <c r="AC253" s="28"/>
      <c r="AD253" s="28"/>
      <c r="AE253" s="28"/>
      <c r="AF253" s="28"/>
      <c r="AG253" s="28"/>
      <c r="AH253" s="28"/>
      <c r="AI253" s="28"/>
      <c r="AJ253" s="28"/>
      <c r="AK253" s="28"/>
    </row>
    <row r="254" spans="1:37" ht="93" customHeight="1" x14ac:dyDescent="0.25">
      <c r="A254" s="13">
        <f t="shared" si="170"/>
        <v>3</v>
      </c>
      <c r="B254" s="675">
        <v>240</v>
      </c>
      <c r="C254" s="38">
        <v>245</v>
      </c>
      <c r="D254" s="65" t="s">
        <v>319</v>
      </c>
      <c r="E254" s="31" t="s">
        <v>548</v>
      </c>
      <c r="F254" s="66">
        <v>1</v>
      </c>
      <c r="G254" s="32" t="s">
        <v>24</v>
      </c>
      <c r="H254" s="33">
        <v>1</v>
      </c>
      <c r="I254" s="33" t="s">
        <v>94</v>
      </c>
      <c r="J254" s="34">
        <f>+(2737000*100)/119</f>
        <v>2300000</v>
      </c>
      <c r="K254" s="34">
        <f t="shared" si="181"/>
        <v>2300000</v>
      </c>
      <c r="L254" s="43">
        <f>+(2142000*100)/119</f>
        <v>1800000</v>
      </c>
      <c r="M254" s="147">
        <f t="shared" si="171"/>
        <v>1800000</v>
      </c>
      <c r="N254" s="80">
        <v>2322000</v>
      </c>
      <c r="O254" s="41">
        <f t="shared" si="182"/>
        <v>2322000</v>
      </c>
      <c r="P254" s="68">
        <f t="shared" si="173"/>
        <v>2140666.6666666665</v>
      </c>
      <c r="Q254" s="68">
        <f t="shared" si="174"/>
        <v>2140666.6666666665</v>
      </c>
      <c r="R254" s="68">
        <f t="shared" si="166"/>
        <v>241055.08821751835</v>
      </c>
      <c r="S254" s="69">
        <f t="shared" si="167"/>
        <v>0.11260748437442465</v>
      </c>
      <c r="T254" s="68">
        <f t="shared" si="168"/>
        <v>2300000</v>
      </c>
      <c r="U254" s="68">
        <f t="shared" si="175"/>
        <v>2300000</v>
      </c>
      <c r="V254" s="69">
        <f t="shared" si="169"/>
        <v>0.10480656009457319</v>
      </c>
      <c r="W254" s="33" t="s">
        <v>41</v>
      </c>
      <c r="X254" s="254" t="s">
        <v>42</v>
      </c>
      <c r="Y254" s="286" t="s">
        <v>43</v>
      </c>
      <c r="Z254" s="28"/>
      <c r="AA254" s="28"/>
      <c r="AB254" s="28"/>
      <c r="AC254" s="28"/>
      <c r="AD254" s="28"/>
      <c r="AE254" s="28"/>
      <c r="AF254" s="28"/>
      <c r="AG254" s="28"/>
      <c r="AH254" s="28"/>
      <c r="AI254" s="28"/>
      <c r="AJ254" s="28"/>
      <c r="AK254" s="28"/>
    </row>
    <row r="255" spans="1:37" ht="63" customHeight="1" x14ac:dyDescent="0.25">
      <c r="A255" s="13">
        <f t="shared" si="170"/>
        <v>3</v>
      </c>
      <c r="B255" s="675">
        <v>241</v>
      </c>
      <c r="C255" s="38">
        <v>246</v>
      </c>
      <c r="D255" s="65" t="s">
        <v>134</v>
      </c>
      <c r="E255" s="31" t="s">
        <v>135</v>
      </c>
      <c r="F255" s="66">
        <v>1</v>
      </c>
      <c r="G255" s="32" t="s">
        <v>24</v>
      </c>
      <c r="H255" s="33">
        <v>1</v>
      </c>
      <c r="I255" s="33" t="s">
        <v>94</v>
      </c>
      <c r="J255" s="275">
        <f>+(2975000*100)/119</f>
        <v>2500000</v>
      </c>
      <c r="K255" s="40">
        <f t="shared" si="181"/>
        <v>2500000</v>
      </c>
      <c r="L255" s="132">
        <f>+(3332000*100)/119</f>
        <v>2800000</v>
      </c>
      <c r="M255" s="35">
        <f t="shared" si="171"/>
        <v>2800000</v>
      </c>
      <c r="N255" s="132">
        <f>+(2142000*100)/119</f>
        <v>1800000</v>
      </c>
      <c r="O255" s="41">
        <f t="shared" si="182"/>
        <v>1800000</v>
      </c>
      <c r="P255" s="68">
        <f t="shared" si="173"/>
        <v>2366666.6666666665</v>
      </c>
      <c r="Q255" s="68">
        <f t="shared" si="174"/>
        <v>2366666.6666666665</v>
      </c>
      <c r="R255" s="68">
        <f t="shared" si="166"/>
        <v>418993.50299921783</v>
      </c>
      <c r="S255" s="69">
        <f t="shared" si="167"/>
        <v>0.17703950830952866</v>
      </c>
      <c r="T255" s="68">
        <f t="shared" si="168"/>
        <v>2500000</v>
      </c>
      <c r="U255" s="68">
        <f t="shared" si="175"/>
        <v>2500000</v>
      </c>
      <c r="V255" s="69">
        <f t="shared" si="169"/>
        <v>0.16759740119968713</v>
      </c>
      <c r="W255" s="346" t="s">
        <v>136</v>
      </c>
      <c r="X255" s="346" t="s">
        <v>137</v>
      </c>
      <c r="Y255" s="347" t="s">
        <v>138</v>
      </c>
      <c r="Z255" s="28"/>
      <c r="AA255" s="28"/>
      <c r="AB255" s="28"/>
      <c r="AC255" s="28"/>
      <c r="AD255" s="28"/>
      <c r="AE255" s="28"/>
      <c r="AF255" s="28"/>
      <c r="AG255" s="28"/>
      <c r="AH255" s="28"/>
      <c r="AI255" s="28"/>
      <c r="AJ255" s="28"/>
      <c r="AK255" s="28"/>
    </row>
    <row r="256" spans="1:37" ht="47.25" customHeight="1" x14ac:dyDescent="0.25">
      <c r="A256" s="13">
        <f t="shared" si="170"/>
        <v>3</v>
      </c>
      <c r="B256" s="675">
        <v>242</v>
      </c>
      <c r="C256" s="38">
        <v>247</v>
      </c>
      <c r="D256" s="65" t="s">
        <v>549</v>
      </c>
      <c r="E256" s="31" t="s">
        <v>550</v>
      </c>
      <c r="F256" s="66">
        <v>2</v>
      </c>
      <c r="G256" s="32" t="s">
        <v>24</v>
      </c>
      <c r="H256" s="33">
        <v>1</v>
      </c>
      <c r="I256" s="33" t="s">
        <v>94</v>
      </c>
      <c r="J256" s="80">
        <v>2000000</v>
      </c>
      <c r="K256" s="40">
        <f t="shared" si="181"/>
        <v>4000000</v>
      </c>
      <c r="L256" s="83">
        <v>2200000</v>
      </c>
      <c r="M256" s="35">
        <f t="shared" si="171"/>
        <v>4400000</v>
      </c>
      <c r="N256" s="83">
        <v>2400000</v>
      </c>
      <c r="O256" s="41">
        <f t="shared" si="182"/>
        <v>4800000</v>
      </c>
      <c r="P256" s="68">
        <f t="shared" si="173"/>
        <v>2200000</v>
      </c>
      <c r="Q256" s="68">
        <f t="shared" si="174"/>
        <v>4400000</v>
      </c>
      <c r="R256" s="68">
        <f t="shared" si="166"/>
        <v>163299.31618554521</v>
      </c>
      <c r="S256" s="69">
        <f t="shared" si="167"/>
        <v>7.4226961902520552E-2</v>
      </c>
      <c r="T256" s="68">
        <f t="shared" si="168"/>
        <v>2200000</v>
      </c>
      <c r="U256" s="68">
        <f t="shared" si="175"/>
        <v>4400000</v>
      </c>
      <c r="V256" s="69">
        <f t="shared" si="169"/>
        <v>7.4226961902520552E-2</v>
      </c>
      <c r="W256" s="33" t="s">
        <v>41</v>
      </c>
      <c r="X256" s="254" t="s">
        <v>42</v>
      </c>
      <c r="Y256" s="286" t="s">
        <v>43</v>
      </c>
      <c r="Z256" s="28"/>
      <c r="AA256" s="28"/>
      <c r="AB256" s="28"/>
      <c r="AC256" s="28"/>
      <c r="AD256" s="28"/>
      <c r="AE256" s="28"/>
      <c r="AF256" s="28"/>
      <c r="AG256" s="28"/>
      <c r="AH256" s="28"/>
      <c r="AI256" s="28"/>
      <c r="AJ256" s="28"/>
      <c r="AK256" s="28"/>
    </row>
    <row r="257" spans="1:37" ht="31.5" customHeight="1" x14ac:dyDescent="0.25">
      <c r="A257" s="13">
        <f t="shared" si="170"/>
        <v>3</v>
      </c>
      <c r="B257" s="675">
        <v>243</v>
      </c>
      <c r="C257" s="38">
        <v>248</v>
      </c>
      <c r="D257" s="285" t="s">
        <v>323</v>
      </c>
      <c r="E257" s="31" t="s">
        <v>551</v>
      </c>
      <c r="F257" s="66">
        <v>20</v>
      </c>
      <c r="G257" s="32" t="s">
        <v>24</v>
      </c>
      <c r="H257" s="33">
        <v>1</v>
      </c>
      <c r="I257" s="33" t="s">
        <v>94</v>
      </c>
      <c r="J257" s="34">
        <f>+(62601*100)/119</f>
        <v>52605.882352941175</v>
      </c>
      <c r="K257" s="34">
        <f t="shared" si="181"/>
        <v>1052117.6470588236</v>
      </c>
      <c r="L257" s="34">
        <f>+(113917*100)/119</f>
        <v>95728.571428571435</v>
      </c>
      <c r="M257" s="58">
        <f t="shared" si="171"/>
        <v>1914571.4285714286</v>
      </c>
      <c r="N257" s="34">
        <v>90000</v>
      </c>
      <c r="O257" s="41">
        <f t="shared" si="182"/>
        <v>1800000</v>
      </c>
      <c r="P257" s="68">
        <f t="shared" si="173"/>
        <v>79444.81792717088</v>
      </c>
      <c r="Q257" s="68">
        <f t="shared" si="174"/>
        <v>1588896.3585434176</v>
      </c>
      <c r="R257" s="68">
        <f t="shared" si="166"/>
        <v>19121.549444214321</v>
      </c>
      <c r="S257" s="69">
        <f t="shared" si="167"/>
        <v>0.2406897006390466</v>
      </c>
      <c r="T257" s="68">
        <f t="shared" si="168"/>
        <v>90000</v>
      </c>
      <c r="U257" s="68">
        <f t="shared" si="175"/>
        <v>1800000</v>
      </c>
      <c r="V257" s="69">
        <f t="shared" si="169"/>
        <v>0.21246166049127024</v>
      </c>
      <c r="W257" s="88" t="s">
        <v>552</v>
      </c>
      <c r="X257" s="88" t="s">
        <v>553</v>
      </c>
      <c r="Y257" s="89" t="s">
        <v>65</v>
      </c>
      <c r="Z257" s="28"/>
      <c r="AA257" s="28"/>
      <c r="AB257" s="28"/>
      <c r="AC257" s="28"/>
      <c r="AD257" s="28"/>
      <c r="AE257" s="28"/>
      <c r="AF257" s="28"/>
      <c r="AG257" s="28"/>
      <c r="AH257" s="28"/>
      <c r="AI257" s="28"/>
      <c r="AJ257" s="28"/>
      <c r="AK257" s="28"/>
    </row>
    <row r="258" spans="1:37" ht="200.65" customHeight="1" x14ac:dyDescent="0.25">
      <c r="A258" s="13">
        <f t="shared" si="170"/>
        <v>3</v>
      </c>
      <c r="B258" s="675">
        <v>244</v>
      </c>
      <c r="C258" s="38">
        <v>249</v>
      </c>
      <c r="D258" s="289" t="s">
        <v>554</v>
      </c>
      <c r="E258" s="218" t="s">
        <v>555</v>
      </c>
      <c r="F258" s="32">
        <v>4</v>
      </c>
      <c r="G258" s="32" t="s">
        <v>24</v>
      </c>
      <c r="H258" s="33">
        <v>1</v>
      </c>
      <c r="I258" s="33" t="s">
        <v>94</v>
      </c>
      <c r="J258" s="228">
        <v>4210526</v>
      </c>
      <c r="K258" s="64">
        <f t="shared" ref="K258:K263" si="183">+J258*F258</f>
        <v>16842104</v>
      </c>
      <c r="L258" s="228">
        <v>4210526</v>
      </c>
      <c r="M258" s="217">
        <f t="shared" ref="M258:M263" si="184">+L258*F258</f>
        <v>16842104</v>
      </c>
      <c r="N258" s="228">
        <v>4210526</v>
      </c>
      <c r="O258" s="35">
        <f t="shared" ref="O258:O263" si="185">+N258*F258</f>
        <v>16842104</v>
      </c>
      <c r="P258" s="68">
        <f t="shared" si="173"/>
        <v>4210526</v>
      </c>
      <c r="Q258" s="163">
        <f t="shared" ref="Q258:Q263" si="186">+P258*F258</f>
        <v>16842104</v>
      </c>
      <c r="R258" s="68">
        <f t="shared" si="166"/>
        <v>0</v>
      </c>
      <c r="S258" s="69">
        <f t="shared" si="167"/>
        <v>0</v>
      </c>
      <c r="T258" s="68">
        <f t="shared" si="168"/>
        <v>4210526</v>
      </c>
      <c r="U258" s="163">
        <f t="shared" ref="U258:U263" si="187">+T258*F258</f>
        <v>16842104</v>
      </c>
      <c r="V258" s="69">
        <f t="shared" si="169"/>
        <v>0</v>
      </c>
      <c r="W258" s="57" t="s">
        <v>41</v>
      </c>
      <c r="X258" s="57" t="s">
        <v>42</v>
      </c>
      <c r="Y258" s="28" t="s">
        <v>43</v>
      </c>
      <c r="Z258" s="28"/>
      <c r="AA258" s="28"/>
      <c r="AB258" s="28"/>
      <c r="AC258" s="28"/>
      <c r="AD258" s="28"/>
      <c r="AE258" s="28"/>
      <c r="AF258" s="28"/>
      <c r="AG258" s="28"/>
      <c r="AH258" s="28"/>
      <c r="AI258" s="28"/>
      <c r="AJ258" s="28"/>
      <c r="AK258" s="28"/>
    </row>
    <row r="259" spans="1:37" ht="215.1" customHeight="1" x14ac:dyDescent="0.25">
      <c r="A259" s="13">
        <f t="shared" si="170"/>
        <v>3</v>
      </c>
      <c r="B259" s="675">
        <v>245</v>
      </c>
      <c r="C259" s="38">
        <v>250</v>
      </c>
      <c r="D259" s="289" t="s">
        <v>556</v>
      </c>
      <c r="E259" s="218" t="s">
        <v>557</v>
      </c>
      <c r="F259" s="32">
        <v>2</v>
      </c>
      <c r="G259" s="32" t="s">
        <v>24</v>
      </c>
      <c r="H259" s="33">
        <v>1</v>
      </c>
      <c r="I259" s="33" t="s">
        <v>94</v>
      </c>
      <c r="J259" s="228">
        <v>2105263</v>
      </c>
      <c r="K259" s="64">
        <f t="shared" si="183"/>
        <v>4210526</v>
      </c>
      <c r="L259" s="228">
        <v>2105263</v>
      </c>
      <c r="M259" s="217">
        <f t="shared" si="184"/>
        <v>4210526</v>
      </c>
      <c r="N259" s="228">
        <v>2105263</v>
      </c>
      <c r="O259" s="35">
        <f t="shared" si="185"/>
        <v>4210526</v>
      </c>
      <c r="P259" s="68">
        <f t="shared" si="173"/>
        <v>2105263</v>
      </c>
      <c r="Q259" s="163">
        <f t="shared" si="186"/>
        <v>4210526</v>
      </c>
      <c r="R259" s="68">
        <f t="shared" si="166"/>
        <v>0</v>
      </c>
      <c r="S259" s="69">
        <f t="shared" si="167"/>
        <v>0</v>
      </c>
      <c r="T259" s="68">
        <f t="shared" si="168"/>
        <v>2105263</v>
      </c>
      <c r="U259" s="163">
        <f t="shared" si="187"/>
        <v>4210526</v>
      </c>
      <c r="V259" s="69">
        <f t="shared" si="169"/>
        <v>0</v>
      </c>
      <c r="W259" s="57" t="s">
        <v>41</v>
      </c>
      <c r="X259" s="57" t="s">
        <v>42</v>
      </c>
      <c r="Y259" s="28" t="s">
        <v>43</v>
      </c>
      <c r="Z259" s="28"/>
      <c r="AA259" s="28"/>
      <c r="AB259" s="28"/>
      <c r="AC259" s="28"/>
      <c r="AD259" s="28"/>
      <c r="AE259" s="28"/>
      <c r="AF259" s="28"/>
      <c r="AG259" s="28"/>
      <c r="AH259" s="28"/>
      <c r="AI259" s="28"/>
      <c r="AJ259" s="28"/>
      <c r="AK259" s="28"/>
    </row>
    <row r="260" spans="1:37" ht="207" customHeight="1" x14ac:dyDescent="0.25">
      <c r="A260" s="13">
        <f t="shared" si="170"/>
        <v>3</v>
      </c>
      <c r="B260" s="675">
        <v>246</v>
      </c>
      <c r="C260" s="38">
        <v>251</v>
      </c>
      <c r="D260" s="289" t="s">
        <v>558</v>
      </c>
      <c r="E260" s="218" t="s">
        <v>557</v>
      </c>
      <c r="F260" s="32">
        <v>2</v>
      </c>
      <c r="G260" s="32" t="s">
        <v>24</v>
      </c>
      <c r="H260" s="33">
        <v>1</v>
      </c>
      <c r="I260" s="33" t="s">
        <v>94</v>
      </c>
      <c r="J260" s="228">
        <v>2105263</v>
      </c>
      <c r="K260" s="64">
        <f t="shared" si="183"/>
        <v>4210526</v>
      </c>
      <c r="L260" s="228">
        <v>2105263</v>
      </c>
      <c r="M260" s="217">
        <f t="shared" si="184"/>
        <v>4210526</v>
      </c>
      <c r="N260" s="228">
        <v>2105263</v>
      </c>
      <c r="O260" s="35">
        <f t="shared" si="185"/>
        <v>4210526</v>
      </c>
      <c r="P260" s="68">
        <f t="shared" si="173"/>
        <v>2105263</v>
      </c>
      <c r="Q260" s="163">
        <f t="shared" si="186"/>
        <v>4210526</v>
      </c>
      <c r="R260" s="68">
        <f t="shared" si="166"/>
        <v>0</v>
      </c>
      <c r="S260" s="69">
        <f t="shared" si="167"/>
        <v>0</v>
      </c>
      <c r="T260" s="68">
        <f t="shared" si="168"/>
        <v>2105263</v>
      </c>
      <c r="U260" s="163">
        <f t="shared" si="187"/>
        <v>4210526</v>
      </c>
      <c r="V260" s="69">
        <f t="shared" si="169"/>
        <v>0</v>
      </c>
      <c r="W260" s="57" t="s">
        <v>41</v>
      </c>
      <c r="X260" s="57" t="s">
        <v>42</v>
      </c>
      <c r="Y260" s="28" t="s">
        <v>43</v>
      </c>
      <c r="Z260" s="28"/>
      <c r="AA260" s="28"/>
      <c r="AB260" s="28"/>
      <c r="AC260" s="28"/>
      <c r="AD260" s="28"/>
      <c r="AE260" s="28"/>
      <c r="AF260" s="28"/>
      <c r="AG260" s="28"/>
      <c r="AH260" s="28"/>
      <c r="AI260" s="28"/>
      <c r="AJ260" s="28"/>
      <c r="AK260" s="28"/>
    </row>
    <row r="261" spans="1:37" ht="63" customHeight="1" x14ac:dyDescent="0.25">
      <c r="A261" s="90">
        <f t="shared" si="170"/>
        <v>1</v>
      </c>
      <c r="B261" s="675">
        <v>247</v>
      </c>
      <c r="C261" s="38">
        <v>252</v>
      </c>
      <c r="D261" s="289" t="s">
        <v>336</v>
      </c>
      <c r="E261" s="27" t="s">
        <v>559</v>
      </c>
      <c r="F261" s="33">
        <v>1</v>
      </c>
      <c r="G261" s="33" t="s">
        <v>24</v>
      </c>
      <c r="H261" s="33">
        <v>1</v>
      </c>
      <c r="I261" s="33" t="s">
        <v>94</v>
      </c>
      <c r="J261" s="64">
        <v>30000000</v>
      </c>
      <c r="K261" s="64">
        <f t="shared" si="183"/>
        <v>30000000</v>
      </c>
      <c r="L261" s="64"/>
      <c r="M261" s="217">
        <f t="shared" si="184"/>
        <v>0</v>
      </c>
      <c r="N261" s="64"/>
      <c r="O261" s="35">
        <f t="shared" si="185"/>
        <v>0</v>
      </c>
      <c r="P261" s="68">
        <f t="shared" si="173"/>
        <v>30000000</v>
      </c>
      <c r="Q261" s="163">
        <f t="shared" si="186"/>
        <v>30000000</v>
      </c>
      <c r="R261" s="68">
        <f t="shared" si="166"/>
        <v>0</v>
      </c>
      <c r="S261" s="290">
        <f t="shared" si="167"/>
        <v>0</v>
      </c>
      <c r="T261" s="68">
        <f t="shared" si="168"/>
        <v>30000000</v>
      </c>
      <c r="U261" s="163">
        <f t="shared" si="187"/>
        <v>30000000</v>
      </c>
      <c r="V261" s="290">
        <f t="shared" si="169"/>
        <v>0</v>
      </c>
      <c r="W261" s="77"/>
      <c r="X261" s="77"/>
      <c r="Y261" s="28"/>
      <c r="Z261" s="28"/>
      <c r="AA261" s="28"/>
      <c r="AB261" s="28"/>
      <c r="AC261" s="28"/>
      <c r="AD261" s="28"/>
      <c r="AE261" s="28"/>
      <c r="AF261" s="28"/>
      <c r="AG261" s="28"/>
      <c r="AH261" s="28"/>
      <c r="AI261" s="28"/>
      <c r="AJ261" s="28"/>
      <c r="AK261" s="28"/>
    </row>
    <row r="262" spans="1:37" ht="159" customHeight="1" x14ac:dyDescent="0.25">
      <c r="A262" s="13">
        <f t="shared" si="170"/>
        <v>3</v>
      </c>
      <c r="B262" s="675">
        <v>248</v>
      </c>
      <c r="C262" s="38">
        <v>253</v>
      </c>
      <c r="D262" s="289" t="s">
        <v>338</v>
      </c>
      <c r="E262" s="218" t="s">
        <v>560</v>
      </c>
      <c r="F262" s="32">
        <v>3</v>
      </c>
      <c r="G262" s="32" t="s">
        <v>24</v>
      </c>
      <c r="H262" s="33"/>
      <c r="I262" s="33"/>
      <c r="J262" s="228">
        <v>1052632</v>
      </c>
      <c r="K262" s="64">
        <f t="shared" si="183"/>
        <v>3157896</v>
      </c>
      <c r="L262" s="228">
        <v>1052632</v>
      </c>
      <c r="M262" s="217">
        <f t="shared" si="184"/>
        <v>3157896</v>
      </c>
      <c r="N262" s="228">
        <v>1052632</v>
      </c>
      <c r="O262" s="35">
        <f t="shared" si="185"/>
        <v>3157896</v>
      </c>
      <c r="P262" s="68">
        <f t="shared" si="173"/>
        <v>1052632</v>
      </c>
      <c r="Q262" s="163">
        <f t="shared" si="186"/>
        <v>3157896</v>
      </c>
      <c r="R262" s="68">
        <f t="shared" si="166"/>
        <v>0</v>
      </c>
      <c r="S262" s="69">
        <f t="shared" si="167"/>
        <v>0</v>
      </c>
      <c r="T262" s="68">
        <f t="shared" si="168"/>
        <v>1052632</v>
      </c>
      <c r="U262" s="163">
        <f t="shared" si="187"/>
        <v>3157896</v>
      </c>
      <c r="V262" s="69">
        <f t="shared" si="169"/>
        <v>0</v>
      </c>
      <c r="W262" s="25" t="s">
        <v>41</v>
      </c>
      <c r="X262" s="25" t="s">
        <v>42</v>
      </c>
      <c r="Y262" s="27" t="s">
        <v>43</v>
      </c>
      <c r="Z262" s="28"/>
      <c r="AA262" s="28"/>
      <c r="AB262" s="28"/>
      <c r="AC262" s="28"/>
      <c r="AD262" s="28"/>
      <c r="AE262" s="28"/>
      <c r="AF262" s="28"/>
      <c r="AG262" s="28"/>
      <c r="AH262" s="28"/>
      <c r="AI262" s="28"/>
      <c r="AJ262" s="28"/>
      <c r="AK262" s="28"/>
    </row>
    <row r="263" spans="1:37" ht="143.65" customHeight="1" x14ac:dyDescent="0.25">
      <c r="A263" s="13">
        <f t="shared" si="170"/>
        <v>3</v>
      </c>
      <c r="B263" s="675">
        <v>249</v>
      </c>
      <c r="C263" s="38">
        <v>254</v>
      </c>
      <c r="D263" s="289" t="s">
        <v>340</v>
      </c>
      <c r="E263" s="218" t="s">
        <v>561</v>
      </c>
      <c r="F263" s="32">
        <v>8</v>
      </c>
      <c r="G263" s="32" t="s">
        <v>24</v>
      </c>
      <c r="H263" s="33">
        <v>1</v>
      </c>
      <c r="I263" s="33" t="s">
        <v>491</v>
      </c>
      <c r="J263" s="228">
        <v>105263</v>
      </c>
      <c r="K263" s="64">
        <f t="shared" si="183"/>
        <v>842104</v>
      </c>
      <c r="L263" s="228">
        <v>105263</v>
      </c>
      <c r="M263" s="217">
        <f t="shared" si="184"/>
        <v>842104</v>
      </c>
      <c r="N263" s="228">
        <v>105263</v>
      </c>
      <c r="O263" s="35">
        <f t="shared" si="185"/>
        <v>842104</v>
      </c>
      <c r="P263" s="68">
        <f t="shared" si="173"/>
        <v>105263</v>
      </c>
      <c r="Q263" s="163">
        <f t="shared" si="186"/>
        <v>842104</v>
      </c>
      <c r="R263" s="163">
        <f t="shared" si="166"/>
        <v>0</v>
      </c>
      <c r="S263" s="183">
        <f t="shared" si="167"/>
        <v>0</v>
      </c>
      <c r="T263" s="163">
        <f t="shared" si="168"/>
        <v>105263</v>
      </c>
      <c r="U263" s="163">
        <f t="shared" si="187"/>
        <v>842104</v>
      </c>
      <c r="V263" s="69">
        <f t="shared" si="169"/>
        <v>0</v>
      </c>
      <c r="W263" s="25" t="s">
        <v>41</v>
      </c>
      <c r="X263" s="25" t="s">
        <v>42</v>
      </c>
      <c r="Y263" s="27" t="s">
        <v>43</v>
      </c>
      <c r="Z263" s="28"/>
      <c r="AA263" s="28"/>
      <c r="AB263" s="28"/>
      <c r="AC263" s="28"/>
      <c r="AD263" s="28"/>
      <c r="AE263" s="28"/>
      <c r="AF263" s="28"/>
      <c r="AG263" s="28"/>
      <c r="AH263" s="28"/>
      <c r="AI263" s="28"/>
      <c r="AJ263" s="28"/>
      <c r="AK263" s="28"/>
    </row>
    <row r="264" spans="1:37" ht="47.25" customHeight="1" x14ac:dyDescent="0.25">
      <c r="A264" s="13">
        <f t="shared" si="170"/>
        <v>3</v>
      </c>
      <c r="B264" s="675">
        <v>250</v>
      </c>
      <c r="C264" s="38">
        <v>255</v>
      </c>
      <c r="D264" s="285" t="s">
        <v>562</v>
      </c>
      <c r="E264" s="31" t="s">
        <v>563</v>
      </c>
      <c r="F264" s="66">
        <v>8</v>
      </c>
      <c r="G264" s="32" t="s">
        <v>24</v>
      </c>
      <c r="H264" s="33">
        <v>1</v>
      </c>
      <c r="I264" s="33" t="s">
        <v>94</v>
      </c>
      <c r="J264" s="34">
        <f>+(428400*100)/119</f>
        <v>360000</v>
      </c>
      <c r="K264" s="34">
        <f t="shared" si="181"/>
        <v>2880000</v>
      </c>
      <c r="L264" s="34">
        <f>+(535500*100)/119</f>
        <v>450000</v>
      </c>
      <c r="M264" s="58">
        <f t="shared" ref="M264:M282" si="188">+L264*H264*F264</f>
        <v>3600000</v>
      </c>
      <c r="N264" s="80">
        <v>406000</v>
      </c>
      <c r="O264" s="41">
        <f t="shared" si="182"/>
        <v>3248000</v>
      </c>
      <c r="P264" s="68">
        <f t="shared" si="173"/>
        <v>405333.33333333331</v>
      </c>
      <c r="Q264" s="68">
        <f t="shared" si="174"/>
        <v>3242666.6666666665</v>
      </c>
      <c r="R264" s="68">
        <f t="shared" si="166"/>
        <v>36745.370078721789</v>
      </c>
      <c r="S264" s="69">
        <f t="shared" si="167"/>
        <v>9.0654695917899153E-2</v>
      </c>
      <c r="T264" s="68">
        <f t="shared" si="168"/>
        <v>406000</v>
      </c>
      <c r="U264" s="68">
        <f t="shared" si="175"/>
        <v>3248000</v>
      </c>
      <c r="V264" s="69">
        <f t="shared" si="169"/>
        <v>9.0505837632319674E-2</v>
      </c>
      <c r="W264" s="77" t="s">
        <v>143</v>
      </c>
      <c r="X264" s="270" t="s">
        <v>144</v>
      </c>
      <c r="Y264" s="271" t="s">
        <v>248</v>
      </c>
      <c r="Z264" s="28"/>
      <c r="AA264" s="28"/>
      <c r="AB264" s="28"/>
      <c r="AC264" s="28"/>
      <c r="AD264" s="28"/>
      <c r="AE264" s="28"/>
      <c r="AF264" s="28"/>
      <c r="AG264" s="28"/>
      <c r="AH264" s="28"/>
      <c r="AI264" s="28"/>
      <c r="AJ264" s="28"/>
      <c r="AK264" s="28"/>
    </row>
    <row r="265" spans="1:37" ht="47.25" customHeight="1" x14ac:dyDescent="0.25">
      <c r="A265" s="13">
        <f t="shared" si="170"/>
        <v>3</v>
      </c>
      <c r="B265" s="675">
        <v>251</v>
      </c>
      <c r="C265" s="38">
        <v>256</v>
      </c>
      <c r="D265" s="65" t="s">
        <v>198</v>
      </c>
      <c r="E265" s="31" t="s">
        <v>199</v>
      </c>
      <c r="F265" s="66">
        <v>15</v>
      </c>
      <c r="G265" s="32" t="s">
        <v>24</v>
      </c>
      <c r="H265" s="33">
        <v>1</v>
      </c>
      <c r="I265" s="33" t="s">
        <v>94</v>
      </c>
      <c r="J265" s="275">
        <v>4500</v>
      </c>
      <c r="K265" s="275">
        <f t="shared" si="181"/>
        <v>67500</v>
      </c>
      <c r="L265" s="353">
        <v>5000</v>
      </c>
      <c r="M265" s="354">
        <f t="shared" si="188"/>
        <v>75000</v>
      </c>
      <c r="N265" s="353">
        <v>5000</v>
      </c>
      <c r="O265" s="41">
        <f t="shared" si="182"/>
        <v>75000</v>
      </c>
      <c r="P265" s="68">
        <f t="shared" si="173"/>
        <v>4833.333333333333</v>
      </c>
      <c r="Q265" s="68">
        <f t="shared" si="174"/>
        <v>72500</v>
      </c>
      <c r="R265" s="68">
        <f t="shared" si="166"/>
        <v>235.70226039551585</v>
      </c>
      <c r="S265" s="69">
        <f t="shared" si="167"/>
        <v>4.8765984909417075E-2</v>
      </c>
      <c r="T265" s="68">
        <f t="shared" si="168"/>
        <v>5000</v>
      </c>
      <c r="U265" s="68">
        <f t="shared" si="175"/>
        <v>75000</v>
      </c>
      <c r="V265" s="69">
        <f t="shared" si="169"/>
        <v>4.7140452079103168E-2</v>
      </c>
      <c r="W265" s="33" t="s">
        <v>41</v>
      </c>
      <c r="X265" s="254" t="s">
        <v>42</v>
      </c>
      <c r="Y265" s="286" t="s">
        <v>43</v>
      </c>
      <c r="Z265" s="28"/>
      <c r="AA265" s="28"/>
      <c r="AB265" s="28"/>
      <c r="AC265" s="28"/>
      <c r="AD265" s="28"/>
      <c r="AE265" s="28"/>
      <c r="AF265" s="28"/>
      <c r="AG265" s="28"/>
      <c r="AH265" s="28"/>
      <c r="AI265" s="28"/>
      <c r="AJ265" s="28"/>
      <c r="AK265" s="28"/>
    </row>
    <row r="266" spans="1:37" ht="15.75" customHeight="1" x14ac:dyDescent="0.25">
      <c r="A266" s="13">
        <f t="shared" si="170"/>
        <v>3</v>
      </c>
      <c r="B266" s="675">
        <v>252</v>
      </c>
      <c r="C266" s="38">
        <v>257</v>
      </c>
      <c r="D266" s="65" t="s">
        <v>200</v>
      </c>
      <c r="E266" s="31" t="s">
        <v>564</v>
      </c>
      <c r="F266" s="66">
        <v>7</v>
      </c>
      <c r="G266" s="32" t="s">
        <v>24</v>
      </c>
      <c r="H266" s="33">
        <v>1</v>
      </c>
      <c r="I266" s="33" t="s">
        <v>94</v>
      </c>
      <c r="J266" s="34">
        <f>+(19500*100)/119</f>
        <v>16386.55462184874</v>
      </c>
      <c r="K266" s="40">
        <f t="shared" si="181"/>
        <v>114705.88235294117</v>
      </c>
      <c r="L266" s="35">
        <f>+(17407*100)/119</f>
        <v>14627.731092436974</v>
      </c>
      <c r="M266" s="35">
        <f t="shared" si="188"/>
        <v>102394.11764705883</v>
      </c>
      <c r="N266" s="115">
        <f>+(16650*100)/119</f>
        <v>13991.596638655463</v>
      </c>
      <c r="O266" s="41">
        <f t="shared" si="182"/>
        <v>97941.176470588238</v>
      </c>
      <c r="P266" s="68">
        <f t="shared" si="173"/>
        <v>15001.960784313726</v>
      </c>
      <c r="Q266" s="68">
        <f t="shared" si="174"/>
        <v>105013.72549019608</v>
      </c>
      <c r="R266" s="68">
        <f t="shared" si="166"/>
        <v>1012.913893025769</v>
      </c>
      <c r="S266" s="69">
        <f t="shared" si="167"/>
        <v>6.7518766885785148E-2</v>
      </c>
      <c r="T266" s="68">
        <f t="shared" si="168"/>
        <v>14627.731092436974</v>
      </c>
      <c r="U266" s="68">
        <f t="shared" si="175"/>
        <v>102394.11764705883</v>
      </c>
      <c r="V266" s="69">
        <f t="shared" si="169"/>
        <v>6.9246138490300743E-2</v>
      </c>
      <c r="W266" s="25" t="s">
        <v>202</v>
      </c>
      <c r="X266" s="25" t="s">
        <v>203</v>
      </c>
      <c r="Y266" s="27" t="s">
        <v>204</v>
      </c>
      <c r="Z266" s="28" t="s">
        <v>205</v>
      </c>
      <c r="AA266" s="28" t="s">
        <v>206</v>
      </c>
      <c r="AB266" s="28"/>
      <c r="AC266" s="28"/>
      <c r="AD266" s="28"/>
      <c r="AE266" s="28"/>
      <c r="AF266" s="28"/>
      <c r="AG266" s="28"/>
      <c r="AH266" s="28"/>
      <c r="AI266" s="28"/>
      <c r="AJ266" s="28"/>
      <c r="AK266" s="28"/>
    </row>
    <row r="267" spans="1:37" ht="47.25" customHeight="1" x14ac:dyDescent="0.25">
      <c r="A267" s="13">
        <f t="shared" si="170"/>
        <v>3</v>
      </c>
      <c r="B267" s="675">
        <v>253</v>
      </c>
      <c r="C267" s="38">
        <v>258</v>
      </c>
      <c r="D267" s="65" t="s">
        <v>207</v>
      </c>
      <c r="E267" s="31" t="s">
        <v>208</v>
      </c>
      <c r="F267" s="66">
        <v>150</v>
      </c>
      <c r="G267" s="32" t="s">
        <v>24</v>
      </c>
      <c r="H267" s="33">
        <v>1</v>
      </c>
      <c r="I267" s="33" t="s">
        <v>94</v>
      </c>
      <c r="J267" s="34">
        <f>+(10756*100)/119</f>
        <v>9038.6554621848736</v>
      </c>
      <c r="K267" s="40">
        <f t="shared" si="181"/>
        <v>1355798.3193277312</v>
      </c>
      <c r="L267" s="35">
        <f>+(12017*100)/119</f>
        <v>10098.319327731093</v>
      </c>
      <c r="M267" s="35">
        <f t="shared" si="188"/>
        <v>1514747.8991596638</v>
      </c>
      <c r="N267" s="35">
        <f>+(10900*100)/119</f>
        <v>9159.6638655462193</v>
      </c>
      <c r="O267" s="41">
        <f t="shared" si="182"/>
        <v>1373949.5798319329</v>
      </c>
      <c r="P267" s="68">
        <f t="shared" si="173"/>
        <v>9432.212885154062</v>
      </c>
      <c r="Q267" s="68">
        <f t="shared" si="174"/>
        <v>1414831.9327731093</v>
      </c>
      <c r="R267" s="68">
        <f t="shared" si="166"/>
        <v>473.59202066264169</v>
      </c>
      <c r="S267" s="69">
        <f t="shared" si="167"/>
        <v>5.0210064852125764E-2</v>
      </c>
      <c r="T267" s="68">
        <f t="shared" si="168"/>
        <v>9159.6638655462193</v>
      </c>
      <c r="U267" s="68">
        <f t="shared" si="175"/>
        <v>1373949.5798319329</v>
      </c>
      <c r="V267" s="69">
        <f t="shared" si="169"/>
        <v>5.1704082989774636E-2</v>
      </c>
      <c r="W267" s="47" t="s">
        <v>209</v>
      </c>
      <c r="X267" s="47" t="s">
        <v>210</v>
      </c>
      <c r="Y267" s="48" t="s">
        <v>211</v>
      </c>
      <c r="Z267" s="237">
        <f>SUM(Q247:Q267)</f>
        <v>94124851.062140077</v>
      </c>
      <c r="AA267" s="237">
        <f>SUM(U247:U267)</f>
        <v>95503154.75997898</v>
      </c>
      <c r="AB267" s="28"/>
      <c r="AC267" s="28"/>
      <c r="AD267" s="28"/>
      <c r="AE267" s="28"/>
      <c r="AF267" s="28"/>
      <c r="AG267" s="28"/>
      <c r="AH267" s="28"/>
      <c r="AI267" s="28"/>
      <c r="AJ267" s="28"/>
      <c r="AK267" s="28"/>
    </row>
    <row r="268" spans="1:37" ht="24" customHeight="1" x14ac:dyDescent="0.25">
      <c r="A268" s="355"/>
      <c r="B268" s="355"/>
      <c r="C268" s="355"/>
      <c r="D268" s="355"/>
      <c r="E268" s="355" t="s">
        <v>1078</v>
      </c>
      <c r="F268" s="356"/>
      <c r="G268" s="356"/>
      <c r="H268" s="356"/>
      <c r="I268" s="356"/>
      <c r="J268" s="356"/>
      <c r="K268" s="356"/>
      <c r="L268" s="356"/>
      <c r="M268" s="356"/>
      <c r="N268" s="356"/>
      <c r="O268" s="356"/>
      <c r="P268" s="356"/>
      <c r="Q268" s="356"/>
      <c r="R268" s="356"/>
      <c r="S268" s="356"/>
      <c r="T268" s="356"/>
      <c r="U268" s="356"/>
      <c r="V268" s="356"/>
      <c r="W268" s="356"/>
      <c r="X268" s="356"/>
      <c r="Y268" s="356"/>
    </row>
    <row r="269" spans="1:37" ht="94.5" customHeight="1" x14ac:dyDescent="0.25">
      <c r="A269" s="13">
        <f t="shared" si="170"/>
        <v>3</v>
      </c>
      <c r="B269" s="675">
        <v>254</v>
      </c>
      <c r="C269" s="95">
        <v>259</v>
      </c>
      <c r="D269" s="87" t="s">
        <v>565</v>
      </c>
      <c r="E269" s="357" t="s">
        <v>142</v>
      </c>
      <c r="F269" s="358">
        <v>1</v>
      </c>
      <c r="G269" s="66" t="s">
        <v>24</v>
      </c>
      <c r="H269" s="91">
        <v>1</v>
      </c>
      <c r="I269" s="91" t="s">
        <v>29</v>
      </c>
      <c r="J269" s="34">
        <v>8500000</v>
      </c>
      <c r="K269" s="34">
        <f t="shared" si="181"/>
        <v>8500000</v>
      </c>
      <c r="L269" s="43">
        <v>9500000</v>
      </c>
      <c r="M269" s="147">
        <f t="shared" si="188"/>
        <v>9500000</v>
      </c>
      <c r="N269" s="43">
        <v>10000000</v>
      </c>
      <c r="O269" s="41">
        <f t="shared" si="182"/>
        <v>10000000</v>
      </c>
      <c r="P269" s="68">
        <f t="shared" si="173"/>
        <v>9333333.333333334</v>
      </c>
      <c r="Q269" s="68">
        <f t="shared" si="174"/>
        <v>9333333.333333334</v>
      </c>
      <c r="R269" s="68">
        <f t="shared" si="166"/>
        <v>623609.56446232356</v>
      </c>
      <c r="S269" s="69">
        <f t="shared" si="167"/>
        <v>6.6815310478106085E-2</v>
      </c>
      <c r="T269" s="68">
        <f t="shared" si="168"/>
        <v>9500000</v>
      </c>
      <c r="U269" s="68">
        <f t="shared" si="175"/>
        <v>9500000</v>
      </c>
      <c r="V269" s="69">
        <f t="shared" si="169"/>
        <v>6.5643112048665644E-2</v>
      </c>
      <c r="W269" s="33" t="s">
        <v>41</v>
      </c>
      <c r="X269" s="254" t="s">
        <v>42</v>
      </c>
      <c r="Y269" s="286" t="s">
        <v>43</v>
      </c>
    </row>
    <row r="270" spans="1:37" ht="94.5" customHeight="1" x14ac:dyDescent="0.25">
      <c r="A270" s="13">
        <f t="shared" si="170"/>
        <v>3</v>
      </c>
      <c r="B270" s="675">
        <v>255</v>
      </c>
      <c r="C270" s="95">
        <v>260</v>
      </c>
      <c r="D270" s="359" t="s">
        <v>566</v>
      </c>
      <c r="E270" s="97" t="s">
        <v>543</v>
      </c>
      <c r="F270" s="360">
        <v>15</v>
      </c>
      <c r="G270" s="66" t="s">
        <v>24</v>
      </c>
      <c r="H270" s="91">
        <v>1</v>
      </c>
      <c r="I270" s="91" t="s">
        <v>29</v>
      </c>
      <c r="J270" s="282">
        <f>+(25546*5.35%)+25546</f>
        <v>26912.710999999999</v>
      </c>
      <c r="K270" s="40">
        <f t="shared" si="181"/>
        <v>403690.66499999998</v>
      </c>
      <c r="L270" s="282">
        <f>+(26085*5.35%)+26085</f>
        <v>27480.547500000001</v>
      </c>
      <c r="M270" s="35">
        <f t="shared" si="188"/>
        <v>412208.21250000002</v>
      </c>
      <c r="N270" s="282">
        <f>+(29042*5.35%)+29042</f>
        <v>30595.746999999999</v>
      </c>
      <c r="O270" s="41">
        <f t="shared" si="182"/>
        <v>458936.20500000002</v>
      </c>
      <c r="P270" s="68">
        <f t="shared" si="173"/>
        <v>28329.6685</v>
      </c>
      <c r="Q270" s="68">
        <f t="shared" si="174"/>
        <v>424945.02749999997</v>
      </c>
      <c r="R270" s="68">
        <f t="shared" si="166"/>
        <v>1619.0415680899505</v>
      </c>
      <c r="S270" s="69">
        <f t="shared" si="167"/>
        <v>5.7150035768683653E-2</v>
      </c>
      <c r="T270" s="68">
        <f t="shared" si="168"/>
        <v>27480.547500000001</v>
      </c>
      <c r="U270" s="68">
        <f t="shared" si="175"/>
        <v>412208.21250000002</v>
      </c>
      <c r="V270" s="69">
        <f t="shared" si="169"/>
        <v>5.8915913814670193E-2</v>
      </c>
      <c r="W270" s="361" t="s">
        <v>544</v>
      </c>
      <c r="X270" s="361" t="s">
        <v>316</v>
      </c>
      <c r="Y270" s="361" t="s">
        <v>545</v>
      </c>
    </row>
    <row r="271" spans="1:37" ht="94.5" customHeight="1" x14ac:dyDescent="0.25">
      <c r="A271" s="13">
        <f t="shared" si="170"/>
        <v>3</v>
      </c>
      <c r="B271" s="675">
        <v>256</v>
      </c>
      <c r="C271" s="95">
        <v>261</v>
      </c>
      <c r="D271" s="96" t="s">
        <v>308</v>
      </c>
      <c r="E271" s="97" t="s">
        <v>309</v>
      </c>
      <c r="F271" s="98">
        <v>2</v>
      </c>
      <c r="G271" s="98" t="s">
        <v>24</v>
      </c>
      <c r="H271" s="99">
        <v>1</v>
      </c>
      <c r="I271" s="99" t="s">
        <v>29</v>
      </c>
      <c r="J271" s="282">
        <f>+(513000*5.35%)+513000</f>
        <v>540445.5</v>
      </c>
      <c r="K271" s="40">
        <f t="shared" si="181"/>
        <v>1080891</v>
      </c>
      <c r="L271" s="282">
        <f>+(523800*5.35%)+523800</f>
        <v>551823.30000000005</v>
      </c>
      <c r="M271" s="35">
        <f t="shared" si="188"/>
        <v>1103646.6000000001</v>
      </c>
      <c r="N271" s="282">
        <f>+(583200*5.35%)+583200</f>
        <v>614401.19999999995</v>
      </c>
      <c r="O271" s="41">
        <f t="shared" si="182"/>
        <v>1228802.3999999999</v>
      </c>
      <c r="P271" s="68">
        <f t="shared" si="173"/>
        <v>568890</v>
      </c>
      <c r="Q271" s="68">
        <f t="shared" si="174"/>
        <v>1137780</v>
      </c>
      <c r="R271" s="68">
        <f t="shared" si="166"/>
        <v>32514.771794678156</v>
      </c>
      <c r="S271" s="69">
        <f t="shared" si="167"/>
        <v>5.7154760664940775E-2</v>
      </c>
      <c r="T271" s="68">
        <f t="shared" si="168"/>
        <v>551823.30000000005</v>
      </c>
      <c r="U271" s="68">
        <f t="shared" si="175"/>
        <v>1103646.6000000001</v>
      </c>
      <c r="V271" s="69">
        <f t="shared" si="169"/>
        <v>5.8922433675196666E-2</v>
      </c>
      <c r="W271" s="47" t="s">
        <v>310</v>
      </c>
      <c r="X271" s="47" t="s">
        <v>311</v>
      </c>
      <c r="Y271" s="48" t="s">
        <v>42</v>
      </c>
    </row>
    <row r="272" spans="1:37" ht="94.5" customHeight="1" x14ac:dyDescent="0.25">
      <c r="A272" s="13">
        <f t="shared" si="170"/>
        <v>3</v>
      </c>
      <c r="B272" s="675">
        <v>257</v>
      </c>
      <c r="C272" s="95">
        <v>262</v>
      </c>
      <c r="D272" s="335" t="s">
        <v>246</v>
      </c>
      <c r="E272" s="362" t="s">
        <v>567</v>
      </c>
      <c r="F272" s="98">
        <v>2</v>
      </c>
      <c r="G272" s="98" t="s">
        <v>24</v>
      </c>
      <c r="H272" s="99">
        <v>1</v>
      </c>
      <c r="I272" s="99" t="s">
        <v>29</v>
      </c>
      <c r="J272" s="34">
        <v>700000</v>
      </c>
      <c r="K272" s="34">
        <f t="shared" si="181"/>
        <v>1400000</v>
      </c>
      <c r="L272" s="34">
        <v>800000</v>
      </c>
      <c r="M272" s="58">
        <f t="shared" si="188"/>
        <v>1600000</v>
      </c>
      <c r="N272" s="80">
        <v>800000</v>
      </c>
      <c r="O272" s="41">
        <f t="shared" si="182"/>
        <v>1600000</v>
      </c>
      <c r="P272" s="68">
        <f t="shared" si="173"/>
        <v>766666.66666666663</v>
      </c>
      <c r="Q272" s="68">
        <f t="shared" si="174"/>
        <v>1533333.3333333333</v>
      </c>
      <c r="R272" s="68">
        <f t="shared" si="166"/>
        <v>47140.452079103161</v>
      </c>
      <c r="S272" s="69">
        <f t="shared" si="167"/>
        <v>6.1487546190134558E-2</v>
      </c>
      <c r="T272" s="68">
        <f t="shared" si="168"/>
        <v>800000</v>
      </c>
      <c r="U272" s="68">
        <f t="shared" si="175"/>
        <v>1600000</v>
      </c>
      <c r="V272" s="69">
        <f t="shared" si="169"/>
        <v>5.8925565098878953E-2</v>
      </c>
      <c r="W272" s="33" t="s">
        <v>41</v>
      </c>
      <c r="X272" s="254" t="s">
        <v>42</v>
      </c>
      <c r="Y272" s="286" t="s">
        <v>43</v>
      </c>
    </row>
    <row r="273" spans="1:25" ht="126" customHeight="1" x14ac:dyDescent="0.25">
      <c r="A273" s="13">
        <f t="shared" si="170"/>
        <v>3</v>
      </c>
      <c r="B273" s="675">
        <v>258</v>
      </c>
      <c r="C273" s="95">
        <v>263</v>
      </c>
      <c r="D273" s="335" t="s">
        <v>291</v>
      </c>
      <c r="E273" s="97" t="s">
        <v>568</v>
      </c>
      <c r="F273" s="98">
        <v>1</v>
      </c>
      <c r="G273" s="98" t="s">
        <v>24</v>
      </c>
      <c r="H273" s="99">
        <v>1</v>
      </c>
      <c r="I273" s="99" t="s">
        <v>29</v>
      </c>
      <c r="J273" s="34">
        <f>+(6307000*100)/119</f>
        <v>5300000</v>
      </c>
      <c r="K273" s="34">
        <f t="shared" si="181"/>
        <v>5300000</v>
      </c>
      <c r="L273" s="43">
        <f>+(4998000*100)/119</f>
        <v>4200000</v>
      </c>
      <c r="M273" s="147">
        <f t="shared" si="188"/>
        <v>4200000</v>
      </c>
      <c r="N273" s="44">
        <v>5000000</v>
      </c>
      <c r="O273" s="41">
        <f t="shared" si="182"/>
        <v>5000000</v>
      </c>
      <c r="P273" s="68">
        <f t="shared" si="173"/>
        <v>4833333.333333333</v>
      </c>
      <c r="Q273" s="68">
        <f t="shared" si="174"/>
        <v>4833333.333333333</v>
      </c>
      <c r="R273" s="68">
        <f t="shared" si="166"/>
        <v>464279.60923947062</v>
      </c>
      <c r="S273" s="69">
        <f t="shared" si="167"/>
        <v>9.6057850187476687E-2</v>
      </c>
      <c r="T273" s="68">
        <f t="shared" si="168"/>
        <v>5000000</v>
      </c>
      <c r="U273" s="68">
        <f t="shared" si="175"/>
        <v>5000000</v>
      </c>
      <c r="V273" s="69">
        <f t="shared" si="169"/>
        <v>9.2855921847894124E-2</v>
      </c>
      <c r="W273" s="77" t="s">
        <v>143</v>
      </c>
      <c r="X273" s="363" t="s">
        <v>144</v>
      </c>
      <c r="Y273" s="364" t="s">
        <v>248</v>
      </c>
    </row>
    <row r="274" spans="1:25" ht="35.1" customHeight="1" x14ac:dyDescent="0.25">
      <c r="A274" s="13">
        <f t="shared" si="170"/>
        <v>3</v>
      </c>
      <c r="B274" s="675">
        <v>259</v>
      </c>
      <c r="C274" s="95">
        <v>264</v>
      </c>
      <c r="D274" s="365" t="s">
        <v>319</v>
      </c>
      <c r="E274" s="366" t="s">
        <v>569</v>
      </c>
      <c r="F274" s="98">
        <v>1</v>
      </c>
      <c r="G274" s="98" t="s">
        <v>24</v>
      </c>
      <c r="H274" s="99">
        <v>1</v>
      </c>
      <c r="I274" s="99" t="s">
        <v>29</v>
      </c>
      <c r="J274" s="35">
        <f>+(1904000*100)/119</f>
        <v>1600000</v>
      </c>
      <c r="K274" s="115">
        <f t="shared" si="181"/>
        <v>1600000</v>
      </c>
      <c r="L274" s="35">
        <v>1312000</v>
      </c>
      <c r="M274" s="35">
        <f t="shared" si="188"/>
        <v>1312000</v>
      </c>
      <c r="N274" s="35">
        <v>2200000</v>
      </c>
      <c r="O274" s="41">
        <f t="shared" si="182"/>
        <v>2200000</v>
      </c>
      <c r="P274" s="68">
        <f t="shared" si="173"/>
        <v>1704000</v>
      </c>
      <c r="Q274" s="68">
        <f t="shared" si="174"/>
        <v>1704000</v>
      </c>
      <c r="R274" s="68">
        <f t="shared" si="166"/>
        <v>369908.09669430053</v>
      </c>
      <c r="S274" s="69">
        <f t="shared" si="167"/>
        <v>0.21708221636989469</v>
      </c>
      <c r="T274" s="68">
        <f t="shared" si="168"/>
        <v>1600000</v>
      </c>
      <c r="U274" s="68">
        <f t="shared" si="175"/>
        <v>1600000</v>
      </c>
      <c r="V274" s="69">
        <f t="shared" si="169"/>
        <v>0.23119256043393782</v>
      </c>
      <c r="W274" s="127" t="s">
        <v>143</v>
      </c>
      <c r="X274" s="131" t="s">
        <v>248</v>
      </c>
      <c r="Y274" s="27" t="s">
        <v>41</v>
      </c>
    </row>
    <row r="275" spans="1:25" ht="94.5" customHeight="1" x14ac:dyDescent="0.25">
      <c r="A275" s="13">
        <f t="shared" si="170"/>
        <v>3</v>
      </c>
      <c r="B275" s="675">
        <v>260</v>
      </c>
      <c r="C275" s="95">
        <v>265</v>
      </c>
      <c r="D275" s="96" t="s">
        <v>570</v>
      </c>
      <c r="E275" s="97" t="s">
        <v>571</v>
      </c>
      <c r="F275" s="98">
        <v>1</v>
      </c>
      <c r="G275" s="98" t="s">
        <v>24</v>
      </c>
      <c r="H275" s="99">
        <v>1</v>
      </c>
      <c r="I275" s="99" t="s">
        <v>29</v>
      </c>
      <c r="J275" s="80">
        <v>19800000</v>
      </c>
      <c r="K275" s="40">
        <f t="shared" si="181"/>
        <v>19800000</v>
      </c>
      <c r="L275" s="80">
        <v>22200000</v>
      </c>
      <c r="M275" s="35">
        <f t="shared" si="188"/>
        <v>22200000</v>
      </c>
      <c r="N275" s="367">
        <v>23400000</v>
      </c>
      <c r="O275" s="41">
        <f t="shared" si="182"/>
        <v>23400000</v>
      </c>
      <c r="P275" s="68">
        <f t="shared" si="173"/>
        <v>21800000</v>
      </c>
      <c r="Q275" s="68">
        <f t="shared" si="174"/>
        <v>21800000</v>
      </c>
      <c r="R275" s="68">
        <f t="shared" si="166"/>
        <v>1496662.9547095764</v>
      </c>
      <c r="S275" s="69">
        <f t="shared" si="167"/>
        <v>6.8654263977503502E-2</v>
      </c>
      <c r="T275" s="68">
        <f t="shared" si="168"/>
        <v>22200000</v>
      </c>
      <c r="U275" s="68">
        <f t="shared" si="175"/>
        <v>22200000</v>
      </c>
      <c r="V275" s="69">
        <f t="shared" si="169"/>
        <v>6.7417250212143079E-2</v>
      </c>
      <c r="W275" s="33" t="s">
        <v>41</v>
      </c>
      <c r="X275" s="254" t="s">
        <v>42</v>
      </c>
      <c r="Y275" s="286" t="s">
        <v>43</v>
      </c>
    </row>
    <row r="276" spans="1:25" ht="94.5" customHeight="1" x14ac:dyDescent="0.25">
      <c r="A276" s="13">
        <f t="shared" si="170"/>
        <v>3</v>
      </c>
      <c r="B276" s="675">
        <v>261</v>
      </c>
      <c r="C276" s="95">
        <v>266</v>
      </c>
      <c r="D276" s="96" t="s">
        <v>549</v>
      </c>
      <c r="E276" s="97" t="s">
        <v>550</v>
      </c>
      <c r="F276" s="98">
        <v>2</v>
      </c>
      <c r="G276" s="98" t="s">
        <v>24</v>
      </c>
      <c r="H276" s="99">
        <v>1</v>
      </c>
      <c r="I276" s="99" t="s">
        <v>29</v>
      </c>
      <c r="J276" s="80">
        <v>2000000</v>
      </c>
      <c r="K276" s="40">
        <f t="shared" si="181"/>
        <v>4000000</v>
      </c>
      <c r="L276" s="83">
        <v>2200000</v>
      </c>
      <c r="M276" s="35">
        <f t="shared" si="188"/>
        <v>4400000</v>
      </c>
      <c r="N276" s="83">
        <v>2400000</v>
      </c>
      <c r="O276" s="41">
        <f t="shared" si="182"/>
        <v>4800000</v>
      </c>
      <c r="P276" s="68">
        <f t="shared" si="173"/>
        <v>2200000</v>
      </c>
      <c r="Q276" s="68">
        <f t="shared" si="174"/>
        <v>4400000</v>
      </c>
      <c r="R276" s="68">
        <f t="shared" si="166"/>
        <v>163299.31618554521</v>
      </c>
      <c r="S276" s="69">
        <f t="shared" si="167"/>
        <v>7.4226961902520552E-2</v>
      </c>
      <c r="T276" s="68">
        <f t="shared" si="168"/>
        <v>2200000</v>
      </c>
      <c r="U276" s="68">
        <f t="shared" si="175"/>
        <v>4400000</v>
      </c>
      <c r="V276" s="69">
        <f t="shared" si="169"/>
        <v>7.4226961902520552E-2</v>
      </c>
      <c r="W276" s="25" t="s">
        <v>41</v>
      </c>
      <c r="X276" s="25" t="s">
        <v>42</v>
      </c>
      <c r="Y276" s="271" t="s">
        <v>43</v>
      </c>
    </row>
    <row r="277" spans="1:25" ht="94.5" customHeight="1" x14ac:dyDescent="0.25">
      <c r="A277" s="13">
        <f t="shared" si="170"/>
        <v>3</v>
      </c>
      <c r="B277" s="675">
        <v>262</v>
      </c>
      <c r="C277" s="95">
        <v>267</v>
      </c>
      <c r="D277" s="96" t="s">
        <v>207</v>
      </c>
      <c r="E277" s="31" t="s">
        <v>208</v>
      </c>
      <c r="F277" s="98">
        <v>300</v>
      </c>
      <c r="G277" s="98" t="s">
        <v>24</v>
      </c>
      <c r="H277" s="99">
        <v>2</v>
      </c>
      <c r="I277" s="99" t="s">
        <v>29</v>
      </c>
      <c r="J277" s="34">
        <f>+(10756*100)/119</f>
        <v>9038.6554621848736</v>
      </c>
      <c r="K277" s="40">
        <f t="shared" si="181"/>
        <v>5423193.2773109246</v>
      </c>
      <c r="L277" s="35">
        <f>+(12017*100)/119</f>
        <v>10098.319327731093</v>
      </c>
      <c r="M277" s="35">
        <f t="shared" si="188"/>
        <v>6058991.5966386553</v>
      </c>
      <c r="N277" s="35">
        <f>+(10900*100)/119</f>
        <v>9159.6638655462193</v>
      </c>
      <c r="O277" s="41">
        <f t="shared" si="182"/>
        <v>5495798.3193277316</v>
      </c>
      <c r="P277" s="68">
        <f t="shared" si="173"/>
        <v>9432.212885154062</v>
      </c>
      <c r="Q277" s="68">
        <f t="shared" si="174"/>
        <v>5659327.7310924372</v>
      </c>
      <c r="R277" s="68">
        <f t="shared" si="166"/>
        <v>473.59202066264169</v>
      </c>
      <c r="S277" s="69">
        <f t="shared" si="167"/>
        <v>5.0210064852125764E-2</v>
      </c>
      <c r="T277" s="68">
        <f t="shared" si="168"/>
        <v>9159.6638655462193</v>
      </c>
      <c r="U277" s="68">
        <f t="shared" si="175"/>
        <v>5495798.3193277316</v>
      </c>
      <c r="V277" s="69">
        <f t="shared" si="169"/>
        <v>5.1704082989774636E-2</v>
      </c>
      <c r="W277" s="47" t="s">
        <v>209</v>
      </c>
      <c r="X277" s="47" t="s">
        <v>210</v>
      </c>
      <c r="Y277" s="48" t="s">
        <v>211</v>
      </c>
    </row>
    <row r="278" spans="1:25" ht="15.75" x14ac:dyDescent="0.25">
      <c r="A278" s="13">
        <f t="shared" si="170"/>
        <v>3</v>
      </c>
      <c r="B278" s="675">
        <v>263</v>
      </c>
      <c r="C278" s="95">
        <v>268</v>
      </c>
      <c r="D278" s="96" t="s">
        <v>200</v>
      </c>
      <c r="E278" s="97" t="s">
        <v>572</v>
      </c>
      <c r="F278" s="98">
        <v>7</v>
      </c>
      <c r="G278" s="98" t="s">
        <v>24</v>
      </c>
      <c r="H278" s="99">
        <v>1</v>
      </c>
      <c r="I278" s="99" t="s">
        <v>29</v>
      </c>
      <c r="J278" s="34">
        <f>+(19500*100)/119</f>
        <v>16386.55462184874</v>
      </c>
      <c r="K278" s="40">
        <f t="shared" si="181"/>
        <v>114705.88235294117</v>
      </c>
      <c r="L278" s="35">
        <f>+(17407*100)/119</f>
        <v>14627.731092436974</v>
      </c>
      <c r="M278" s="35">
        <f t="shared" si="188"/>
        <v>102394.11764705883</v>
      </c>
      <c r="N278" s="115">
        <f>+(16650*100)/119</f>
        <v>13991.596638655463</v>
      </c>
      <c r="O278" s="41">
        <f t="shared" si="182"/>
        <v>97941.176470588238</v>
      </c>
      <c r="P278" s="68">
        <f t="shared" si="173"/>
        <v>15001.960784313726</v>
      </c>
      <c r="Q278" s="68">
        <f t="shared" si="174"/>
        <v>105013.72549019608</v>
      </c>
      <c r="R278" s="68">
        <f t="shared" si="166"/>
        <v>1012.913893025769</v>
      </c>
      <c r="S278" s="69">
        <f t="shared" si="167"/>
        <v>6.7518766885785148E-2</v>
      </c>
      <c r="T278" s="68">
        <f t="shared" si="168"/>
        <v>14627.731092436974</v>
      </c>
      <c r="U278" s="68">
        <f t="shared" si="175"/>
        <v>102394.11764705883</v>
      </c>
      <c r="V278" s="69">
        <f t="shared" si="169"/>
        <v>6.9246138490300743E-2</v>
      </c>
      <c r="W278" s="100" t="s">
        <v>202</v>
      </c>
      <c r="X278" s="100" t="s">
        <v>203</v>
      </c>
      <c r="Y278" s="100" t="s">
        <v>204</v>
      </c>
    </row>
    <row r="279" spans="1:25" ht="94.5" customHeight="1" x14ac:dyDescent="0.25">
      <c r="A279" s="13">
        <f t="shared" si="170"/>
        <v>3</v>
      </c>
      <c r="B279" s="675">
        <v>264</v>
      </c>
      <c r="C279" s="95">
        <v>269</v>
      </c>
      <c r="D279" s="365" t="s">
        <v>573</v>
      </c>
      <c r="E279" s="97" t="s">
        <v>574</v>
      </c>
      <c r="F279" s="98">
        <v>160</v>
      </c>
      <c r="G279" s="98" t="s">
        <v>24</v>
      </c>
      <c r="H279" s="99">
        <v>1</v>
      </c>
      <c r="I279" s="99" t="s">
        <v>29</v>
      </c>
      <c r="J279" s="34">
        <f>+(59440*100)/119</f>
        <v>49949.579831932773</v>
      </c>
      <c r="K279" s="40">
        <f t="shared" si="181"/>
        <v>7991932.7731092442</v>
      </c>
      <c r="L279" s="35">
        <f>+(53550*100)/119</f>
        <v>45000</v>
      </c>
      <c r="M279" s="35">
        <f t="shared" si="188"/>
        <v>7200000</v>
      </c>
      <c r="N279" s="35">
        <f>+(44500*100)/119</f>
        <v>37394.957983193279</v>
      </c>
      <c r="O279" s="41">
        <f t="shared" si="182"/>
        <v>5983193.2773109246</v>
      </c>
      <c r="P279" s="68">
        <f t="shared" si="173"/>
        <v>44114.845938375358</v>
      </c>
      <c r="Q279" s="68">
        <f t="shared" si="174"/>
        <v>7058375.3501400575</v>
      </c>
      <c r="R279" s="68">
        <f t="shared" si="166"/>
        <v>5163.4778799964706</v>
      </c>
      <c r="S279" s="69">
        <f t="shared" si="167"/>
        <v>0.11704626345537747</v>
      </c>
      <c r="T279" s="68">
        <f t="shared" si="168"/>
        <v>45000</v>
      </c>
      <c r="U279" s="68">
        <f t="shared" si="175"/>
        <v>7200000</v>
      </c>
      <c r="V279" s="69">
        <f t="shared" si="169"/>
        <v>0.11474395288881045</v>
      </c>
      <c r="W279" s="368" t="s">
        <v>100</v>
      </c>
      <c r="X279" s="368" t="s">
        <v>101</v>
      </c>
      <c r="Y279" s="368" t="s">
        <v>575</v>
      </c>
    </row>
    <row r="280" spans="1:25" ht="66.75" customHeight="1" x14ac:dyDescent="0.25">
      <c r="A280" s="13">
        <f t="shared" si="170"/>
        <v>3</v>
      </c>
      <c r="B280" s="675">
        <v>265</v>
      </c>
      <c r="C280" s="95">
        <v>270</v>
      </c>
      <c r="D280" s="335" t="s">
        <v>496</v>
      </c>
      <c r="E280" s="362" t="s">
        <v>576</v>
      </c>
      <c r="F280" s="98">
        <v>18</v>
      </c>
      <c r="G280" s="98" t="s">
        <v>24</v>
      </c>
      <c r="H280" s="99">
        <v>1</v>
      </c>
      <c r="I280" s="99" t="s">
        <v>29</v>
      </c>
      <c r="J280" s="34">
        <f>+(428400*100)/119</f>
        <v>360000</v>
      </c>
      <c r="K280" s="34">
        <f t="shared" si="181"/>
        <v>6480000</v>
      </c>
      <c r="L280" s="43">
        <f>+(416500*100)/119</f>
        <v>350000</v>
      </c>
      <c r="M280" s="147">
        <f t="shared" si="188"/>
        <v>6300000</v>
      </c>
      <c r="N280" s="267">
        <v>406000</v>
      </c>
      <c r="O280" s="41">
        <f t="shared" si="182"/>
        <v>7308000</v>
      </c>
      <c r="P280" s="68">
        <f t="shared" si="173"/>
        <v>372000</v>
      </c>
      <c r="Q280" s="68">
        <f t="shared" si="174"/>
        <v>6696000</v>
      </c>
      <c r="R280" s="68">
        <f t="shared" si="166"/>
        <v>24385.78821089584</v>
      </c>
      <c r="S280" s="69">
        <f t="shared" si="167"/>
        <v>6.5553194115311395E-2</v>
      </c>
      <c r="T280" s="68">
        <f t="shared" si="168"/>
        <v>360000</v>
      </c>
      <c r="U280" s="68">
        <f t="shared" si="175"/>
        <v>6480000</v>
      </c>
      <c r="V280" s="69">
        <f t="shared" si="169"/>
        <v>6.7738300585821781E-2</v>
      </c>
      <c r="W280" s="77" t="s">
        <v>143</v>
      </c>
      <c r="X280" s="363" t="s">
        <v>144</v>
      </c>
      <c r="Y280" s="271" t="s">
        <v>248</v>
      </c>
    </row>
    <row r="281" spans="1:25" ht="94.5" customHeight="1" x14ac:dyDescent="0.25">
      <c r="A281" s="13">
        <f t="shared" si="170"/>
        <v>3</v>
      </c>
      <c r="B281" s="675">
        <v>266</v>
      </c>
      <c r="C281" s="95">
        <v>271</v>
      </c>
      <c r="D281" s="96" t="s">
        <v>577</v>
      </c>
      <c r="E281" s="99" t="s">
        <v>578</v>
      </c>
      <c r="F281" s="98">
        <v>35</v>
      </c>
      <c r="G281" s="98" t="s">
        <v>24</v>
      </c>
      <c r="H281" s="99">
        <v>1</v>
      </c>
      <c r="I281" s="99" t="s">
        <v>29</v>
      </c>
      <c r="J281" s="34">
        <v>12000</v>
      </c>
      <c r="K281" s="40">
        <f t="shared" si="181"/>
        <v>420000</v>
      </c>
      <c r="L281" s="35">
        <v>13000</v>
      </c>
      <c r="M281" s="35">
        <f t="shared" si="188"/>
        <v>455000</v>
      </c>
      <c r="N281" s="80">
        <v>14000</v>
      </c>
      <c r="O281" s="41">
        <f t="shared" si="182"/>
        <v>490000</v>
      </c>
      <c r="P281" s="68">
        <f t="shared" si="173"/>
        <v>13000</v>
      </c>
      <c r="Q281" s="68">
        <f t="shared" si="174"/>
        <v>455000</v>
      </c>
      <c r="R281" s="68">
        <f t="shared" si="166"/>
        <v>816.49658092772597</v>
      </c>
      <c r="S281" s="69">
        <f t="shared" si="167"/>
        <v>6.2807429302132761E-2</v>
      </c>
      <c r="T281" s="68">
        <f t="shared" si="168"/>
        <v>13000</v>
      </c>
      <c r="U281" s="68">
        <f t="shared" si="175"/>
        <v>455000</v>
      </c>
      <c r="V281" s="69">
        <f t="shared" si="169"/>
        <v>6.2807429302132761E-2</v>
      </c>
      <c r="W281" s="25" t="s">
        <v>41</v>
      </c>
      <c r="X281" s="25" t="s">
        <v>42</v>
      </c>
      <c r="Y281" s="271" t="s">
        <v>43</v>
      </c>
    </row>
    <row r="282" spans="1:25" ht="94.5" customHeight="1" x14ac:dyDescent="0.25">
      <c r="A282" s="13">
        <f t="shared" si="170"/>
        <v>3</v>
      </c>
      <c r="B282" s="675">
        <v>267</v>
      </c>
      <c r="C282" s="95">
        <v>272</v>
      </c>
      <c r="D282" s="369" t="s">
        <v>287</v>
      </c>
      <c r="E282" s="370" t="s">
        <v>579</v>
      </c>
      <c r="F282" s="371">
        <v>120</v>
      </c>
      <c r="G282" s="371" t="s">
        <v>24</v>
      </c>
      <c r="H282" s="370">
        <v>1</v>
      </c>
      <c r="I282" s="370" t="s">
        <v>29</v>
      </c>
      <c r="J282" s="43">
        <f>+(2975*100)/119</f>
        <v>2500</v>
      </c>
      <c r="K282" s="44">
        <f t="shared" si="181"/>
        <v>300000</v>
      </c>
      <c r="L282" s="35">
        <f>+(1700*100)/119</f>
        <v>1428.5714285714287</v>
      </c>
      <c r="M282" s="35">
        <f t="shared" si="188"/>
        <v>171428.57142857145</v>
      </c>
      <c r="N282" s="35">
        <f>+(2142*100)/119</f>
        <v>1800</v>
      </c>
      <c r="O282" s="41">
        <f t="shared" si="182"/>
        <v>216000</v>
      </c>
      <c r="P282" s="68">
        <f t="shared" si="173"/>
        <v>1909.5238095238094</v>
      </c>
      <c r="Q282" s="68">
        <f t="shared" si="174"/>
        <v>229142.85714285713</v>
      </c>
      <c r="R282" s="68">
        <f t="shared" si="166"/>
        <v>444.21195733405148</v>
      </c>
      <c r="S282" s="69">
        <f t="shared" si="167"/>
        <v>0.23262970334202199</v>
      </c>
      <c r="T282" s="68">
        <f t="shared" si="168"/>
        <v>1800</v>
      </c>
      <c r="U282" s="68">
        <f t="shared" si="175"/>
        <v>216000</v>
      </c>
      <c r="V282" s="69">
        <f t="shared" si="169"/>
        <v>0.24678442074113971</v>
      </c>
      <c r="W282" s="25" t="s">
        <v>251</v>
      </c>
      <c r="X282" s="25" t="s">
        <v>252</v>
      </c>
      <c r="Y282" s="27" t="s">
        <v>253</v>
      </c>
    </row>
    <row r="283" spans="1:25" s="180" customFormat="1" ht="94.5" customHeight="1" x14ac:dyDescent="0.25">
      <c r="A283" s="13">
        <f t="shared" si="170"/>
        <v>1</v>
      </c>
      <c r="B283" s="675">
        <v>268</v>
      </c>
      <c r="C283" s="95">
        <v>273</v>
      </c>
      <c r="D283" s="372" t="s">
        <v>580</v>
      </c>
      <c r="E283" s="17" t="s">
        <v>581</v>
      </c>
      <c r="F283" s="373">
        <v>1</v>
      </c>
      <c r="G283" s="373" t="s">
        <v>24</v>
      </c>
      <c r="H283" s="17"/>
      <c r="I283" s="17"/>
      <c r="J283" s="35">
        <v>15000000</v>
      </c>
      <c r="K283" s="35"/>
      <c r="L283" s="374"/>
      <c r="M283" s="58"/>
      <c r="N283" s="374"/>
      <c r="O283" s="35"/>
      <c r="P283" s="163">
        <f t="shared" si="173"/>
        <v>15000000</v>
      </c>
      <c r="Q283" s="163">
        <f>+P283*F283</f>
        <v>15000000</v>
      </c>
      <c r="R283" s="163">
        <f t="shared" si="166"/>
        <v>0</v>
      </c>
      <c r="S283" s="183">
        <f t="shared" si="167"/>
        <v>0</v>
      </c>
      <c r="T283" s="163">
        <f t="shared" si="168"/>
        <v>15000000</v>
      </c>
      <c r="U283" s="163">
        <f>+T283*F283</f>
        <v>15000000</v>
      </c>
      <c r="V283" s="183">
        <f t="shared" si="169"/>
        <v>0</v>
      </c>
      <c r="W283" s="375"/>
      <c r="X283" s="375"/>
      <c r="Y283" s="375"/>
    </row>
    <row r="284" spans="1:25" ht="94.5" customHeight="1" x14ac:dyDescent="0.25">
      <c r="A284" s="13">
        <f t="shared" si="170"/>
        <v>1</v>
      </c>
      <c r="B284" s="675">
        <v>269</v>
      </c>
      <c r="C284" s="95">
        <v>274</v>
      </c>
      <c r="D284" s="376" t="s">
        <v>582</v>
      </c>
      <c r="E284" s="341" t="s">
        <v>583</v>
      </c>
      <c r="F284" s="377">
        <v>3</v>
      </c>
      <c r="G284" s="377" t="s">
        <v>24</v>
      </c>
      <c r="H284" s="341">
        <v>1</v>
      </c>
      <c r="I284" s="341" t="s">
        <v>29</v>
      </c>
      <c r="J284" s="34">
        <f>5635001/30</f>
        <v>187833.36666666667</v>
      </c>
      <c r="K284" s="35">
        <f t="shared" si="181"/>
        <v>563500.1</v>
      </c>
      <c r="L284" s="35"/>
      <c r="M284" s="35"/>
      <c r="N284" s="115"/>
      <c r="O284" s="41"/>
      <c r="P284" s="22">
        <f>+(ROUND(AVERAGE(J284),0))</f>
        <v>187833</v>
      </c>
      <c r="Q284" s="22">
        <f>+P284*F284*H284</f>
        <v>563499</v>
      </c>
      <c r="R284" s="23">
        <f>+_xlfn.STDEV.P(J284,L284,N284)</f>
        <v>0</v>
      </c>
      <c r="S284" s="24">
        <f>+R284/P284</f>
        <v>0</v>
      </c>
      <c r="T284" s="23">
        <f>+MEDIAN(J284,L284,N284)</f>
        <v>187833.36666666667</v>
      </c>
      <c r="U284" s="23">
        <f>+T284*F284*H284</f>
        <v>563500.1</v>
      </c>
      <c r="V284" s="24">
        <f>+R284/T284</f>
        <v>0</v>
      </c>
      <c r="W284" s="25" t="s">
        <v>26</v>
      </c>
      <c r="X284" s="100"/>
      <c r="Y284" s="100"/>
    </row>
    <row r="285" spans="1:25" ht="205.5" customHeight="1" x14ac:dyDescent="0.25">
      <c r="A285" s="13">
        <f t="shared" si="170"/>
        <v>3</v>
      </c>
      <c r="B285" s="675">
        <v>270</v>
      </c>
      <c r="C285" s="95">
        <v>275</v>
      </c>
      <c r="D285" s="160" t="s">
        <v>584</v>
      </c>
      <c r="E285" s="272" t="s">
        <v>585</v>
      </c>
      <c r="F285" s="377">
        <v>1</v>
      </c>
      <c r="G285" s="377" t="s">
        <v>24</v>
      </c>
      <c r="H285" s="341">
        <v>1</v>
      </c>
      <c r="I285" s="341" t="s">
        <v>491</v>
      </c>
      <c r="J285" s="378">
        <v>1135925</v>
      </c>
      <c r="K285" s="41">
        <f>+J285*F285</f>
        <v>1135925</v>
      </c>
      <c r="L285" s="378">
        <v>1135925</v>
      </c>
      <c r="M285" s="217">
        <f>+L285*F285</f>
        <v>1135925</v>
      </c>
      <c r="N285" s="378">
        <v>1135925</v>
      </c>
      <c r="O285" s="41">
        <f>+N285*F285</f>
        <v>1135925</v>
      </c>
      <c r="P285" s="68">
        <f t="shared" ref="P285:P291" si="189">+AVERAGE(J285,L285,N285)</f>
        <v>1135925</v>
      </c>
      <c r="Q285" s="68">
        <f>+P285*F285</f>
        <v>1135925</v>
      </c>
      <c r="R285" s="68">
        <f t="shared" ref="R285:R291" si="190">+_xlfn.STDEV.P(J285,L285,N285)</f>
        <v>0</v>
      </c>
      <c r="S285" s="69">
        <f t="shared" ref="S285:S291" si="191">+R285/P285</f>
        <v>0</v>
      </c>
      <c r="T285" s="68">
        <f t="shared" ref="T285:T291" si="192">+MEDIAN(J285,L285,N285)</f>
        <v>1135925</v>
      </c>
      <c r="U285" s="68">
        <f>+T285*F285</f>
        <v>1135925</v>
      </c>
      <c r="V285" s="69">
        <f t="shared" ref="V285:V291" si="193">+R285/T285</f>
        <v>0</v>
      </c>
      <c r="W285" s="379" t="s">
        <v>41</v>
      </c>
      <c r="X285" s="209" t="s">
        <v>42</v>
      </c>
      <c r="Y285" s="379" t="s">
        <v>43</v>
      </c>
    </row>
    <row r="286" spans="1:25" ht="94.5" customHeight="1" x14ac:dyDescent="0.25">
      <c r="A286" s="13">
        <f t="shared" si="170"/>
        <v>3</v>
      </c>
      <c r="B286" s="675">
        <v>271</v>
      </c>
      <c r="C286" s="95">
        <v>276</v>
      </c>
      <c r="D286" s="160" t="s">
        <v>584</v>
      </c>
      <c r="E286" s="380" t="s">
        <v>586</v>
      </c>
      <c r="F286" s="377">
        <v>1</v>
      </c>
      <c r="G286" s="377" t="s">
        <v>24</v>
      </c>
      <c r="H286" s="341">
        <v>1</v>
      </c>
      <c r="I286" s="341" t="s">
        <v>491</v>
      </c>
      <c r="J286" s="378">
        <v>1135925</v>
      </c>
      <c r="K286" s="41">
        <f t="shared" ref="K286:K291" si="194">+J286*F286</f>
        <v>1135925</v>
      </c>
      <c r="L286" s="378">
        <v>1135925</v>
      </c>
      <c r="M286" s="217">
        <f t="shared" ref="M286:M291" si="195">+L286*F286</f>
        <v>1135925</v>
      </c>
      <c r="N286" s="378">
        <v>1135925</v>
      </c>
      <c r="O286" s="41">
        <f t="shared" ref="O286:O291" si="196">+N286*F286</f>
        <v>1135925</v>
      </c>
      <c r="P286" s="68">
        <f t="shared" si="189"/>
        <v>1135925</v>
      </c>
      <c r="Q286" s="68">
        <f>+P286*F286</f>
        <v>1135925</v>
      </c>
      <c r="R286" s="68">
        <f t="shared" si="190"/>
        <v>0</v>
      </c>
      <c r="S286" s="69">
        <f t="shared" si="191"/>
        <v>0</v>
      </c>
      <c r="T286" s="68">
        <f t="shared" si="192"/>
        <v>1135925</v>
      </c>
      <c r="U286" s="68">
        <f t="shared" ref="U286:U291" si="197">+T286*F286</f>
        <v>1135925</v>
      </c>
      <c r="V286" s="69">
        <f t="shared" si="193"/>
        <v>0</v>
      </c>
      <c r="W286" s="379" t="s">
        <v>41</v>
      </c>
      <c r="X286" s="209" t="s">
        <v>42</v>
      </c>
      <c r="Y286" s="379" t="s">
        <v>43</v>
      </c>
    </row>
    <row r="287" spans="1:25" ht="206.1" customHeight="1" x14ac:dyDescent="0.25">
      <c r="A287" s="13">
        <f t="shared" si="170"/>
        <v>3</v>
      </c>
      <c r="B287" s="675">
        <v>272</v>
      </c>
      <c r="C287" s="95">
        <v>277</v>
      </c>
      <c r="D287" s="160" t="s">
        <v>587</v>
      </c>
      <c r="E287" s="272" t="s">
        <v>588</v>
      </c>
      <c r="F287" s="377">
        <v>18</v>
      </c>
      <c r="G287" s="377" t="s">
        <v>24</v>
      </c>
      <c r="H287" s="341"/>
      <c r="I287" s="341"/>
      <c r="J287" s="378">
        <v>105000</v>
      </c>
      <c r="K287" s="64">
        <f t="shared" si="194"/>
        <v>1890000</v>
      </c>
      <c r="L287" s="378">
        <v>157894.70000000001</v>
      </c>
      <c r="M287" s="217">
        <f t="shared" si="195"/>
        <v>2842104.6</v>
      </c>
      <c r="N287" s="378">
        <v>157894.70000000001</v>
      </c>
      <c r="O287" s="35">
        <f t="shared" si="196"/>
        <v>2842104.6</v>
      </c>
      <c r="P287" s="68">
        <f t="shared" si="189"/>
        <v>140263.13333333333</v>
      </c>
      <c r="Q287" s="163">
        <f t="shared" ref="Q287:Q291" si="198">+P287*F287</f>
        <v>2524736.4</v>
      </c>
      <c r="R287" s="68">
        <f t="shared" si="190"/>
        <v>24934.800705885435</v>
      </c>
      <c r="S287" s="69">
        <f t="shared" si="191"/>
        <v>0.17777159338532839</v>
      </c>
      <c r="T287" s="68">
        <f t="shared" si="192"/>
        <v>157894.70000000001</v>
      </c>
      <c r="U287" s="163">
        <f t="shared" si="197"/>
        <v>2842104.6</v>
      </c>
      <c r="V287" s="69">
        <f t="shared" si="193"/>
        <v>0.15792044131871072</v>
      </c>
      <c r="W287" s="379" t="s">
        <v>41</v>
      </c>
      <c r="X287" s="209" t="s">
        <v>42</v>
      </c>
      <c r="Y287" s="379" t="s">
        <v>43</v>
      </c>
    </row>
    <row r="288" spans="1:25" ht="196.5" customHeight="1" x14ac:dyDescent="0.25">
      <c r="A288" s="13">
        <f t="shared" si="170"/>
        <v>3</v>
      </c>
      <c r="B288" s="675">
        <v>273</v>
      </c>
      <c r="C288" s="95">
        <v>278</v>
      </c>
      <c r="D288" s="160" t="s">
        <v>589</v>
      </c>
      <c r="E288" s="272" t="s">
        <v>590</v>
      </c>
      <c r="F288" s="377">
        <v>1</v>
      </c>
      <c r="G288" s="377" t="s">
        <v>24</v>
      </c>
      <c r="H288" s="341"/>
      <c r="I288" s="341"/>
      <c r="J288" s="378">
        <v>1263157.8999999999</v>
      </c>
      <c r="K288" s="64">
        <f t="shared" si="194"/>
        <v>1263157.8999999999</v>
      </c>
      <c r="L288" s="378">
        <v>1263157.8999999999</v>
      </c>
      <c r="M288" s="217">
        <f t="shared" si="195"/>
        <v>1263157.8999999999</v>
      </c>
      <c r="N288" s="378">
        <v>1263157.8999999999</v>
      </c>
      <c r="O288" s="35">
        <f t="shared" si="196"/>
        <v>1263157.8999999999</v>
      </c>
      <c r="P288" s="68">
        <f t="shared" si="189"/>
        <v>1263157.8999999999</v>
      </c>
      <c r="Q288" s="163">
        <f t="shared" si="198"/>
        <v>1263157.8999999999</v>
      </c>
      <c r="R288" s="68">
        <f t="shared" si="190"/>
        <v>0</v>
      </c>
      <c r="S288" s="69">
        <f t="shared" si="191"/>
        <v>0</v>
      </c>
      <c r="T288" s="68">
        <f t="shared" si="192"/>
        <v>1263157.8999999999</v>
      </c>
      <c r="U288" s="163">
        <f t="shared" si="197"/>
        <v>1263157.8999999999</v>
      </c>
      <c r="V288" s="69">
        <f t="shared" si="193"/>
        <v>0</v>
      </c>
      <c r="W288" s="379" t="s">
        <v>41</v>
      </c>
      <c r="X288" s="209" t="s">
        <v>42</v>
      </c>
      <c r="Y288" s="379" t="s">
        <v>43</v>
      </c>
    </row>
    <row r="289" spans="1:37" ht="207" customHeight="1" x14ac:dyDescent="0.25">
      <c r="A289" s="13">
        <f t="shared" ref="A289:A291" si="199">+COUNT(J289,L289,N289)</f>
        <v>3</v>
      </c>
      <c r="B289" s="675">
        <v>274</v>
      </c>
      <c r="C289" s="95">
        <v>279</v>
      </c>
      <c r="D289" s="160" t="s">
        <v>591</v>
      </c>
      <c r="E289" s="272" t="s">
        <v>592</v>
      </c>
      <c r="F289" s="377">
        <v>3</v>
      </c>
      <c r="G289" s="377" t="s">
        <v>24</v>
      </c>
      <c r="H289" s="341"/>
      <c r="I289" s="341"/>
      <c r="J289" s="378">
        <v>1052631.6000000001</v>
      </c>
      <c r="K289" s="64">
        <f t="shared" si="194"/>
        <v>3157894.8000000003</v>
      </c>
      <c r="L289" s="378">
        <v>1052631.6000000001</v>
      </c>
      <c r="M289" s="217">
        <f t="shared" si="195"/>
        <v>3157894.8000000003</v>
      </c>
      <c r="N289" s="378">
        <v>1052631.6000000001</v>
      </c>
      <c r="O289" s="35">
        <f t="shared" si="196"/>
        <v>3157894.8000000003</v>
      </c>
      <c r="P289" s="68">
        <f t="shared" si="189"/>
        <v>1052631.6000000001</v>
      </c>
      <c r="Q289" s="163">
        <f t="shared" si="198"/>
        <v>3157894.8000000003</v>
      </c>
      <c r="R289" s="68">
        <f t="shared" si="190"/>
        <v>0</v>
      </c>
      <c r="S289" s="69">
        <f t="shared" si="191"/>
        <v>0</v>
      </c>
      <c r="T289" s="68">
        <f t="shared" si="192"/>
        <v>1052631.6000000001</v>
      </c>
      <c r="U289" s="163">
        <f t="shared" si="197"/>
        <v>3157894.8000000003</v>
      </c>
      <c r="V289" s="69">
        <f t="shared" si="193"/>
        <v>0</v>
      </c>
      <c r="W289" s="379" t="s">
        <v>41</v>
      </c>
      <c r="X289" s="209" t="s">
        <v>42</v>
      </c>
      <c r="Y289" s="379" t="s">
        <v>43</v>
      </c>
    </row>
    <row r="290" spans="1:37" ht="263.10000000000002" customHeight="1" x14ac:dyDescent="0.25">
      <c r="A290" s="13">
        <f t="shared" si="199"/>
        <v>3</v>
      </c>
      <c r="B290" s="675">
        <v>275</v>
      </c>
      <c r="C290" s="95">
        <v>280</v>
      </c>
      <c r="D290" s="160" t="s">
        <v>593</v>
      </c>
      <c r="E290" s="272" t="s">
        <v>594</v>
      </c>
      <c r="F290" s="377">
        <v>1</v>
      </c>
      <c r="G290" s="377" t="s">
        <v>24</v>
      </c>
      <c r="H290" s="341"/>
      <c r="I290" s="341"/>
      <c r="J290" s="378">
        <v>1052631.6000000001</v>
      </c>
      <c r="K290" s="64">
        <f t="shared" si="194"/>
        <v>1052631.6000000001</v>
      </c>
      <c r="L290" s="378">
        <v>1052631.6000000001</v>
      </c>
      <c r="M290" s="217">
        <f t="shared" si="195"/>
        <v>1052631.6000000001</v>
      </c>
      <c r="N290" s="378">
        <v>1052631.6000000001</v>
      </c>
      <c r="O290" s="35">
        <f t="shared" si="196"/>
        <v>1052631.6000000001</v>
      </c>
      <c r="P290" s="68">
        <f t="shared" si="189"/>
        <v>1052631.6000000001</v>
      </c>
      <c r="Q290" s="163">
        <f t="shared" si="198"/>
        <v>1052631.6000000001</v>
      </c>
      <c r="R290" s="68">
        <f t="shared" si="190"/>
        <v>0</v>
      </c>
      <c r="S290" s="69">
        <f t="shared" si="191"/>
        <v>0</v>
      </c>
      <c r="T290" s="68">
        <f t="shared" si="192"/>
        <v>1052631.6000000001</v>
      </c>
      <c r="U290" s="163">
        <f t="shared" si="197"/>
        <v>1052631.6000000001</v>
      </c>
      <c r="V290" s="69">
        <f t="shared" si="193"/>
        <v>0</v>
      </c>
      <c r="W290" s="379" t="s">
        <v>41</v>
      </c>
      <c r="X290" s="209" t="s">
        <v>42</v>
      </c>
      <c r="Y290" s="379" t="s">
        <v>43</v>
      </c>
      <c r="Z290" t="s">
        <v>205</v>
      </c>
      <c r="AA290" t="s">
        <v>206</v>
      </c>
    </row>
    <row r="291" spans="1:37" ht="213" customHeight="1" x14ac:dyDescent="0.25">
      <c r="A291" s="13">
        <f t="shared" si="199"/>
        <v>3</v>
      </c>
      <c r="B291" s="675">
        <v>276</v>
      </c>
      <c r="C291" s="95">
        <v>281</v>
      </c>
      <c r="D291" s="160" t="s">
        <v>595</v>
      </c>
      <c r="E291" s="272" t="s">
        <v>592</v>
      </c>
      <c r="F291" s="381">
        <v>3</v>
      </c>
      <c r="G291" s="381" t="s">
        <v>24</v>
      </c>
      <c r="H291" s="382"/>
      <c r="I291" s="382"/>
      <c r="J291" s="378">
        <v>1052631.6000000001</v>
      </c>
      <c r="K291" s="64">
        <f t="shared" si="194"/>
        <v>3157894.8000000003</v>
      </c>
      <c r="L291" s="378">
        <v>1052631.6000000001</v>
      </c>
      <c r="M291" s="217">
        <f t="shared" si="195"/>
        <v>3157894.8000000003</v>
      </c>
      <c r="N291" s="378">
        <v>1052631.6000000001</v>
      </c>
      <c r="O291" s="35">
        <f t="shared" si="196"/>
        <v>3157894.8000000003</v>
      </c>
      <c r="P291" s="197">
        <f t="shared" si="189"/>
        <v>1052631.6000000001</v>
      </c>
      <c r="Q291" s="163">
        <f t="shared" si="198"/>
        <v>3157894.8000000003</v>
      </c>
      <c r="R291" s="197">
        <f t="shared" si="190"/>
        <v>0</v>
      </c>
      <c r="S291" s="198">
        <f t="shared" si="191"/>
        <v>0</v>
      </c>
      <c r="T291" s="197">
        <f t="shared" si="192"/>
        <v>1052631.6000000001</v>
      </c>
      <c r="U291" s="163">
        <f t="shared" si="197"/>
        <v>3157894.8000000003</v>
      </c>
      <c r="V291" s="198">
        <f t="shared" si="193"/>
        <v>0</v>
      </c>
      <c r="W291" s="379" t="s">
        <v>41</v>
      </c>
      <c r="X291" s="209" t="s">
        <v>42</v>
      </c>
      <c r="Y291" s="379" t="s">
        <v>43</v>
      </c>
      <c r="Z291" s="383">
        <f>SUM(Q269:Q291)</f>
        <v>94361249.191365555</v>
      </c>
      <c r="AA291" s="383">
        <f>SUM(U269:U291)</f>
        <v>95074081.049474776</v>
      </c>
    </row>
    <row r="292" spans="1:37" s="388" customFormat="1" ht="29.65" customHeight="1" x14ac:dyDescent="0.25">
      <c r="A292" s="384"/>
      <c r="B292" s="384"/>
      <c r="C292" s="384"/>
      <c r="D292" s="384"/>
      <c r="E292" s="689" t="s">
        <v>1079</v>
      </c>
      <c r="F292" s="690"/>
      <c r="G292" s="690"/>
      <c r="H292" s="690"/>
      <c r="I292" s="690"/>
      <c r="J292" s="384"/>
      <c r="K292" s="384"/>
      <c r="L292" s="384"/>
      <c r="M292" s="384"/>
      <c r="N292" s="384"/>
      <c r="O292" s="384"/>
      <c r="P292" s="384"/>
      <c r="Q292" s="384"/>
      <c r="R292" s="384"/>
      <c r="S292" s="384"/>
      <c r="T292" s="384"/>
      <c r="U292" s="384"/>
      <c r="V292" s="384"/>
      <c r="W292" s="384"/>
      <c r="X292" s="385"/>
      <c r="Y292" s="386"/>
      <c r="Z292" s="387"/>
      <c r="AA292" s="387"/>
      <c r="AB292" s="387"/>
      <c r="AC292" s="387"/>
      <c r="AD292" s="387"/>
      <c r="AE292" s="387"/>
      <c r="AF292" s="387"/>
      <c r="AG292" s="387"/>
      <c r="AH292" s="387"/>
      <c r="AI292" s="387"/>
      <c r="AJ292" s="387"/>
      <c r="AK292" s="387"/>
    </row>
    <row r="293" spans="1:37" ht="63" customHeight="1" x14ac:dyDescent="0.25">
      <c r="A293" s="13">
        <f t="shared" ref="A293:A356" si="200">+COUNT(J293,L293,N293)</f>
        <v>3</v>
      </c>
      <c r="B293" s="674">
        <v>277</v>
      </c>
      <c r="C293" s="102">
        <v>282</v>
      </c>
      <c r="D293" s="389" t="s">
        <v>141</v>
      </c>
      <c r="E293" s="112" t="s">
        <v>142</v>
      </c>
      <c r="F293" s="113">
        <v>1</v>
      </c>
      <c r="G293" s="113" t="s">
        <v>24</v>
      </c>
      <c r="H293" s="114">
        <v>1</v>
      </c>
      <c r="I293" s="114" t="s">
        <v>29</v>
      </c>
      <c r="J293" s="34">
        <f>+(6902000*100)/119</f>
        <v>5800000</v>
      </c>
      <c r="K293" s="35">
        <f t="shared" ref="K293:K336" si="201">+J293*F293*H293</f>
        <v>5800000</v>
      </c>
      <c r="L293" s="43">
        <f>+(3391500*100)/119</f>
        <v>2850000</v>
      </c>
      <c r="M293" s="58">
        <f t="shared" ref="M293:M304" si="202">+L293*H293*F293</f>
        <v>2850000</v>
      </c>
      <c r="N293" s="43">
        <v>5800000</v>
      </c>
      <c r="O293" s="41">
        <f t="shared" ref="O293:O342" si="203">+N293*H293*F293</f>
        <v>5800000</v>
      </c>
      <c r="P293" s="68">
        <f t="shared" ref="P293:P304" si="204">+AVERAGE(J293,L293,N293)</f>
        <v>4816666.666666667</v>
      </c>
      <c r="Q293" s="68">
        <f t="shared" ref="Q293:Q304" si="205">+P293*H293*F293</f>
        <v>4816666.666666667</v>
      </c>
      <c r="R293" s="68">
        <f t="shared" ref="R293:R304" si="206">+_xlfn.STDEV.P(J293,L293,N293)</f>
        <v>1390643.3363335435</v>
      </c>
      <c r="S293" s="69">
        <f t="shared" ref="S293:S304" si="207">+R293/P293</f>
        <v>0.28871487951561453</v>
      </c>
      <c r="T293" s="68">
        <f t="shared" ref="T293:T304" si="208">+MEDIAN(J293,L293,N293)</f>
        <v>5800000</v>
      </c>
      <c r="U293" s="68">
        <f t="shared" ref="U293:U304" si="209">+T293*F293*H293</f>
        <v>5800000</v>
      </c>
      <c r="V293" s="69">
        <f t="shared" ref="V293:V304" si="210">+R293/T293</f>
        <v>0.2397660924713006</v>
      </c>
      <c r="W293" s="47" t="s">
        <v>143</v>
      </c>
      <c r="X293" s="390" t="s">
        <v>42</v>
      </c>
      <c r="Y293" s="48" t="s">
        <v>41</v>
      </c>
      <c r="Z293" s="28"/>
      <c r="AA293" s="28"/>
      <c r="AB293" s="28"/>
      <c r="AC293" s="28"/>
      <c r="AD293" s="28"/>
      <c r="AE293" s="28"/>
      <c r="AF293" s="28"/>
      <c r="AG293" s="28"/>
      <c r="AH293" s="28"/>
      <c r="AI293" s="28"/>
      <c r="AJ293" s="28"/>
      <c r="AK293" s="28"/>
    </row>
    <row r="294" spans="1:37" ht="27" customHeight="1" x14ac:dyDescent="0.25">
      <c r="A294" s="13">
        <f t="shared" si="200"/>
        <v>3</v>
      </c>
      <c r="B294" s="674">
        <v>278</v>
      </c>
      <c r="C294" s="102">
        <v>283</v>
      </c>
      <c r="D294" s="391" t="s">
        <v>495</v>
      </c>
      <c r="E294" s="392" t="s">
        <v>596</v>
      </c>
      <c r="F294" s="113">
        <v>1</v>
      </c>
      <c r="G294" s="113" t="s">
        <v>24</v>
      </c>
      <c r="H294" s="114">
        <v>1</v>
      </c>
      <c r="I294" s="114" t="s">
        <v>29</v>
      </c>
      <c r="J294" s="35">
        <f>+(1904000*100)/119</f>
        <v>1600000</v>
      </c>
      <c r="K294" s="35">
        <f t="shared" si="201"/>
        <v>1600000</v>
      </c>
      <c r="L294" s="196">
        <v>1312000</v>
      </c>
      <c r="M294" s="147">
        <f t="shared" si="202"/>
        <v>1312000</v>
      </c>
      <c r="N294" s="196">
        <v>2200000</v>
      </c>
      <c r="O294" s="41">
        <f t="shared" si="203"/>
        <v>2200000</v>
      </c>
      <c r="P294" s="68">
        <f t="shared" si="204"/>
        <v>1704000</v>
      </c>
      <c r="Q294" s="68">
        <f t="shared" si="205"/>
        <v>1704000</v>
      </c>
      <c r="R294" s="68">
        <f t="shared" si="206"/>
        <v>369908.09669430053</v>
      </c>
      <c r="S294" s="69">
        <f t="shared" si="207"/>
        <v>0.21708221636989469</v>
      </c>
      <c r="T294" s="68">
        <f t="shared" si="208"/>
        <v>1600000</v>
      </c>
      <c r="U294" s="68">
        <f t="shared" si="209"/>
        <v>1600000</v>
      </c>
      <c r="V294" s="69">
        <f t="shared" si="210"/>
        <v>0.23119256043393782</v>
      </c>
      <c r="W294" s="88" t="s">
        <v>143</v>
      </c>
      <c r="X294" s="393" t="s">
        <v>248</v>
      </c>
      <c r="Y294" s="89" t="s">
        <v>41</v>
      </c>
      <c r="Z294" s="28"/>
      <c r="AA294" s="28"/>
      <c r="AB294" s="28"/>
      <c r="AC294" s="28"/>
      <c r="AD294" s="28"/>
      <c r="AE294" s="28"/>
      <c r="AF294" s="28"/>
      <c r="AG294" s="28"/>
      <c r="AH294" s="28"/>
      <c r="AI294" s="28"/>
      <c r="AJ294" s="28"/>
      <c r="AK294" s="28"/>
    </row>
    <row r="295" spans="1:37" ht="141.75" customHeight="1" x14ac:dyDescent="0.25">
      <c r="A295" s="13">
        <f t="shared" si="200"/>
        <v>3</v>
      </c>
      <c r="B295" s="674">
        <v>279</v>
      </c>
      <c r="C295" s="102">
        <v>284</v>
      </c>
      <c r="D295" s="389" t="s">
        <v>597</v>
      </c>
      <c r="E295" s="112" t="s">
        <v>598</v>
      </c>
      <c r="F295" s="113">
        <v>10</v>
      </c>
      <c r="G295" s="113" t="s">
        <v>24</v>
      </c>
      <c r="H295" s="114">
        <v>1</v>
      </c>
      <c r="I295" s="114" t="s">
        <v>29</v>
      </c>
      <c r="J295" s="35">
        <f>+(428400*100)/119</f>
        <v>360000</v>
      </c>
      <c r="K295" s="35">
        <f t="shared" si="201"/>
        <v>3600000</v>
      </c>
      <c r="L295" s="196">
        <f>+(178500*100)/119</f>
        <v>150000</v>
      </c>
      <c r="M295" s="148">
        <f t="shared" si="202"/>
        <v>1500000</v>
      </c>
      <c r="N295" s="196">
        <v>350000</v>
      </c>
      <c r="O295" s="41">
        <f t="shared" si="203"/>
        <v>3500000</v>
      </c>
      <c r="P295" s="68">
        <f t="shared" si="204"/>
        <v>286666.66666666669</v>
      </c>
      <c r="Q295" s="68">
        <f t="shared" si="205"/>
        <v>2866666.666666667</v>
      </c>
      <c r="R295" s="68">
        <f t="shared" si="206"/>
        <v>96724.120856979396</v>
      </c>
      <c r="S295" s="69">
        <f t="shared" si="207"/>
        <v>0.33740972391969554</v>
      </c>
      <c r="T295" s="68">
        <f t="shared" si="208"/>
        <v>350000</v>
      </c>
      <c r="U295" s="68">
        <f t="shared" si="209"/>
        <v>3500000</v>
      </c>
      <c r="V295" s="69">
        <f t="shared" si="210"/>
        <v>0.27635463101994112</v>
      </c>
      <c r="W295" s="393" t="s">
        <v>143</v>
      </c>
      <c r="X295" s="393" t="s">
        <v>144</v>
      </c>
      <c r="Y295" s="89" t="s">
        <v>41</v>
      </c>
      <c r="Z295" s="28"/>
      <c r="AA295" s="28"/>
      <c r="AB295" s="28"/>
      <c r="AC295" s="28"/>
      <c r="AD295" s="28"/>
      <c r="AE295" s="28"/>
      <c r="AF295" s="28"/>
      <c r="AG295" s="28"/>
      <c r="AH295" s="28"/>
      <c r="AI295" s="28"/>
      <c r="AJ295" s="28"/>
      <c r="AK295" s="28"/>
    </row>
    <row r="296" spans="1:37" ht="78.75" customHeight="1" x14ac:dyDescent="0.25">
      <c r="A296" s="13">
        <f t="shared" si="200"/>
        <v>3</v>
      </c>
      <c r="B296" s="674">
        <v>280</v>
      </c>
      <c r="C296" s="102">
        <v>285</v>
      </c>
      <c r="D296" s="394" t="s">
        <v>358</v>
      </c>
      <c r="E296" s="395" t="s">
        <v>359</v>
      </c>
      <c r="F296" s="56">
        <v>2</v>
      </c>
      <c r="G296" s="56" t="s">
        <v>24</v>
      </c>
      <c r="H296" s="396">
        <v>1</v>
      </c>
      <c r="I296" s="396" t="s">
        <v>29</v>
      </c>
      <c r="J296" s="58">
        <f>+(809200*100)/119</f>
        <v>680000</v>
      </c>
      <c r="K296" s="59">
        <f t="shared" si="201"/>
        <v>1360000</v>
      </c>
      <c r="L296" s="35">
        <f>+(1309000*100)/119</f>
        <v>1100000</v>
      </c>
      <c r="M296" s="35">
        <f t="shared" si="202"/>
        <v>2200000</v>
      </c>
      <c r="N296" s="35">
        <v>700000</v>
      </c>
      <c r="O296" s="41">
        <f t="shared" si="203"/>
        <v>1400000</v>
      </c>
      <c r="P296" s="68">
        <f t="shared" si="204"/>
        <v>826666.66666666663</v>
      </c>
      <c r="Q296" s="68">
        <f t="shared" si="205"/>
        <v>1653333.3333333333</v>
      </c>
      <c r="R296" s="68">
        <f t="shared" si="206"/>
        <v>193448.24171395879</v>
      </c>
      <c r="S296" s="69">
        <f t="shared" si="207"/>
        <v>0.23400996981527275</v>
      </c>
      <c r="T296" s="68">
        <f t="shared" si="208"/>
        <v>700000</v>
      </c>
      <c r="U296" s="68">
        <f t="shared" si="209"/>
        <v>1400000</v>
      </c>
      <c r="V296" s="69">
        <f t="shared" si="210"/>
        <v>0.27635463101994112</v>
      </c>
      <c r="W296" s="127" t="s">
        <v>143</v>
      </c>
      <c r="X296" s="127" t="s">
        <v>144</v>
      </c>
      <c r="Y296" s="27" t="s">
        <v>41</v>
      </c>
      <c r="Z296" s="28"/>
      <c r="AA296" s="28"/>
      <c r="AB296" s="28"/>
      <c r="AC296" s="28"/>
      <c r="AD296" s="28"/>
      <c r="AE296" s="28"/>
      <c r="AF296" s="28"/>
      <c r="AG296" s="28"/>
      <c r="AH296" s="28"/>
      <c r="AI296" s="28"/>
      <c r="AJ296" s="28"/>
      <c r="AK296" s="28"/>
    </row>
    <row r="297" spans="1:37" ht="56.1" customHeight="1" x14ac:dyDescent="0.25">
      <c r="A297" s="13">
        <f t="shared" si="200"/>
        <v>3</v>
      </c>
      <c r="B297" s="674">
        <v>281</v>
      </c>
      <c r="C297" s="102">
        <v>286</v>
      </c>
      <c r="D297" s="116" t="s">
        <v>599</v>
      </c>
      <c r="E297" s="117" t="s">
        <v>600</v>
      </c>
      <c r="F297" s="32">
        <v>16</v>
      </c>
      <c r="G297" s="32" t="s">
        <v>24</v>
      </c>
      <c r="H297" s="118">
        <v>1</v>
      </c>
      <c r="I297" s="118" t="s">
        <v>29</v>
      </c>
      <c r="J297" s="34">
        <f>+(22900*100)/119</f>
        <v>19243.697478991595</v>
      </c>
      <c r="K297" s="40">
        <f t="shared" si="201"/>
        <v>307899.15966386552</v>
      </c>
      <c r="L297" s="107">
        <f>+(21420*100)/119</f>
        <v>18000</v>
      </c>
      <c r="M297" s="107">
        <f t="shared" si="202"/>
        <v>288000</v>
      </c>
      <c r="N297" s="107">
        <f>+(14280*100)/119</f>
        <v>12000</v>
      </c>
      <c r="O297" s="41">
        <f t="shared" si="203"/>
        <v>192000</v>
      </c>
      <c r="P297" s="68">
        <f t="shared" si="204"/>
        <v>16414.565826330534</v>
      </c>
      <c r="Q297" s="68">
        <f t="shared" si="205"/>
        <v>262633.05322128854</v>
      </c>
      <c r="R297" s="68">
        <f t="shared" si="206"/>
        <v>3162.5927581723654</v>
      </c>
      <c r="S297" s="69">
        <f t="shared" si="207"/>
        <v>0.19266990011391372</v>
      </c>
      <c r="T297" s="68">
        <f t="shared" si="208"/>
        <v>18000</v>
      </c>
      <c r="U297" s="68">
        <f t="shared" si="209"/>
        <v>288000</v>
      </c>
      <c r="V297" s="69">
        <f t="shared" si="210"/>
        <v>0.17569959767624252</v>
      </c>
      <c r="W297" s="47" t="s">
        <v>290</v>
      </c>
      <c r="X297" s="47" t="s">
        <v>252</v>
      </c>
      <c r="Y297" s="48" t="s">
        <v>251</v>
      </c>
      <c r="Z297" s="28"/>
      <c r="AA297" s="28"/>
      <c r="AB297" s="28"/>
      <c r="AC297" s="28"/>
      <c r="AD297" s="28"/>
      <c r="AE297" s="28"/>
      <c r="AF297" s="28"/>
      <c r="AG297" s="28"/>
      <c r="AH297" s="28"/>
      <c r="AI297" s="28"/>
      <c r="AJ297" s="28"/>
      <c r="AK297" s="28"/>
    </row>
    <row r="298" spans="1:37" ht="71.099999999999994" customHeight="1" x14ac:dyDescent="0.25">
      <c r="A298" s="13">
        <f t="shared" si="200"/>
        <v>3</v>
      </c>
      <c r="B298" s="674">
        <v>282</v>
      </c>
      <c r="C298" s="102">
        <v>287</v>
      </c>
      <c r="D298" s="116" t="s">
        <v>287</v>
      </c>
      <c r="E298" s="117" t="s">
        <v>601</v>
      </c>
      <c r="F298" s="32">
        <v>265</v>
      </c>
      <c r="G298" s="32" t="s">
        <v>24</v>
      </c>
      <c r="H298" s="118">
        <v>1</v>
      </c>
      <c r="I298" s="118" t="s">
        <v>29</v>
      </c>
      <c r="J298" s="282">
        <f>+(2500*5.35%)+2500</f>
        <v>2633.75</v>
      </c>
      <c r="K298" s="40">
        <f t="shared" si="201"/>
        <v>697943.75</v>
      </c>
      <c r="L298" s="282">
        <f>+(1429*5.35%)+1429</f>
        <v>1505.4514999999999</v>
      </c>
      <c r="M298" s="35">
        <f t="shared" si="202"/>
        <v>398944.64749999996</v>
      </c>
      <c r="N298" s="282">
        <f>+(1800*5.35%)+1800</f>
        <v>1896.3</v>
      </c>
      <c r="O298" s="41">
        <f t="shared" si="203"/>
        <v>502519.5</v>
      </c>
      <c r="P298" s="68">
        <f t="shared" si="204"/>
        <v>2011.8338333333334</v>
      </c>
      <c r="Q298" s="68">
        <f t="shared" si="205"/>
        <v>533135.96583333332</v>
      </c>
      <c r="R298" s="68">
        <f t="shared" si="206"/>
        <v>467.81436935254692</v>
      </c>
      <c r="S298" s="69">
        <f t="shared" si="207"/>
        <v>0.23253131625559878</v>
      </c>
      <c r="T298" s="68">
        <f t="shared" si="208"/>
        <v>1896.3</v>
      </c>
      <c r="U298" s="68">
        <f t="shared" si="209"/>
        <v>502519.5</v>
      </c>
      <c r="V298" s="69">
        <f t="shared" si="210"/>
        <v>0.24669850200524543</v>
      </c>
      <c r="W298" s="25" t="s">
        <v>251</v>
      </c>
      <c r="X298" s="25" t="s">
        <v>252</v>
      </c>
      <c r="Y298" s="27" t="s">
        <v>253</v>
      </c>
      <c r="Z298" s="28"/>
      <c r="AA298" s="28"/>
      <c r="AB298" s="28"/>
      <c r="AC298" s="28"/>
      <c r="AD298" s="28"/>
      <c r="AE298" s="28"/>
      <c r="AF298" s="28"/>
      <c r="AG298" s="28"/>
      <c r="AH298" s="28"/>
      <c r="AI298" s="28"/>
      <c r="AJ298" s="28"/>
      <c r="AK298" s="28"/>
    </row>
    <row r="299" spans="1:37" ht="204.75" customHeight="1" x14ac:dyDescent="0.25">
      <c r="A299" s="13">
        <f t="shared" si="200"/>
        <v>3</v>
      </c>
      <c r="B299" s="674">
        <v>283</v>
      </c>
      <c r="C299" s="102">
        <v>288</v>
      </c>
      <c r="D299" s="397" t="s">
        <v>602</v>
      </c>
      <c r="E299" s="398" t="s">
        <v>603</v>
      </c>
      <c r="F299" s="51">
        <v>10</v>
      </c>
      <c r="G299" s="51" t="s">
        <v>24</v>
      </c>
      <c r="H299" s="399">
        <v>1</v>
      </c>
      <c r="I299" s="399" t="s">
        <v>29</v>
      </c>
      <c r="J299" s="34">
        <v>250000</v>
      </c>
      <c r="K299" s="40">
        <f t="shared" si="201"/>
        <v>2500000</v>
      </c>
      <c r="L299" s="35">
        <v>280000</v>
      </c>
      <c r="M299" s="35">
        <f t="shared" si="202"/>
        <v>2800000</v>
      </c>
      <c r="N299" s="35">
        <v>295000</v>
      </c>
      <c r="O299" s="41">
        <f t="shared" si="203"/>
        <v>2950000</v>
      </c>
      <c r="P299" s="68">
        <f t="shared" si="204"/>
        <v>275000</v>
      </c>
      <c r="Q299" s="68">
        <f t="shared" si="205"/>
        <v>2750000</v>
      </c>
      <c r="R299" s="68">
        <f t="shared" si="206"/>
        <v>18708.286933869706</v>
      </c>
      <c r="S299" s="69">
        <f t="shared" si="207"/>
        <v>6.8030134304980741E-2</v>
      </c>
      <c r="T299" s="68">
        <f t="shared" si="208"/>
        <v>280000</v>
      </c>
      <c r="U299" s="68">
        <f t="shared" si="209"/>
        <v>2800000</v>
      </c>
      <c r="V299" s="69">
        <f t="shared" si="210"/>
        <v>6.6815310478106085E-2</v>
      </c>
      <c r="W299" s="400" t="s">
        <v>41</v>
      </c>
      <c r="X299" s="400" t="s">
        <v>42</v>
      </c>
      <c r="Y299" s="71" t="s">
        <v>43</v>
      </c>
      <c r="Z299" s="28"/>
      <c r="AA299" s="28"/>
      <c r="AB299" s="28"/>
      <c r="AC299" s="28"/>
      <c r="AD299" s="28"/>
      <c r="AE299" s="28"/>
      <c r="AF299" s="28"/>
      <c r="AG299" s="28"/>
      <c r="AH299" s="28"/>
      <c r="AI299" s="28"/>
      <c r="AJ299" s="28"/>
      <c r="AK299" s="28"/>
    </row>
    <row r="300" spans="1:37" ht="62.65" customHeight="1" x14ac:dyDescent="0.25">
      <c r="A300" s="13">
        <f t="shared" si="200"/>
        <v>3</v>
      </c>
      <c r="B300" s="674">
        <v>284</v>
      </c>
      <c r="C300" s="102">
        <v>289</v>
      </c>
      <c r="D300" s="401" t="s">
        <v>604</v>
      </c>
      <c r="E300" s="402" t="s">
        <v>605</v>
      </c>
      <c r="F300" s="76">
        <v>4</v>
      </c>
      <c r="G300" s="76" t="s">
        <v>24</v>
      </c>
      <c r="H300" s="403">
        <v>1</v>
      </c>
      <c r="I300" s="403" t="s">
        <v>29</v>
      </c>
      <c r="J300" s="282">
        <f>+(513000*5.35%)+513000</f>
        <v>540445.5</v>
      </c>
      <c r="K300" s="40">
        <f t="shared" si="201"/>
        <v>2161782</v>
      </c>
      <c r="L300" s="282">
        <f>+(523800*5.35%)+523800</f>
        <v>551823.30000000005</v>
      </c>
      <c r="M300" s="35">
        <f t="shared" si="202"/>
        <v>2207293.2000000002</v>
      </c>
      <c r="N300" s="282">
        <f>+(583200*5.35%)+583200</f>
        <v>614401.19999999995</v>
      </c>
      <c r="O300" s="41">
        <f t="shared" si="203"/>
        <v>2457604.7999999998</v>
      </c>
      <c r="P300" s="68">
        <f t="shared" si="204"/>
        <v>568890</v>
      </c>
      <c r="Q300" s="68">
        <f t="shared" si="205"/>
        <v>2275560</v>
      </c>
      <c r="R300" s="68">
        <f t="shared" si="206"/>
        <v>32514.771794678156</v>
      </c>
      <c r="S300" s="69">
        <f t="shared" si="207"/>
        <v>5.7154760664940775E-2</v>
      </c>
      <c r="T300" s="68">
        <f t="shared" si="208"/>
        <v>551823.30000000005</v>
      </c>
      <c r="U300" s="68">
        <f t="shared" si="209"/>
        <v>2207293.2000000002</v>
      </c>
      <c r="V300" s="69">
        <f t="shared" si="210"/>
        <v>5.8922433675196666E-2</v>
      </c>
      <c r="W300" s="88" t="s">
        <v>310</v>
      </c>
      <c r="X300" s="88" t="s">
        <v>311</v>
      </c>
      <c r="Y300" s="89" t="s">
        <v>42</v>
      </c>
      <c r="Z300" s="28"/>
      <c r="AA300" s="28"/>
      <c r="AB300" s="28"/>
      <c r="AC300" s="28"/>
      <c r="AD300" s="28"/>
      <c r="AE300" s="28"/>
      <c r="AF300" s="28"/>
      <c r="AG300" s="28"/>
      <c r="AH300" s="28"/>
      <c r="AI300" s="28"/>
      <c r="AJ300" s="28"/>
      <c r="AK300" s="28"/>
    </row>
    <row r="301" spans="1:37" s="180" customFormat="1" ht="175.5" customHeight="1" x14ac:dyDescent="0.25">
      <c r="A301" s="13">
        <f t="shared" si="200"/>
        <v>3</v>
      </c>
      <c r="B301" s="674">
        <v>285</v>
      </c>
      <c r="C301" s="102">
        <v>290</v>
      </c>
      <c r="D301" s="404" t="s">
        <v>606</v>
      </c>
      <c r="E301" s="398" t="s">
        <v>607</v>
      </c>
      <c r="F301" s="51">
        <v>1</v>
      </c>
      <c r="G301" s="51" t="s">
        <v>608</v>
      </c>
      <c r="H301" s="399">
        <v>1</v>
      </c>
      <c r="I301" s="399" t="s">
        <v>29</v>
      </c>
      <c r="J301" s="45">
        <f>+(639655*5.35%)+639655</f>
        <v>673876.54249999998</v>
      </c>
      <c r="K301" s="40">
        <f t="shared" si="201"/>
        <v>673876.54249999998</v>
      </c>
      <c r="L301" s="45">
        <f>+(652101*5.35%)+652101</f>
        <v>686988.40350000001</v>
      </c>
      <c r="M301" s="182">
        <f t="shared" si="202"/>
        <v>686988.40350000001</v>
      </c>
      <c r="N301" s="45">
        <f>+(726050*5.35%)+726050</f>
        <v>764893.67500000005</v>
      </c>
      <c r="O301" s="35">
        <f t="shared" si="203"/>
        <v>764893.67500000005</v>
      </c>
      <c r="P301" s="163">
        <f t="shared" si="204"/>
        <v>708586.20700000005</v>
      </c>
      <c r="Q301" s="163">
        <f t="shared" si="205"/>
        <v>708586.20700000005</v>
      </c>
      <c r="R301" s="163">
        <f t="shared" si="206"/>
        <v>40173.610236481538</v>
      </c>
      <c r="S301" s="183">
        <f t="shared" si="207"/>
        <v>5.6695444872639944E-2</v>
      </c>
      <c r="T301" s="163">
        <f t="shared" si="208"/>
        <v>686988.40350000001</v>
      </c>
      <c r="U301" s="163">
        <f t="shared" si="209"/>
        <v>686988.40350000001</v>
      </c>
      <c r="V301" s="183">
        <f t="shared" si="210"/>
        <v>5.8477857896594813E-2</v>
      </c>
      <c r="W301" s="81" t="s">
        <v>544</v>
      </c>
      <c r="X301" s="81" t="s">
        <v>609</v>
      </c>
      <c r="Y301" s="81" t="s">
        <v>545</v>
      </c>
      <c r="Z301" s="179"/>
      <c r="AA301" s="179"/>
      <c r="AB301" s="179"/>
      <c r="AC301" s="179"/>
      <c r="AD301" s="179"/>
      <c r="AE301" s="179"/>
      <c r="AF301" s="179"/>
      <c r="AG301" s="179"/>
      <c r="AH301" s="179"/>
      <c r="AI301" s="179"/>
      <c r="AJ301" s="179"/>
      <c r="AK301" s="179"/>
    </row>
    <row r="302" spans="1:37" ht="132.6" customHeight="1" x14ac:dyDescent="0.25">
      <c r="A302" s="13">
        <f t="shared" si="200"/>
        <v>3</v>
      </c>
      <c r="B302" s="674">
        <v>286</v>
      </c>
      <c r="C302" s="102">
        <v>291</v>
      </c>
      <c r="D302" s="212" t="s">
        <v>610</v>
      </c>
      <c r="E302" s="117" t="s">
        <v>611</v>
      </c>
      <c r="F302" s="32">
        <v>2</v>
      </c>
      <c r="G302" s="32" t="s">
        <v>24</v>
      </c>
      <c r="H302" s="118">
        <v>1</v>
      </c>
      <c r="I302" s="118" t="s">
        <v>29</v>
      </c>
      <c r="J302" s="34">
        <f>+(25000000*100)/119</f>
        <v>21008403.361344539</v>
      </c>
      <c r="K302" s="40">
        <f t="shared" si="201"/>
        <v>42016806.722689077</v>
      </c>
      <c r="L302" s="35">
        <f>+(26418000*100)/119</f>
        <v>22200000</v>
      </c>
      <c r="M302" s="35">
        <f t="shared" si="202"/>
        <v>44400000</v>
      </c>
      <c r="N302" s="35">
        <f>+(23800000*100)/119</f>
        <v>20000000</v>
      </c>
      <c r="O302" s="41">
        <f t="shared" si="203"/>
        <v>40000000</v>
      </c>
      <c r="P302" s="68">
        <f t="shared" si="204"/>
        <v>21069467.787114847</v>
      </c>
      <c r="Q302" s="68">
        <f t="shared" si="205"/>
        <v>42138935.574229695</v>
      </c>
      <c r="R302" s="68">
        <f t="shared" si="206"/>
        <v>899183.57342313335</v>
      </c>
      <c r="S302" s="69">
        <f t="shared" si="207"/>
        <v>4.267709001994982E-2</v>
      </c>
      <c r="T302" s="68">
        <f t="shared" si="208"/>
        <v>21008403.361344539</v>
      </c>
      <c r="U302" s="68">
        <f t="shared" si="209"/>
        <v>42016806.722689077</v>
      </c>
      <c r="V302" s="69">
        <f t="shared" si="210"/>
        <v>4.2801138094941148E-2</v>
      </c>
      <c r="W302" s="114" t="s">
        <v>124</v>
      </c>
      <c r="X302" s="114" t="s">
        <v>100</v>
      </c>
      <c r="Y302" s="114" t="s">
        <v>101</v>
      </c>
      <c r="Z302" s="28"/>
      <c r="AA302" s="28"/>
      <c r="AB302" s="28"/>
      <c r="AC302" s="28"/>
      <c r="AD302" s="28"/>
      <c r="AE302" s="28"/>
      <c r="AF302" s="28"/>
      <c r="AG302" s="28"/>
      <c r="AH302" s="28"/>
      <c r="AI302" s="28"/>
      <c r="AJ302" s="28"/>
      <c r="AK302" s="28"/>
    </row>
    <row r="303" spans="1:37" ht="189" x14ac:dyDescent="0.25">
      <c r="A303" s="13">
        <f t="shared" si="200"/>
        <v>3</v>
      </c>
      <c r="B303" s="674">
        <v>287</v>
      </c>
      <c r="C303" s="102">
        <v>292</v>
      </c>
      <c r="D303" s="212" t="s">
        <v>612</v>
      </c>
      <c r="E303" s="117" t="s">
        <v>613</v>
      </c>
      <c r="F303" s="32">
        <v>2</v>
      </c>
      <c r="G303" s="32" t="s">
        <v>24</v>
      </c>
      <c r="H303" s="118">
        <v>1</v>
      </c>
      <c r="I303" s="118" t="s">
        <v>29</v>
      </c>
      <c r="J303" s="34">
        <f>+(5000000*100)/119</f>
        <v>4201680.6722689075</v>
      </c>
      <c r="K303" s="44">
        <f>+J303*F303*H303</f>
        <v>8403361.3445378151</v>
      </c>
      <c r="L303" s="196">
        <v>8585850</v>
      </c>
      <c r="M303" s="196">
        <f t="shared" si="202"/>
        <v>17171700</v>
      </c>
      <c r="N303" s="196">
        <f>+(7735000*100)/119</f>
        <v>6500000</v>
      </c>
      <c r="O303" s="41">
        <f t="shared" si="203"/>
        <v>13000000</v>
      </c>
      <c r="P303" s="68">
        <f t="shared" si="204"/>
        <v>6429176.8907563025</v>
      </c>
      <c r="Q303" s="68">
        <f t="shared" si="205"/>
        <v>12858353.781512605</v>
      </c>
      <c r="R303" s="68">
        <f t="shared" si="206"/>
        <v>1790530.1092426453</v>
      </c>
      <c r="S303" s="69">
        <f t="shared" si="207"/>
        <v>0.2785006758512153</v>
      </c>
      <c r="T303" s="68">
        <f t="shared" si="208"/>
        <v>6500000</v>
      </c>
      <c r="U303" s="68">
        <f t="shared" si="209"/>
        <v>13000000</v>
      </c>
      <c r="V303" s="69">
        <f t="shared" si="210"/>
        <v>0.27546617065271467</v>
      </c>
      <c r="W303" s="114" t="s">
        <v>124</v>
      </c>
      <c r="X303" s="114" t="s">
        <v>100</v>
      </c>
      <c r="Y303" s="114" t="s">
        <v>101</v>
      </c>
      <c r="Z303" s="28"/>
      <c r="AA303" s="28"/>
      <c r="AB303" s="28"/>
      <c r="AC303" s="28"/>
      <c r="AD303" s="28"/>
      <c r="AE303" s="28"/>
      <c r="AF303" s="28"/>
      <c r="AG303" s="28"/>
      <c r="AH303" s="28"/>
      <c r="AI303" s="28"/>
      <c r="AJ303" s="28"/>
      <c r="AK303" s="28"/>
    </row>
    <row r="304" spans="1:37" ht="283.5" x14ac:dyDescent="0.25">
      <c r="A304" s="13">
        <f t="shared" si="200"/>
        <v>3</v>
      </c>
      <c r="B304" s="674">
        <v>288</v>
      </c>
      <c r="C304" s="102">
        <v>293</v>
      </c>
      <c r="D304" s="212" t="s">
        <v>614</v>
      </c>
      <c r="E304" s="117" t="s">
        <v>615</v>
      </c>
      <c r="F304" s="32">
        <v>1</v>
      </c>
      <c r="G304" s="32" t="s">
        <v>24</v>
      </c>
      <c r="H304" s="118">
        <v>1</v>
      </c>
      <c r="I304" s="118" t="s">
        <v>29</v>
      </c>
      <c r="J304" s="40">
        <f>+(2500000*100)/119</f>
        <v>2100840.3361344538</v>
      </c>
      <c r="K304" s="35">
        <f t="shared" si="201"/>
        <v>2100840.3361344538</v>
      </c>
      <c r="L304" s="35">
        <f>+(3302250*100)/119</f>
        <v>2775000</v>
      </c>
      <c r="M304" s="35">
        <f t="shared" si="202"/>
        <v>2775000</v>
      </c>
      <c r="N304" s="35">
        <f>+(2975000*100)/119</f>
        <v>2500000</v>
      </c>
      <c r="O304" s="41">
        <f t="shared" si="203"/>
        <v>2500000</v>
      </c>
      <c r="P304" s="68">
        <f t="shared" si="204"/>
        <v>2458613.4453781513</v>
      </c>
      <c r="Q304" s="68">
        <f t="shared" si="205"/>
        <v>2458613.4453781513</v>
      </c>
      <c r="R304" s="68">
        <f t="shared" si="206"/>
        <v>276776.02048518794</v>
      </c>
      <c r="S304" s="69">
        <f t="shared" si="207"/>
        <v>0.11257402866867423</v>
      </c>
      <c r="T304" s="68">
        <f t="shared" si="208"/>
        <v>2500000</v>
      </c>
      <c r="U304" s="68">
        <f t="shared" si="209"/>
        <v>2500000</v>
      </c>
      <c r="V304" s="69">
        <f t="shared" si="210"/>
        <v>0.11071040819407517</v>
      </c>
      <c r="W304" s="405" t="s">
        <v>124</v>
      </c>
      <c r="X304" s="405" t="s">
        <v>100</v>
      </c>
      <c r="Y304" s="405" t="s">
        <v>101</v>
      </c>
      <c r="Z304" s="28"/>
      <c r="AA304" s="28"/>
      <c r="AB304" s="28"/>
      <c r="AC304" s="28"/>
      <c r="AD304" s="28"/>
      <c r="AE304" s="28"/>
      <c r="AF304" s="28"/>
      <c r="AG304" s="28"/>
      <c r="AH304" s="28"/>
      <c r="AI304" s="28"/>
      <c r="AJ304" s="28"/>
      <c r="AK304" s="28"/>
    </row>
    <row r="305" spans="1:37" ht="78.75" customHeight="1" x14ac:dyDescent="0.25">
      <c r="A305" s="13">
        <f t="shared" si="200"/>
        <v>1</v>
      </c>
      <c r="B305" s="674">
        <v>289</v>
      </c>
      <c r="C305" s="102">
        <v>294</v>
      </c>
      <c r="D305" s="397" t="s">
        <v>616</v>
      </c>
      <c r="E305" s="117" t="s">
        <v>617</v>
      </c>
      <c r="F305" s="32">
        <v>6</v>
      </c>
      <c r="G305" s="32" t="s">
        <v>24</v>
      </c>
      <c r="H305" s="118">
        <v>1</v>
      </c>
      <c r="I305" s="118" t="s">
        <v>29</v>
      </c>
      <c r="J305" s="34">
        <f>1540000/30</f>
        <v>51333.333333333336</v>
      </c>
      <c r="K305" s="58">
        <f t="shared" si="201"/>
        <v>308000</v>
      </c>
      <c r="L305" s="147"/>
      <c r="M305" s="147"/>
      <c r="N305" s="148"/>
      <c r="O305" s="41"/>
      <c r="P305" s="22">
        <f>+(ROUND(AVERAGE(J305),0))</f>
        <v>51333</v>
      </c>
      <c r="Q305" s="22">
        <f>+P305*F305*H305</f>
        <v>307998</v>
      </c>
      <c r="R305" s="23">
        <f>+_xlfn.STDEV.P(J305,L305,N305)</f>
        <v>0</v>
      </c>
      <c r="S305" s="24">
        <f>+R305/P305</f>
        <v>0</v>
      </c>
      <c r="T305" s="23">
        <f>+MEDIAN(J305,L305,N305)</f>
        <v>51333.333333333336</v>
      </c>
      <c r="U305" s="23">
        <f>+T305*F305*H305</f>
        <v>308000</v>
      </c>
      <c r="V305" s="24">
        <f>+R305/T305</f>
        <v>0</v>
      </c>
      <c r="W305" s="47" t="s">
        <v>26</v>
      </c>
      <c r="X305" s="390"/>
      <c r="Y305" s="48"/>
      <c r="Z305" s="28"/>
      <c r="AA305" s="28"/>
      <c r="AB305" s="28"/>
      <c r="AC305" s="28"/>
      <c r="AD305" s="28"/>
      <c r="AE305" s="28"/>
      <c r="AF305" s="28"/>
      <c r="AG305" s="28"/>
      <c r="AH305" s="28"/>
      <c r="AI305" s="28"/>
      <c r="AJ305" s="28"/>
      <c r="AK305" s="28"/>
    </row>
    <row r="306" spans="1:37" ht="63" customHeight="1" x14ac:dyDescent="0.25">
      <c r="A306" s="13">
        <f t="shared" si="200"/>
        <v>3</v>
      </c>
      <c r="B306" s="674">
        <v>290</v>
      </c>
      <c r="C306" s="102">
        <v>295</v>
      </c>
      <c r="D306" s="397" t="s">
        <v>618</v>
      </c>
      <c r="E306" s="117" t="s">
        <v>619</v>
      </c>
      <c r="F306" s="32">
        <v>2</v>
      </c>
      <c r="G306" s="32" t="s">
        <v>24</v>
      </c>
      <c r="H306" s="118">
        <v>1</v>
      </c>
      <c r="I306" s="118" t="s">
        <v>29</v>
      </c>
      <c r="J306" s="34">
        <f>+(2500000*100)/119</f>
        <v>2100840.3361344538</v>
      </c>
      <c r="K306" s="40">
        <f t="shared" si="201"/>
        <v>4201680.6722689075</v>
      </c>
      <c r="L306" s="35">
        <f>+(2550000*100)/119</f>
        <v>2142857.1428571427</v>
      </c>
      <c r="M306" s="35">
        <f t="shared" ref="M306:M318" si="211">+L306*H306*F306</f>
        <v>4285714.2857142854</v>
      </c>
      <c r="N306" s="80">
        <v>1890756</v>
      </c>
      <c r="O306" s="41">
        <f t="shared" si="203"/>
        <v>3781512</v>
      </c>
      <c r="P306" s="68">
        <f t="shared" ref="P306:P317" si="212">+AVERAGE(J306,L306,N306)</f>
        <v>2044817.8263305321</v>
      </c>
      <c r="Q306" s="68">
        <f t="shared" ref="Q306:Q317" si="213">+P306*H306*F306</f>
        <v>4089635.6526610642</v>
      </c>
      <c r="R306" s="68">
        <f t="shared" ref="R306:R326" si="214">+_xlfn.STDEV.P(J306,L306,N306)</f>
        <v>110280.36319918804</v>
      </c>
      <c r="S306" s="69">
        <f t="shared" ref="S306:S326" si="215">+R306/P306</f>
        <v>5.3931632333765613E-2</v>
      </c>
      <c r="T306" s="68">
        <f t="shared" ref="T306:T326" si="216">+MEDIAN(J306,L306,N306)</f>
        <v>2100840.3361344538</v>
      </c>
      <c r="U306" s="68">
        <f t="shared" ref="U306:U326" si="217">+T306*F306*H306</f>
        <v>4201680.6722689075</v>
      </c>
      <c r="V306" s="69">
        <f t="shared" ref="V306:V326" si="218">+R306/T306</f>
        <v>5.2493452882813506E-2</v>
      </c>
      <c r="W306" s="390" t="s">
        <v>620</v>
      </c>
      <c r="X306" s="390" t="s">
        <v>180</v>
      </c>
      <c r="Y306" s="256" t="s">
        <v>621</v>
      </c>
      <c r="Z306" s="28"/>
      <c r="AA306" s="28"/>
      <c r="AB306" s="28"/>
      <c r="AC306" s="28"/>
      <c r="AD306" s="28"/>
      <c r="AE306" s="28"/>
      <c r="AF306" s="28"/>
      <c r="AG306" s="28"/>
      <c r="AH306" s="28"/>
      <c r="AI306" s="28"/>
      <c r="AJ306" s="28"/>
      <c r="AK306" s="28"/>
    </row>
    <row r="307" spans="1:37" ht="119.65" customHeight="1" x14ac:dyDescent="0.25">
      <c r="A307" s="13">
        <f t="shared" si="200"/>
        <v>3</v>
      </c>
      <c r="B307" s="674">
        <v>291</v>
      </c>
      <c r="C307" s="102">
        <v>296</v>
      </c>
      <c r="D307" s="289" t="s">
        <v>622</v>
      </c>
      <c r="E307" s="117" t="s">
        <v>623</v>
      </c>
      <c r="F307" s="32">
        <v>15</v>
      </c>
      <c r="G307" s="32" t="s">
        <v>24</v>
      </c>
      <c r="H307" s="118">
        <v>1</v>
      </c>
      <c r="I307" s="118" t="s">
        <v>29</v>
      </c>
      <c r="J307" s="34">
        <f>+(250000*100)/119</f>
        <v>210084.03361344538</v>
      </c>
      <c r="K307" s="40">
        <f t="shared" si="201"/>
        <v>3151260.5042016809</v>
      </c>
      <c r="L307" s="35">
        <f>+(330225*100)/119</f>
        <v>277500</v>
      </c>
      <c r="M307" s="35">
        <f t="shared" si="211"/>
        <v>4162500</v>
      </c>
      <c r="N307" s="115">
        <f>+(297500*100)/119</f>
        <v>250000</v>
      </c>
      <c r="O307" s="41">
        <f t="shared" si="203"/>
        <v>3750000</v>
      </c>
      <c r="P307" s="68">
        <f t="shared" si="212"/>
        <v>245861.34453781511</v>
      </c>
      <c r="Q307" s="68">
        <f t="shared" si="213"/>
        <v>3687920.1680672267</v>
      </c>
      <c r="R307" s="68">
        <f t="shared" si="214"/>
        <v>27677.602048518984</v>
      </c>
      <c r="S307" s="69">
        <f t="shared" si="215"/>
        <v>0.11257402866867501</v>
      </c>
      <c r="T307" s="68">
        <f t="shared" si="216"/>
        <v>250000</v>
      </c>
      <c r="U307" s="68">
        <f t="shared" si="217"/>
        <v>3750000</v>
      </c>
      <c r="V307" s="69">
        <f t="shared" si="218"/>
        <v>0.11071040819407593</v>
      </c>
      <c r="W307" s="114" t="s">
        <v>124</v>
      </c>
      <c r="X307" s="114" t="s">
        <v>100</v>
      </c>
      <c r="Y307" s="27" t="s">
        <v>101</v>
      </c>
      <c r="Z307" s="28"/>
      <c r="AA307" s="28"/>
      <c r="AB307" s="28"/>
      <c r="AC307" s="28"/>
      <c r="AD307" s="28"/>
      <c r="AE307" s="28"/>
      <c r="AF307" s="28"/>
      <c r="AG307" s="28"/>
      <c r="AH307" s="28"/>
      <c r="AI307" s="28"/>
      <c r="AJ307" s="28"/>
      <c r="AK307" s="28"/>
    </row>
    <row r="308" spans="1:37" ht="253.5" customHeight="1" x14ac:dyDescent="0.25">
      <c r="A308" s="13">
        <f t="shared" si="200"/>
        <v>3</v>
      </c>
      <c r="B308" s="674">
        <v>292</v>
      </c>
      <c r="C308" s="102">
        <v>297</v>
      </c>
      <c r="D308" s="397" t="s">
        <v>624</v>
      </c>
      <c r="E308" s="406" t="s">
        <v>625</v>
      </c>
      <c r="F308" s="32">
        <v>6</v>
      </c>
      <c r="G308" s="32" t="s">
        <v>24</v>
      </c>
      <c r="H308" s="118">
        <v>1</v>
      </c>
      <c r="I308" s="118" t="s">
        <v>491</v>
      </c>
      <c r="J308" s="228">
        <v>789473.7</v>
      </c>
      <c r="K308" s="64">
        <f t="shared" si="201"/>
        <v>4736842.1999999993</v>
      </c>
      <c r="L308" s="228">
        <v>789473.7</v>
      </c>
      <c r="M308" s="217">
        <f>+L308*F308</f>
        <v>4736842.1999999993</v>
      </c>
      <c r="N308" s="228">
        <v>789473.7</v>
      </c>
      <c r="O308" s="41">
        <f t="shared" si="203"/>
        <v>4736842.1999999993</v>
      </c>
      <c r="P308" s="68">
        <f t="shared" si="212"/>
        <v>789473.69999999984</v>
      </c>
      <c r="Q308" s="68">
        <f>+P308*F308</f>
        <v>4736842.1999999993</v>
      </c>
      <c r="R308" s="68">
        <f t="shared" si="214"/>
        <v>1.1641532182693481E-10</v>
      </c>
      <c r="S308" s="69">
        <f t="shared" si="215"/>
        <v>1.4745940469826269E-16</v>
      </c>
      <c r="T308" s="68">
        <f t="shared" si="216"/>
        <v>789473.7</v>
      </c>
      <c r="U308" s="68">
        <f>+T308*F308</f>
        <v>4736842.1999999993</v>
      </c>
      <c r="V308" s="69">
        <f t="shared" si="218"/>
        <v>1.4745940469826267E-16</v>
      </c>
      <c r="W308" s="265" t="s">
        <v>41</v>
      </c>
      <c r="X308" s="265" t="s">
        <v>42</v>
      </c>
      <c r="Y308" s="28" t="s">
        <v>43</v>
      </c>
      <c r="Z308" s="28"/>
      <c r="AA308" s="28"/>
      <c r="AB308" s="28"/>
      <c r="AC308" s="28"/>
      <c r="AD308" s="28"/>
      <c r="AE308" s="28"/>
      <c r="AF308" s="28"/>
      <c r="AG308" s="28"/>
      <c r="AH308" s="28"/>
      <c r="AI308" s="28"/>
      <c r="AJ308" s="28"/>
      <c r="AK308" s="28"/>
    </row>
    <row r="309" spans="1:37" ht="173.25" x14ac:dyDescent="0.25">
      <c r="A309" s="13">
        <f t="shared" si="200"/>
        <v>3</v>
      </c>
      <c r="B309" s="674">
        <v>293</v>
      </c>
      <c r="C309" s="102">
        <v>298</v>
      </c>
      <c r="D309" s="397" t="s">
        <v>626</v>
      </c>
      <c r="E309" s="407" t="s">
        <v>627</v>
      </c>
      <c r="F309" s="32">
        <v>6</v>
      </c>
      <c r="G309" s="32" t="s">
        <v>24</v>
      </c>
      <c r="H309" s="118">
        <v>1</v>
      </c>
      <c r="I309" s="118" t="s">
        <v>29</v>
      </c>
      <c r="J309" s="228">
        <v>789473.7</v>
      </c>
      <c r="K309" s="64">
        <f t="shared" ref="K309" si="219">+J309*F309</f>
        <v>4736842.1999999993</v>
      </c>
      <c r="L309" s="228">
        <v>789473.7</v>
      </c>
      <c r="M309" s="217">
        <f t="shared" ref="M309" si="220">+L309*F309</f>
        <v>4736842.1999999993</v>
      </c>
      <c r="N309" s="228">
        <v>789473.7</v>
      </c>
      <c r="O309" s="35">
        <f t="shared" ref="O309" si="221">+N309*F309</f>
        <v>4736842.1999999993</v>
      </c>
      <c r="P309" s="68">
        <f t="shared" si="212"/>
        <v>789473.69999999984</v>
      </c>
      <c r="Q309" s="163">
        <f t="shared" ref="Q309" si="222">+P309*F309</f>
        <v>4736842.1999999993</v>
      </c>
      <c r="R309" s="68">
        <f t="shared" si="214"/>
        <v>1.1641532182693481E-10</v>
      </c>
      <c r="S309" s="69">
        <f t="shared" si="215"/>
        <v>1.4745940469826269E-16</v>
      </c>
      <c r="T309" s="68">
        <f t="shared" si="216"/>
        <v>789473.7</v>
      </c>
      <c r="U309" s="163">
        <f t="shared" ref="U309" si="223">+T309*F309</f>
        <v>4736842.1999999993</v>
      </c>
      <c r="V309" s="69">
        <f t="shared" si="218"/>
        <v>1.4745940469826267E-16</v>
      </c>
      <c r="W309" s="408" t="s">
        <v>41</v>
      </c>
      <c r="X309" s="408" t="s">
        <v>42</v>
      </c>
      <c r="Y309" s="179" t="s">
        <v>43</v>
      </c>
      <c r="Z309" s="28"/>
      <c r="AA309" s="28"/>
      <c r="AB309" s="28"/>
      <c r="AC309" s="28"/>
      <c r="AD309" s="28"/>
      <c r="AE309" s="28"/>
      <c r="AF309" s="28"/>
      <c r="AG309" s="28"/>
      <c r="AH309" s="28"/>
      <c r="AI309" s="28"/>
      <c r="AJ309" s="28"/>
      <c r="AK309" s="28"/>
    </row>
    <row r="310" spans="1:37" s="180" customFormat="1" ht="195" customHeight="1" x14ac:dyDescent="0.25">
      <c r="A310" s="13">
        <f t="shared" si="200"/>
        <v>3</v>
      </c>
      <c r="B310" s="674">
        <v>294</v>
      </c>
      <c r="C310" s="102">
        <v>299</v>
      </c>
      <c r="D310" s="289" t="s">
        <v>628</v>
      </c>
      <c r="E310" s="398" t="s">
        <v>629</v>
      </c>
      <c r="F310" s="51">
        <v>150</v>
      </c>
      <c r="G310" s="51" t="s">
        <v>24</v>
      </c>
      <c r="H310" s="399">
        <v>1</v>
      </c>
      <c r="I310" s="399" t="s">
        <v>29</v>
      </c>
      <c r="J310" s="34">
        <v>35000</v>
      </c>
      <c r="K310" s="40">
        <f t="shared" si="201"/>
        <v>5250000</v>
      </c>
      <c r="L310" s="35">
        <v>38850</v>
      </c>
      <c r="M310" s="35">
        <f t="shared" si="211"/>
        <v>5827500</v>
      </c>
      <c r="N310" s="35">
        <v>35000</v>
      </c>
      <c r="O310" s="35">
        <f t="shared" si="203"/>
        <v>5250000</v>
      </c>
      <c r="P310" s="163">
        <f t="shared" si="212"/>
        <v>36283.333333333336</v>
      </c>
      <c r="Q310" s="163">
        <f t="shared" si="213"/>
        <v>5442500</v>
      </c>
      <c r="R310" s="163">
        <f t="shared" si="214"/>
        <v>1814.9074050454719</v>
      </c>
      <c r="S310" s="183">
        <f t="shared" si="215"/>
        <v>5.0020415389402072E-2</v>
      </c>
      <c r="T310" s="163">
        <f t="shared" si="216"/>
        <v>35000</v>
      </c>
      <c r="U310" s="163">
        <f t="shared" si="217"/>
        <v>5250000</v>
      </c>
      <c r="V310" s="183">
        <f t="shared" si="218"/>
        <v>5.1854497287013482E-2</v>
      </c>
      <c r="W310" s="409" t="s">
        <v>124</v>
      </c>
      <c r="X310" s="409" t="s">
        <v>100</v>
      </c>
      <c r="Y310" s="81" t="s">
        <v>101</v>
      </c>
      <c r="Z310" s="179"/>
      <c r="AA310" s="179"/>
      <c r="AB310" s="179"/>
      <c r="AC310" s="179"/>
      <c r="AD310" s="179"/>
      <c r="AE310" s="179"/>
      <c r="AF310" s="179"/>
      <c r="AG310" s="179"/>
      <c r="AH310" s="179"/>
      <c r="AI310" s="179"/>
      <c r="AJ310" s="179"/>
      <c r="AK310" s="179"/>
    </row>
    <row r="311" spans="1:37" s="180" customFormat="1" ht="404.65" customHeight="1" x14ac:dyDescent="0.25">
      <c r="A311" s="13">
        <f t="shared" si="200"/>
        <v>1</v>
      </c>
      <c r="B311" s="674">
        <v>295</v>
      </c>
      <c r="C311" s="102">
        <v>300</v>
      </c>
      <c r="D311" s="289" t="s">
        <v>630</v>
      </c>
      <c r="E311" s="398" t="s">
        <v>631</v>
      </c>
      <c r="F311" s="51">
        <v>1</v>
      </c>
      <c r="G311" s="51" t="s">
        <v>24</v>
      </c>
      <c r="H311" s="399">
        <v>1</v>
      </c>
      <c r="I311" s="399" t="s">
        <v>29</v>
      </c>
      <c r="J311" s="34">
        <v>600000</v>
      </c>
      <c r="K311" s="34">
        <f t="shared" si="201"/>
        <v>600000</v>
      </c>
      <c r="L311" s="43"/>
      <c r="M311" s="147">
        <f t="shared" si="211"/>
        <v>0</v>
      </c>
      <c r="N311" s="43"/>
      <c r="O311" s="35">
        <f t="shared" si="203"/>
        <v>0</v>
      </c>
      <c r="P311" s="163">
        <f t="shared" si="212"/>
        <v>600000</v>
      </c>
      <c r="Q311" s="163">
        <f t="shared" si="213"/>
        <v>600000</v>
      </c>
      <c r="R311" s="163">
        <f t="shared" si="214"/>
        <v>0</v>
      </c>
      <c r="S311" s="183">
        <f t="shared" si="215"/>
        <v>0</v>
      </c>
      <c r="T311" s="163">
        <f t="shared" si="216"/>
        <v>600000</v>
      </c>
      <c r="U311" s="163">
        <f t="shared" si="217"/>
        <v>600000</v>
      </c>
      <c r="V311" s="183">
        <f t="shared" si="218"/>
        <v>0</v>
      </c>
      <c r="W311" s="179"/>
      <c r="X311" s="179"/>
      <c r="Y311" s="179"/>
      <c r="Z311" s="179"/>
      <c r="AA311" s="179"/>
      <c r="AB311" s="179"/>
      <c r="AC311" s="179"/>
      <c r="AD311" s="179"/>
      <c r="AE311" s="179"/>
      <c r="AF311" s="179"/>
      <c r="AG311" s="179"/>
      <c r="AH311" s="179"/>
      <c r="AI311" s="179"/>
      <c r="AJ311" s="179"/>
      <c r="AK311" s="179"/>
    </row>
    <row r="312" spans="1:37" ht="94.5" customHeight="1" x14ac:dyDescent="0.25">
      <c r="A312" s="13">
        <f t="shared" si="200"/>
        <v>3</v>
      </c>
      <c r="B312" s="674">
        <v>296</v>
      </c>
      <c r="C312" s="102">
        <v>301</v>
      </c>
      <c r="D312" s="289" t="s">
        <v>632</v>
      </c>
      <c r="E312" s="117" t="s">
        <v>633</v>
      </c>
      <c r="F312" s="32">
        <v>300</v>
      </c>
      <c r="G312" s="32" t="s">
        <v>24</v>
      </c>
      <c r="H312" s="118">
        <v>1</v>
      </c>
      <c r="I312" s="118" t="s">
        <v>29</v>
      </c>
      <c r="J312" s="34">
        <f>+(12602*100)/119</f>
        <v>10589.915966386554</v>
      </c>
      <c r="K312" s="40">
        <f t="shared" si="201"/>
        <v>3176974.7899159663</v>
      </c>
      <c r="L312" s="83">
        <v>14706</v>
      </c>
      <c r="M312" s="35">
        <f t="shared" si="211"/>
        <v>4411800</v>
      </c>
      <c r="N312" s="410">
        <v>10084</v>
      </c>
      <c r="O312" s="41">
        <f t="shared" si="203"/>
        <v>3025200</v>
      </c>
      <c r="P312" s="68">
        <f t="shared" si="212"/>
        <v>11793.305322128852</v>
      </c>
      <c r="Q312" s="68">
        <f t="shared" si="213"/>
        <v>3537991.5966386558</v>
      </c>
      <c r="R312" s="68">
        <f t="shared" si="214"/>
        <v>2069.9163358511782</v>
      </c>
      <c r="S312" s="69">
        <f t="shared" si="215"/>
        <v>0.17551621698178252</v>
      </c>
      <c r="T312" s="68">
        <f t="shared" si="216"/>
        <v>10589.915966386554</v>
      </c>
      <c r="U312" s="68">
        <f t="shared" si="217"/>
        <v>3176974.7899159663</v>
      </c>
      <c r="V312" s="69">
        <f t="shared" si="218"/>
        <v>0.19546107281883052</v>
      </c>
      <c r="W312" s="411" t="s">
        <v>634</v>
      </c>
      <c r="X312" s="411" t="s">
        <v>635</v>
      </c>
      <c r="Y312" s="53" t="s">
        <v>636</v>
      </c>
      <c r="Z312" s="28"/>
      <c r="AA312" s="28"/>
      <c r="AB312" s="28"/>
      <c r="AC312" s="28"/>
      <c r="AD312" s="28"/>
      <c r="AE312" s="28"/>
      <c r="AF312" s="28"/>
      <c r="AG312" s="28"/>
      <c r="AH312" s="28"/>
      <c r="AI312" s="28"/>
      <c r="AJ312" s="28"/>
      <c r="AK312" s="28"/>
    </row>
    <row r="313" spans="1:37" ht="63" customHeight="1" x14ac:dyDescent="0.25">
      <c r="A313" s="13">
        <f t="shared" si="200"/>
        <v>3</v>
      </c>
      <c r="B313" s="674">
        <v>297</v>
      </c>
      <c r="C313" s="102">
        <v>302</v>
      </c>
      <c r="D313" s="289" t="s">
        <v>637</v>
      </c>
      <c r="E313" s="117" t="s">
        <v>638</v>
      </c>
      <c r="F313" s="32">
        <v>300</v>
      </c>
      <c r="G313" s="32" t="s">
        <v>24</v>
      </c>
      <c r="H313" s="118">
        <v>1</v>
      </c>
      <c r="I313" s="118" t="s">
        <v>29</v>
      </c>
      <c r="J313" s="34">
        <f>+(18552*100)/119</f>
        <v>15589.915966386554</v>
      </c>
      <c r="K313" s="40">
        <f t="shared" si="201"/>
        <v>4676974.7899159659</v>
      </c>
      <c r="L313" s="35">
        <f>+(21007*100)/119</f>
        <v>17652.941176470587</v>
      </c>
      <c r="M313" s="35">
        <f t="shared" si="211"/>
        <v>5295882.3529411759</v>
      </c>
      <c r="N313" s="115">
        <f>+(18153*100)/119</f>
        <v>15254.621848739496</v>
      </c>
      <c r="O313" s="41">
        <f t="shared" si="203"/>
        <v>4576386.5546218492</v>
      </c>
      <c r="P313" s="68">
        <f t="shared" si="212"/>
        <v>16165.826330532213</v>
      </c>
      <c r="Q313" s="68">
        <f t="shared" si="213"/>
        <v>4849747.8991596634</v>
      </c>
      <c r="R313" s="68">
        <f t="shared" si="214"/>
        <v>1060.4208158682152</v>
      </c>
      <c r="S313" s="69">
        <f t="shared" si="215"/>
        <v>6.5596449831049494E-2</v>
      </c>
      <c r="T313" s="68">
        <f t="shared" si="216"/>
        <v>15589.915966386554</v>
      </c>
      <c r="U313" s="68">
        <f t="shared" si="217"/>
        <v>4676974.7899159659</v>
      </c>
      <c r="V313" s="69">
        <f t="shared" si="218"/>
        <v>6.8019662078653301E-2</v>
      </c>
      <c r="W313" s="127" t="s">
        <v>634</v>
      </c>
      <c r="X313" s="127" t="s">
        <v>553</v>
      </c>
      <c r="Y313" s="27" t="s">
        <v>639</v>
      </c>
      <c r="Z313" s="28"/>
      <c r="AA313" s="28"/>
      <c r="AB313" s="28"/>
      <c r="AC313" s="28"/>
      <c r="AD313" s="28"/>
      <c r="AE313" s="28"/>
      <c r="AF313" s="28"/>
      <c r="AG313" s="28"/>
      <c r="AH313" s="28"/>
      <c r="AI313" s="28"/>
      <c r="AJ313" s="28"/>
      <c r="AK313" s="28"/>
    </row>
    <row r="314" spans="1:37" ht="78.75" customHeight="1" x14ac:dyDescent="0.25">
      <c r="A314" s="13">
        <f t="shared" si="200"/>
        <v>3</v>
      </c>
      <c r="B314" s="674">
        <v>298</v>
      </c>
      <c r="C314" s="102">
        <v>303</v>
      </c>
      <c r="D314" s="289" t="s">
        <v>640</v>
      </c>
      <c r="E314" s="117" t="s">
        <v>641</v>
      </c>
      <c r="F314" s="32">
        <v>300</v>
      </c>
      <c r="G314" s="32" t="s">
        <v>24</v>
      </c>
      <c r="H314" s="118">
        <v>1</v>
      </c>
      <c r="I314" s="118" t="s">
        <v>29</v>
      </c>
      <c r="J314" s="34">
        <f>+(59440*100)/119</f>
        <v>49949.579831932773</v>
      </c>
      <c r="K314" s="40">
        <f t="shared" si="201"/>
        <v>14984873.949579831</v>
      </c>
      <c r="L314" s="35">
        <f>+(53550*100)/119</f>
        <v>45000</v>
      </c>
      <c r="M314" s="35">
        <f t="shared" si="211"/>
        <v>13500000</v>
      </c>
      <c r="N314" s="115">
        <f>+(44500*100)/119</f>
        <v>37394.957983193279</v>
      </c>
      <c r="O314" s="41">
        <f t="shared" si="203"/>
        <v>11218487.394957984</v>
      </c>
      <c r="P314" s="68">
        <f t="shared" si="212"/>
        <v>44114.845938375358</v>
      </c>
      <c r="Q314" s="68">
        <f t="shared" si="213"/>
        <v>13234453.781512607</v>
      </c>
      <c r="R314" s="68">
        <f t="shared" si="214"/>
        <v>5163.4778799964706</v>
      </c>
      <c r="S314" s="69">
        <f t="shared" si="215"/>
        <v>0.11704626345537747</v>
      </c>
      <c r="T314" s="68">
        <f t="shared" si="216"/>
        <v>45000</v>
      </c>
      <c r="U314" s="68">
        <f t="shared" si="217"/>
        <v>13500000</v>
      </c>
      <c r="V314" s="69">
        <f t="shared" si="218"/>
        <v>0.11474395288881045</v>
      </c>
      <c r="W314" s="361" t="s">
        <v>100</v>
      </c>
      <c r="X314" s="361" t="s">
        <v>101</v>
      </c>
      <c r="Y314" s="27" t="s">
        <v>575</v>
      </c>
      <c r="Z314" s="28"/>
      <c r="AA314" s="28"/>
      <c r="AB314" s="28"/>
      <c r="AC314" s="28"/>
      <c r="AD314" s="28"/>
      <c r="AE314" s="28"/>
      <c r="AF314" s="28"/>
      <c r="AG314" s="28"/>
      <c r="AH314" s="28"/>
      <c r="AI314" s="28"/>
      <c r="AJ314" s="28"/>
      <c r="AK314" s="28"/>
    </row>
    <row r="315" spans="1:37" ht="78.75" x14ac:dyDescent="0.25">
      <c r="A315" s="13">
        <f t="shared" si="200"/>
        <v>3</v>
      </c>
      <c r="B315" s="674">
        <v>299</v>
      </c>
      <c r="C315" s="102">
        <v>304</v>
      </c>
      <c r="D315" s="412" t="s">
        <v>642</v>
      </c>
      <c r="E315" s="117" t="s">
        <v>643</v>
      </c>
      <c r="F315" s="32">
        <v>50</v>
      </c>
      <c r="G315" s="32" t="s">
        <v>24</v>
      </c>
      <c r="H315" s="118">
        <v>1</v>
      </c>
      <c r="I315" s="118" t="s">
        <v>29</v>
      </c>
      <c r="J315" s="34">
        <f>+(35008*100)/119</f>
        <v>29418.487394957981</v>
      </c>
      <c r="K315" s="40">
        <f t="shared" si="201"/>
        <v>1470924.369747899</v>
      </c>
      <c r="L315" s="35">
        <f>+(33474*100)/119</f>
        <v>28129.411764705881</v>
      </c>
      <c r="M315" s="35">
        <f t="shared" si="211"/>
        <v>1406470.588235294</v>
      </c>
      <c r="N315" s="35">
        <f>+(36000*100)/119</f>
        <v>30252.100840336134</v>
      </c>
      <c r="O315" s="41">
        <f t="shared" si="203"/>
        <v>1512605.0420168068</v>
      </c>
      <c r="P315" s="68">
        <f t="shared" si="212"/>
        <v>29266.666666666668</v>
      </c>
      <c r="Q315" s="68">
        <f t="shared" si="213"/>
        <v>1463333.3333333335</v>
      </c>
      <c r="R315" s="68">
        <f t="shared" si="214"/>
        <v>873.20840509933373</v>
      </c>
      <c r="S315" s="69">
        <f t="shared" si="215"/>
        <v>2.9836278078564933E-2</v>
      </c>
      <c r="T315" s="68">
        <f t="shared" si="216"/>
        <v>29418.487394957981</v>
      </c>
      <c r="U315" s="68">
        <f t="shared" si="217"/>
        <v>1470924.369747899</v>
      </c>
      <c r="V315" s="69">
        <f t="shared" si="218"/>
        <v>2.9682301247377949E-2</v>
      </c>
      <c r="W315" s="101" t="s">
        <v>644</v>
      </c>
      <c r="X315" s="101" t="s">
        <v>645</v>
      </c>
      <c r="Y315" s="101" t="s">
        <v>646</v>
      </c>
      <c r="Z315" s="28"/>
      <c r="AA315" s="28"/>
      <c r="AB315" s="28"/>
      <c r="AC315" s="28"/>
      <c r="AD315" s="28"/>
      <c r="AE315" s="28"/>
      <c r="AF315" s="28"/>
      <c r="AG315" s="28"/>
      <c r="AH315" s="28"/>
      <c r="AI315" s="28"/>
      <c r="AJ315" s="28"/>
      <c r="AK315" s="28"/>
    </row>
    <row r="316" spans="1:37" ht="31.5" customHeight="1" x14ac:dyDescent="0.25">
      <c r="A316" s="13">
        <f t="shared" si="200"/>
        <v>3</v>
      </c>
      <c r="B316" s="674">
        <v>300</v>
      </c>
      <c r="C316" s="102">
        <v>305</v>
      </c>
      <c r="D316" s="116" t="s">
        <v>502</v>
      </c>
      <c r="E316" s="117" t="s">
        <v>503</v>
      </c>
      <c r="F316" s="32">
        <v>35</v>
      </c>
      <c r="G316" s="32" t="s">
        <v>24</v>
      </c>
      <c r="H316" s="118">
        <v>1</v>
      </c>
      <c r="I316" s="118" t="s">
        <v>60</v>
      </c>
      <c r="J316" s="34">
        <f>+(9041*100)/119</f>
        <v>7597.4789915966385</v>
      </c>
      <c r="K316" s="34">
        <f t="shared" si="201"/>
        <v>265911.76470588235</v>
      </c>
      <c r="L316" s="413">
        <f>+(9000*5.35%)+9000</f>
        <v>9481.5</v>
      </c>
      <c r="M316" s="147">
        <f t="shared" si="211"/>
        <v>331852.5</v>
      </c>
      <c r="N316" s="43">
        <f>+(11900*100)/119</f>
        <v>10000</v>
      </c>
      <c r="O316" s="41">
        <f t="shared" si="203"/>
        <v>350000</v>
      </c>
      <c r="P316" s="68">
        <f t="shared" si="212"/>
        <v>9026.3263305322125</v>
      </c>
      <c r="Q316" s="68">
        <f t="shared" si="213"/>
        <v>315921.42156862741</v>
      </c>
      <c r="R316" s="68">
        <f t="shared" si="214"/>
        <v>1032.2835853864494</v>
      </c>
      <c r="S316" s="69">
        <f t="shared" si="215"/>
        <v>0.11436364558354979</v>
      </c>
      <c r="T316" s="68">
        <f t="shared" si="216"/>
        <v>9481.5</v>
      </c>
      <c r="U316" s="68">
        <f t="shared" si="217"/>
        <v>331852.5</v>
      </c>
      <c r="V316" s="69">
        <f t="shared" si="218"/>
        <v>0.1088734467527764</v>
      </c>
      <c r="W316" s="106" t="s">
        <v>446</v>
      </c>
      <c r="X316" s="106" t="s">
        <v>517</v>
      </c>
      <c r="Y316" s="48" t="s">
        <v>447</v>
      </c>
      <c r="Z316" s="28" t="s">
        <v>205</v>
      </c>
      <c r="AA316" s="28" t="s">
        <v>206</v>
      </c>
      <c r="AB316" s="28"/>
      <c r="AC316" s="28"/>
      <c r="AD316" s="28"/>
      <c r="AE316" s="28"/>
      <c r="AF316" s="28"/>
      <c r="AG316" s="28"/>
      <c r="AH316" s="28"/>
      <c r="AI316" s="28"/>
      <c r="AJ316" s="28"/>
      <c r="AK316" s="28"/>
    </row>
    <row r="317" spans="1:37" ht="63" customHeight="1" x14ac:dyDescent="0.25">
      <c r="A317" s="13">
        <f t="shared" si="200"/>
        <v>3</v>
      </c>
      <c r="B317" s="674">
        <v>301</v>
      </c>
      <c r="C317" s="102">
        <v>306</v>
      </c>
      <c r="D317" s="289" t="s">
        <v>647</v>
      </c>
      <c r="E317" s="402" t="s">
        <v>648</v>
      </c>
      <c r="F317" s="76">
        <v>300</v>
      </c>
      <c r="G317" s="76" t="s">
        <v>24</v>
      </c>
      <c r="H317" s="403">
        <v>1</v>
      </c>
      <c r="I317" s="403" t="s">
        <v>29</v>
      </c>
      <c r="J317" s="267">
        <v>2269</v>
      </c>
      <c r="K317" s="44">
        <f t="shared" si="201"/>
        <v>680700</v>
      </c>
      <c r="L317" s="196">
        <f>+(1781*100)/119</f>
        <v>1496.6386554621849</v>
      </c>
      <c r="M317" s="196">
        <f t="shared" si="211"/>
        <v>448991.59663865546</v>
      </c>
      <c r="N317" s="414">
        <f>+(1834*100)/119</f>
        <v>1541.1764705882354</v>
      </c>
      <c r="O317" s="156">
        <f t="shared" si="203"/>
        <v>462352.9411764706</v>
      </c>
      <c r="P317" s="197">
        <f t="shared" si="212"/>
        <v>1768.9383753501399</v>
      </c>
      <c r="Q317" s="197">
        <f t="shared" si="213"/>
        <v>530681.51260504196</v>
      </c>
      <c r="R317" s="197">
        <f t="shared" si="214"/>
        <v>354.06414256896448</v>
      </c>
      <c r="S317" s="198">
        <f t="shared" si="215"/>
        <v>0.20015629006798033</v>
      </c>
      <c r="T317" s="197">
        <f t="shared" si="216"/>
        <v>1541.1764705882354</v>
      </c>
      <c r="U317" s="197">
        <f t="shared" si="217"/>
        <v>462352.9411764706</v>
      </c>
      <c r="V317" s="198">
        <f t="shared" si="218"/>
        <v>0.22973627571268687</v>
      </c>
      <c r="W317" s="123" t="s">
        <v>635</v>
      </c>
      <c r="X317" s="123" t="s">
        <v>553</v>
      </c>
      <c r="Y317" s="124" t="s">
        <v>639</v>
      </c>
      <c r="Z317" s="236">
        <f>SUM(Q293:Q317)</f>
        <v>122560352.45938797</v>
      </c>
      <c r="AA317" s="237">
        <f>SUM(U293:U317)</f>
        <v>123504052.28921428</v>
      </c>
      <c r="AB317" s="28"/>
      <c r="AC317" s="28"/>
      <c r="AD317" s="28"/>
      <c r="AE317" s="28"/>
      <c r="AF317" s="28"/>
      <c r="AG317" s="28"/>
      <c r="AH317" s="28"/>
      <c r="AI317" s="28"/>
      <c r="AJ317" s="28"/>
      <c r="AK317" s="28"/>
    </row>
    <row r="318" spans="1:37" s="388" customFormat="1" ht="22.5" customHeight="1" x14ac:dyDescent="0.25">
      <c r="D318" s="415"/>
      <c r="E318" s="691" t="s">
        <v>1080</v>
      </c>
      <c r="F318" s="692"/>
      <c r="G318" s="692"/>
      <c r="H318" s="692"/>
      <c r="I318" s="692"/>
      <c r="J318" s="416"/>
      <c r="K318" s="384">
        <f t="shared" si="201"/>
        <v>0</v>
      </c>
      <c r="L318" s="416"/>
      <c r="M318" s="384">
        <f t="shared" si="211"/>
        <v>0</v>
      </c>
      <c r="N318" s="416"/>
      <c r="O318" s="384">
        <f t="shared" si="203"/>
        <v>0</v>
      </c>
      <c r="P318" s="416"/>
      <c r="Q318" s="416"/>
      <c r="R318" s="416"/>
      <c r="S318" s="416"/>
      <c r="T318" s="416"/>
      <c r="U318" s="416"/>
      <c r="V318" s="416"/>
      <c r="W318" s="385"/>
      <c r="X318" s="385"/>
      <c r="Y318" s="386"/>
      <c r="Z318" s="387"/>
      <c r="AA318" s="387"/>
      <c r="AB318" s="387"/>
      <c r="AC318" s="387"/>
      <c r="AD318" s="387"/>
      <c r="AE318" s="387"/>
      <c r="AF318" s="387"/>
      <c r="AG318" s="387"/>
      <c r="AH318" s="387"/>
      <c r="AI318" s="387"/>
      <c r="AJ318" s="387"/>
      <c r="AK318" s="387"/>
    </row>
    <row r="319" spans="1:37" ht="15.75" customHeight="1" x14ac:dyDescent="0.25">
      <c r="A319" s="417"/>
      <c r="B319" s="417"/>
      <c r="C319" s="417"/>
      <c r="D319" s="337"/>
      <c r="E319" s="418" t="s">
        <v>649</v>
      </c>
      <c r="F319" s="419"/>
      <c r="G319" s="419"/>
      <c r="H319" s="419"/>
      <c r="I319" s="419"/>
      <c r="J319" s="419"/>
      <c r="K319" s="419"/>
      <c r="L319" s="419"/>
      <c r="M319" s="419"/>
      <c r="N319" s="419"/>
      <c r="O319" s="419"/>
      <c r="P319" s="419"/>
      <c r="Q319" s="419"/>
      <c r="R319" s="419"/>
      <c r="S319" s="419"/>
      <c r="T319" s="419"/>
      <c r="U319" s="419"/>
      <c r="V319" s="419"/>
      <c r="W319" s="419"/>
      <c r="X319" s="419"/>
      <c r="Y319" s="419"/>
      <c r="Z319" s="28"/>
      <c r="AA319" s="28"/>
      <c r="AB319" s="28"/>
      <c r="AC319" s="28"/>
      <c r="AD319" s="28"/>
      <c r="AE319" s="28"/>
      <c r="AF319" s="28"/>
      <c r="AG319" s="28"/>
      <c r="AH319" s="28"/>
      <c r="AI319" s="28"/>
      <c r="AJ319" s="28"/>
      <c r="AK319" s="28"/>
    </row>
    <row r="320" spans="1:37" ht="64.5" customHeight="1" x14ac:dyDescent="0.25">
      <c r="A320" s="13">
        <f t="shared" si="200"/>
        <v>1</v>
      </c>
      <c r="B320" s="675">
        <v>302</v>
      </c>
      <c r="C320" s="128">
        <v>307</v>
      </c>
      <c r="D320" s="129" t="s">
        <v>650</v>
      </c>
      <c r="E320" s="420" t="s">
        <v>651</v>
      </c>
      <c r="F320" s="32">
        <v>1</v>
      </c>
      <c r="G320" s="32" t="s">
        <v>24</v>
      </c>
      <c r="H320" s="33">
        <v>1</v>
      </c>
      <c r="I320" s="33" t="s">
        <v>29</v>
      </c>
      <c r="J320" s="34">
        <f>5635001/30</f>
        <v>187833.36666666667</v>
      </c>
      <c r="K320" s="34">
        <f t="shared" si="201"/>
        <v>187833.36666666667</v>
      </c>
      <c r="L320" s="34"/>
      <c r="M320" s="34"/>
      <c r="N320" s="40"/>
      <c r="O320" s="41"/>
      <c r="P320" s="22">
        <f t="shared" ref="P320:P321" si="224">+(ROUND(AVERAGE(J320),0))</f>
        <v>187833</v>
      </c>
      <c r="Q320" s="22">
        <f t="shared" ref="Q320:Q321" si="225">+P320*F320*H320</f>
        <v>187833</v>
      </c>
      <c r="R320" s="23">
        <f t="shared" si="214"/>
        <v>0</v>
      </c>
      <c r="S320" s="24">
        <f t="shared" si="215"/>
        <v>0</v>
      </c>
      <c r="T320" s="23">
        <f t="shared" si="216"/>
        <v>187833.36666666667</v>
      </c>
      <c r="U320" s="23">
        <f t="shared" si="217"/>
        <v>187833.36666666667</v>
      </c>
      <c r="V320" s="24">
        <f t="shared" si="218"/>
        <v>0</v>
      </c>
      <c r="W320" s="25" t="s">
        <v>26</v>
      </c>
      <c r="X320" s="131"/>
      <c r="Y320" s="27"/>
      <c r="Z320" s="28"/>
      <c r="AA320" s="28"/>
      <c r="AB320" s="28"/>
      <c r="AC320" s="28"/>
      <c r="AD320" s="28"/>
      <c r="AE320" s="28"/>
      <c r="AF320" s="28"/>
      <c r="AG320" s="28"/>
      <c r="AH320" s="28"/>
      <c r="AI320" s="28"/>
      <c r="AJ320" s="28"/>
      <c r="AK320" s="28"/>
    </row>
    <row r="321" spans="1:37" ht="31.5" customHeight="1" x14ac:dyDescent="0.25">
      <c r="A321" s="13">
        <f t="shared" si="200"/>
        <v>1</v>
      </c>
      <c r="B321" s="675">
        <v>303</v>
      </c>
      <c r="C321" s="128">
        <v>308</v>
      </c>
      <c r="D321" s="129" t="s">
        <v>652</v>
      </c>
      <c r="E321" s="130" t="s">
        <v>653</v>
      </c>
      <c r="F321" s="32">
        <v>1</v>
      </c>
      <c r="G321" s="32" t="s">
        <v>24</v>
      </c>
      <c r="H321" s="33">
        <v>1</v>
      </c>
      <c r="I321" s="33" t="s">
        <v>29</v>
      </c>
      <c r="J321" s="34">
        <f>+(1300000*100)/119</f>
        <v>1092436.9747899161</v>
      </c>
      <c r="K321" s="34">
        <f t="shared" si="201"/>
        <v>1092436.9747899161</v>
      </c>
      <c r="L321" s="34"/>
      <c r="M321" s="34"/>
      <c r="N321" s="40"/>
      <c r="O321" s="41"/>
      <c r="P321" s="22">
        <f t="shared" si="224"/>
        <v>1092437</v>
      </c>
      <c r="Q321" s="22">
        <f t="shared" si="225"/>
        <v>1092437</v>
      </c>
      <c r="R321" s="23">
        <f t="shared" si="214"/>
        <v>0</v>
      </c>
      <c r="S321" s="24">
        <f t="shared" si="215"/>
        <v>0</v>
      </c>
      <c r="T321" s="23">
        <f t="shared" si="216"/>
        <v>1092436.9747899161</v>
      </c>
      <c r="U321" s="23">
        <f t="shared" si="217"/>
        <v>1092436.9747899161</v>
      </c>
      <c r="V321" s="24">
        <f t="shared" si="218"/>
        <v>0</v>
      </c>
      <c r="W321" s="25" t="s">
        <v>26</v>
      </c>
      <c r="X321" s="131"/>
      <c r="Y321" s="27"/>
      <c r="Z321" s="28"/>
      <c r="AA321" s="28"/>
      <c r="AB321" s="28"/>
      <c r="AC321" s="28"/>
      <c r="AD321" s="28"/>
      <c r="AE321" s="28"/>
      <c r="AF321" s="28"/>
      <c r="AG321" s="28"/>
      <c r="AH321" s="28"/>
      <c r="AI321" s="28"/>
      <c r="AJ321" s="28"/>
      <c r="AK321" s="28"/>
    </row>
    <row r="322" spans="1:37" ht="267.75" customHeight="1" x14ac:dyDescent="0.25">
      <c r="A322" s="13">
        <f t="shared" si="200"/>
        <v>3</v>
      </c>
      <c r="B322" s="675">
        <v>304</v>
      </c>
      <c r="C322" s="128">
        <v>309</v>
      </c>
      <c r="D322" s="350" t="s">
        <v>604</v>
      </c>
      <c r="E322" s="117" t="s">
        <v>654</v>
      </c>
      <c r="F322" s="32">
        <v>4</v>
      </c>
      <c r="G322" s="32" t="s">
        <v>24</v>
      </c>
      <c r="H322" s="33">
        <v>1</v>
      </c>
      <c r="I322" s="421" t="s">
        <v>491</v>
      </c>
      <c r="J322" s="282">
        <f>+(513000*5.35%)+513000</f>
        <v>540445.5</v>
      </c>
      <c r="K322" s="40">
        <f t="shared" si="201"/>
        <v>2161782</v>
      </c>
      <c r="L322" s="282">
        <f>+(523800*5.35%)+523800</f>
        <v>551823.30000000005</v>
      </c>
      <c r="M322" s="35">
        <f t="shared" ref="M322:M326" si="226">+L322*H322*F322</f>
        <v>2207293.2000000002</v>
      </c>
      <c r="N322" s="282">
        <f>+(583200*5.35%)+583200</f>
        <v>614401.19999999995</v>
      </c>
      <c r="O322" s="41">
        <f t="shared" si="203"/>
        <v>2457604.7999999998</v>
      </c>
      <c r="P322" s="68">
        <f t="shared" ref="P322:P326" si="227">+AVERAGE(J322,L322,N322)</f>
        <v>568890</v>
      </c>
      <c r="Q322" s="68">
        <f t="shared" ref="Q322:Q326" si="228">+P322*H322*F322</f>
        <v>2275560</v>
      </c>
      <c r="R322" s="68">
        <f t="shared" si="214"/>
        <v>32514.771794678156</v>
      </c>
      <c r="S322" s="69">
        <f t="shared" si="215"/>
        <v>5.7154760664940775E-2</v>
      </c>
      <c r="T322" s="68">
        <f t="shared" si="216"/>
        <v>551823.30000000005</v>
      </c>
      <c r="U322" s="68">
        <f t="shared" si="217"/>
        <v>2207293.2000000002</v>
      </c>
      <c r="V322" s="69">
        <f t="shared" si="218"/>
        <v>5.8922433675196666E-2</v>
      </c>
      <c r="W322" s="78" t="s">
        <v>310</v>
      </c>
      <c r="X322" s="78" t="s">
        <v>311</v>
      </c>
      <c r="Y322" s="79" t="s">
        <v>42</v>
      </c>
      <c r="Z322" s="28"/>
      <c r="AA322" s="28"/>
      <c r="AB322" s="28"/>
      <c r="AC322" s="28"/>
      <c r="AD322" s="28"/>
      <c r="AE322" s="28"/>
      <c r="AF322" s="28"/>
      <c r="AG322" s="28"/>
      <c r="AH322" s="28"/>
      <c r="AI322" s="28"/>
      <c r="AJ322" s="28"/>
      <c r="AK322" s="28"/>
    </row>
    <row r="323" spans="1:37" ht="47.25" customHeight="1" x14ac:dyDescent="0.25">
      <c r="A323" s="13">
        <f t="shared" si="200"/>
        <v>3</v>
      </c>
      <c r="B323" s="675">
        <v>305</v>
      </c>
      <c r="C323" s="128">
        <v>310</v>
      </c>
      <c r="D323" s="138" t="s">
        <v>198</v>
      </c>
      <c r="E323" s="422" t="s">
        <v>655</v>
      </c>
      <c r="F323" s="76">
        <v>15</v>
      </c>
      <c r="G323" s="76" t="s">
        <v>24</v>
      </c>
      <c r="H323" s="77">
        <v>1</v>
      </c>
      <c r="I323" s="77" t="s">
        <v>29</v>
      </c>
      <c r="J323" s="34">
        <v>4500</v>
      </c>
      <c r="K323" s="40">
        <f t="shared" si="201"/>
        <v>67500</v>
      </c>
      <c r="L323" s="35">
        <v>5000</v>
      </c>
      <c r="M323" s="35">
        <f t="shared" si="226"/>
        <v>75000</v>
      </c>
      <c r="N323" s="35">
        <v>5000</v>
      </c>
      <c r="O323" s="41">
        <f t="shared" si="203"/>
        <v>75000</v>
      </c>
      <c r="P323" s="68">
        <f t="shared" si="227"/>
        <v>4833.333333333333</v>
      </c>
      <c r="Q323" s="68">
        <f t="shared" si="228"/>
        <v>72500</v>
      </c>
      <c r="R323" s="68">
        <f t="shared" si="214"/>
        <v>235.70226039551585</v>
      </c>
      <c r="S323" s="69">
        <f t="shared" si="215"/>
        <v>4.8765984909417075E-2</v>
      </c>
      <c r="T323" s="68">
        <f t="shared" si="216"/>
        <v>5000</v>
      </c>
      <c r="U323" s="68">
        <f t="shared" si="217"/>
        <v>75000</v>
      </c>
      <c r="V323" s="69">
        <f t="shared" si="218"/>
        <v>4.7140452079103168E-2</v>
      </c>
      <c r="W323" s="88" t="s">
        <v>41</v>
      </c>
      <c r="X323" s="88" t="s">
        <v>42</v>
      </c>
      <c r="Y323" s="89" t="s">
        <v>43</v>
      </c>
      <c r="Z323" s="28"/>
      <c r="AA323" s="28"/>
      <c r="AB323" s="28"/>
      <c r="AC323" s="28"/>
      <c r="AD323" s="28"/>
      <c r="AE323" s="28"/>
      <c r="AF323" s="28"/>
      <c r="AG323" s="28"/>
      <c r="AH323" s="28"/>
      <c r="AI323" s="28"/>
      <c r="AJ323" s="28"/>
      <c r="AK323" s="28"/>
    </row>
    <row r="324" spans="1:37" ht="63" x14ac:dyDescent="0.25">
      <c r="A324" s="13">
        <f t="shared" si="200"/>
        <v>3</v>
      </c>
      <c r="B324" s="675">
        <v>306</v>
      </c>
      <c r="C324" s="128">
        <v>311</v>
      </c>
      <c r="D324" s="49" t="s">
        <v>656</v>
      </c>
      <c r="E324" s="130" t="s">
        <v>657</v>
      </c>
      <c r="F324" s="51">
        <v>150</v>
      </c>
      <c r="G324" s="51" t="s">
        <v>24</v>
      </c>
      <c r="H324" s="52">
        <v>1</v>
      </c>
      <c r="I324" s="52" t="s">
        <v>29</v>
      </c>
      <c r="J324" s="34">
        <v>8900</v>
      </c>
      <c r="K324" s="40">
        <f t="shared" si="201"/>
        <v>1335000</v>
      </c>
      <c r="L324" s="35">
        <v>10000</v>
      </c>
      <c r="M324" s="35">
        <f t="shared" si="226"/>
        <v>1500000</v>
      </c>
      <c r="N324" s="35">
        <v>11000</v>
      </c>
      <c r="O324" s="41">
        <f t="shared" si="203"/>
        <v>1650000</v>
      </c>
      <c r="P324" s="68">
        <f t="shared" si="227"/>
        <v>9966.6666666666661</v>
      </c>
      <c r="Q324" s="68">
        <f t="shared" si="228"/>
        <v>1495000</v>
      </c>
      <c r="R324" s="68">
        <f t="shared" si="214"/>
        <v>857.64535535124048</v>
      </c>
      <c r="S324" s="69">
        <f t="shared" si="215"/>
        <v>8.6051373446612761E-2</v>
      </c>
      <c r="T324" s="68">
        <f t="shared" si="216"/>
        <v>10000</v>
      </c>
      <c r="U324" s="68">
        <f t="shared" si="217"/>
        <v>1500000</v>
      </c>
      <c r="V324" s="69">
        <f t="shared" si="218"/>
        <v>8.5764535535124045E-2</v>
      </c>
      <c r="W324" s="88" t="s">
        <v>41</v>
      </c>
      <c r="X324" s="88" t="s">
        <v>42</v>
      </c>
      <c r="Y324" s="89" t="s">
        <v>43</v>
      </c>
      <c r="Z324" s="28"/>
      <c r="AA324" s="28"/>
      <c r="AB324" s="28"/>
      <c r="AC324" s="28"/>
      <c r="AD324" s="28"/>
      <c r="AE324" s="28"/>
      <c r="AF324" s="28"/>
      <c r="AG324" s="28"/>
      <c r="AH324" s="28"/>
      <c r="AI324" s="28"/>
      <c r="AJ324" s="28"/>
      <c r="AK324" s="28"/>
    </row>
    <row r="325" spans="1:37" ht="18.75" customHeight="1" x14ac:dyDescent="0.25">
      <c r="A325" s="13">
        <f t="shared" si="200"/>
        <v>3</v>
      </c>
      <c r="B325" s="675">
        <v>307</v>
      </c>
      <c r="C325" s="128">
        <v>312</v>
      </c>
      <c r="D325" s="144" t="s">
        <v>200</v>
      </c>
      <c r="E325" s="423" t="s">
        <v>658</v>
      </c>
      <c r="F325" s="56">
        <v>7</v>
      </c>
      <c r="G325" s="56" t="s">
        <v>24</v>
      </c>
      <c r="H325" s="57">
        <v>1</v>
      </c>
      <c r="I325" s="57" t="s">
        <v>29</v>
      </c>
      <c r="J325" s="34">
        <f>+(19500*100)/119</f>
        <v>16386.55462184874</v>
      </c>
      <c r="K325" s="40">
        <f t="shared" si="201"/>
        <v>114705.88235294117</v>
      </c>
      <c r="L325" s="35">
        <f>+(17407*100)/119</f>
        <v>14627.731092436974</v>
      </c>
      <c r="M325" s="35">
        <f t="shared" si="226"/>
        <v>102394.11764705883</v>
      </c>
      <c r="N325" s="115">
        <f>+(16650*100)/119</f>
        <v>13991.596638655463</v>
      </c>
      <c r="O325" s="41">
        <f t="shared" si="203"/>
        <v>97941.176470588238</v>
      </c>
      <c r="P325" s="68">
        <f t="shared" si="227"/>
        <v>15001.960784313726</v>
      </c>
      <c r="Q325" s="68">
        <f t="shared" si="228"/>
        <v>105013.72549019608</v>
      </c>
      <c r="R325" s="68">
        <f t="shared" si="214"/>
        <v>1012.913893025769</v>
      </c>
      <c r="S325" s="69">
        <f t="shared" si="215"/>
        <v>6.7518766885785148E-2</v>
      </c>
      <c r="T325" s="68">
        <f t="shared" si="216"/>
        <v>14627.731092436974</v>
      </c>
      <c r="U325" s="68">
        <f t="shared" si="217"/>
        <v>102394.11764705883</v>
      </c>
      <c r="V325" s="69">
        <f t="shared" si="218"/>
        <v>6.9246138490300743E-2</v>
      </c>
      <c r="W325" s="131" t="s">
        <v>202</v>
      </c>
      <c r="X325" s="131" t="s">
        <v>203</v>
      </c>
      <c r="Y325" s="27" t="s">
        <v>204</v>
      </c>
      <c r="Z325" s="28" t="s">
        <v>205</v>
      </c>
      <c r="AA325" s="28" t="s">
        <v>206</v>
      </c>
      <c r="AB325" s="28"/>
      <c r="AC325" s="28"/>
      <c r="AD325" s="28"/>
      <c r="AE325" s="28"/>
      <c r="AF325" s="28"/>
      <c r="AG325" s="28"/>
      <c r="AH325" s="28"/>
      <c r="AI325" s="28"/>
      <c r="AJ325" s="28"/>
      <c r="AK325" s="28"/>
    </row>
    <row r="326" spans="1:37" ht="47.25" customHeight="1" x14ac:dyDescent="0.25">
      <c r="A326" s="13">
        <f t="shared" si="200"/>
        <v>3</v>
      </c>
      <c r="B326" s="675">
        <v>308</v>
      </c>
      <c r="C326" s="128">
        <v>313</v>
      </c>
      <c r="D326" s="129" t="s">
        <v>207</v>
      </c>
      <c r="E326" s="31" t="s">
        <v>208</v>
      </c>
      <c r="F326" s="32">
        <v>150</v>
      </c>
      <c r="G326" s="32" t="s">
        <v>24</v>
      </c>
      <c r="H326" s="33">
        <v>1</v>
      </c>
      <c r="I326" s="33" t="s">
        <v>29</v>
      </c>
      <c r="J326" s="34">
        <f>+(10756*100)/119</f>
        <v>9038.6554621848736</v>
      </c>
      <c r="K326" s="40">
        <f t="shared" si="201"/>
        <v>1355798.3193277312</v>
      </c>
      <c r="L326" s="35">
        <f>+(12017*100)/119</f>
        <v>10098.319327731093</v>
      </c>
      <c r="M326" s="35">
        <f t="shared" si="226"/>
        <v>1514747.8991596638</v>
      </c>
      <c r="N326" s="35">
        <f>+(10900*100)/119</f>
        <v>9159.6638655462193</v>
      </c>
      <c r="O326" s="41">
        <f t="shared" si="203"/>
        <v>1373949.5798319329</v>
      </c>
      <c r="P326" s="68">
        <f t="shared" si="227"/>
        <v>9432.212885154062</v>
      </c>
      <c r="Q326" s="68">
        <f t="shared" si="228"/>
        <v>1414831.9327731093</v>
      </c>
      <c r="R326" s="68">
        <f t="shared" si="214"/>
        <v>473.59202066264169</v>
      </c>
      <c r="S326" s="69">
        <f t="shared" si="215"/>
        <v>5.0210064852125764E-2</v>
      </c>
      <c r="T326" s="68">
        <f t="shared" si="216"/>
        <v>9159.6638655462193</v>
      </c>
      <c r="U326" s="68">
        <f t="shared" si="217"/>
        <v>1373949.5798319329</v>
      </c>
      <c r="V326" s="69">
        <f t="shared" si="218"/>
        <v>5.1704082989774636E-2</v>
      </c>
      <c r="W326" s="47" t="s">
        <v>209</v>
      </c>
      <c r="X326" s="47" t="s">
        <v>210</v>
      </c>
      <c r="Y326" s="48" t="s">
        <v>211</v>
      </c>
      <c r="Z326" s="236">
        <f>SUM(Q320:Q326)</f>
        <v>6643175.6582633052</v>
      </c>
      <c r="AA326" s="237">
        <f>SUM(U320:U326)</f>
        <v>6538907.2389355749</v>
      </c>
      <c r="AB326" s="28"/>
      <c r="AC326" s="28"/>
      <c r="AD326" s="28"/>
      <c r="AE326" s="28"/>
      <c r="AF326" s="28"/>
      <c r="AG326" s="28"/>
      <c r="AH326" s="28"/>
      <c r="AI326" s="28"/>
      <c r="AJ326" s="28"/>
      <c r="AK326" s="28"/>
    </row>
    <row r="327" spans="1:37" ht="15.75" customHeight="1" x14ac:dyDescent="0.25">
      <c r="A327" s="424"/>
      <c r="B327" s="424"/>
      <c r="C327" s="424"/>
      <c r="D327" s="337"/>
      <c r="E327" s="332" t="s">
        <v>659</v>
      </c>
      <c r="F327" s="331"/>
      <c r="G327" s="331"/>
      <c r="H327" s="331"/>
      <c r="I327" s="331"/>
      <c r="J327" s="331"/>
      <c r="K327" s="331"/>
      <c r="L327" s="331"/>
      <c r="M327" s="331"/>
      <c r="N327" s="331"/>
      <c r="O327" s="331"/>
      <c r="P327" s="331"/>
      <c r="Q327" s="331"/>
      <c r="R327" s="331"/>
      <c r="S327" s="331"/>
      <c r="T327" s="331"/>
      <c r="U327" s="331"/>
      <c r="V327" s="331"/>
      <c r="W327" s="331"/>
      <c r="X327" s="331"/>
      <c r="Y327" s="331"/>
      <c r="Z327" s="28"/>
      <c r="AA327" s="28"/>
      <c r="AB327" s="28"/>
      <c r="AC327" s="28"/>
      <c r="AD327" s="28"/>
      <c r="AE327" s="28"/>
      <c r="AF327" s="28"/>
      <c r="AG327" s="28"/>
      <c r="AH327" s="28"/>
      <c r="AI327" s="28"/>
      <c r="AJ327" s="28"/>
      <c r="AK327" s="28"/>
    </row>
    <row r="328" spans="1:37" ht="31.5" customHeight="1" x14ac:dyDescent="0.25">
      <c r="A328" s="13">
        <f t="shared" si="200"/>
        <v>1</v>
      </c>
      <c r="B328" s="675">
        <v>309</v>
      </c>
      <c r="C328" s="128">
        <v>314</v>
      </c>
      <c r="D328" s="129" t="s">
        <v>660</v>
      </c>
      <c r="E328" s="130" t="s">
        <v>661</v>
      </c>
      <c r="F328" s="32">
        <v>2</v>
      </c>
      <c r="G328" s="32" t="s">
        <v>24</v>
      </c>
      <c r="H328" s="33">
        <v>1</v>
      </c>
      <c r="I328" s="33" t="s">
        <v>29</v>
      </c>
      <c r="J328" s="34">
        <f>5635001/30</f>
        <v>187833.36666666667</v>
      </c>
      <c r="K328" s="34">
        <f t="shared" si="201"/>
        <v>375666.73333333334</v>
      </c>
      <c r="L328" s="34"/>
      <c r="M328" s="34"/>
      <c r="N328" s="40"/>
      <c r="O328" s="41"/>
      <c r="P328" s="22">
        <f>+(ROUND(AVERAGE(J328),0))</f>
        <v>187833</v>
      </c>
      <c r="Q328" s="22">
        <f>+P328*F328*H328</f>
        <v>375666</v>
      </c>
      <c r="R328" s="23">
        <f>+_xlfn.STDEV.P(J328,L328,N328)</f>
        <v>0</v>
      </c>
      <c r="S328" s="24">
        <f>+R328/P328</f>
        <v>0</v>
      </c>
      <c r="T328" s="23">
        <f>+MEDIAN(J328,L328,N328)</f>
        <v>187833.36666666667</v>
      </c>
      <c r="U328" s="23">
        <f>+T328*F328*H328</f>
        <v>375666.73333333334</v>
      </c>
      <c r="V328" s="24">
        <f>+R328/T328</f>
        <v>0</v>
      </c>
      <c r="W328" s="25" t="s">
        <v>26</v>
      </c>
      <c r="X328" s="131"/>
      <c r="Y328" s="27"/>
      <c r="Z328" s="28"/>
      <c r="AA328" s="28"/>
      <c r="AB328" s="28"/>
      <c r="AC328" s="28"/>
      <c r="AD328" s="28"/>
      <c r="AE328" s="28"/>
      <c r="AF328" s="28"/>
      <c r="AG328" s="28"/>
      <c r="AH328" s="28"/>
      <c r="AI328" s="28"/>
      <c r="AJ328" s="28"/>
      <c r="AK328" s="28"/>
    </row>
    <row r="329" spans="1:37" ht="81.599999999999994" customHeight="1" x14ac:dyDescent="0.25">
      <c r="A329" s="90">
        <f t="shared" si="200"/>
        <v>1</v>
      </c>
      <c r="B329" s="676">
        <v>310</v>
      </c>
      <c r="C329" s="151">
        <v>315</v>
      </c>
      <c r="D329" s="65" t="s">
        <v>463</v>
      </c>
      <c r="E329" s="152" t="s">
        <v>662</v>
      </c>
      <c r="F329" s="33">
        <v>1</v>
      </c>
      <c r="G329" s="33" t="s">
        <v>24</v>
      </c>
      <c r="H329" s="33">
        <v>1</v>
      </c>
      <c r="I329" s="33" t="s">
        <v>159</v>
      </c>
      <c r="J329" s="64">
        <v>2500000</v>
      </c>
      <c r="K329" s="64"/>
      <c r="L329" s="64"/>
      <c r="M329" s="217"/>
      <c r="N329" s="64"/>
      <c r="O329" s="41">
        <f t="shared" si="203"/>
        <v>0</v>
      </c>
      <c r="P329" s="68">
        <f>+AVERAGE(J329,L329,N329)</f>
        <v>2500000</v>
      </c>
      <c r="Q329" s="68">
        <f>+P329*H329*F329</f>
        <v>2500000</v>
      </c>
      <c r="R329" s="68">
        <f>+_xlfn.STDEV.P(J329,L329,N329)</f>
        <v>0</v>
      </c>
      <c r="S329" s="290">
        <f>+R329/P329</f>
        <v>0</v>
      </c>
      <c r="T329" s="68">
        <f>+MEDIAN(J329,L329,N329)</f>
        <v>2500000</v>
      </c>
      <c r="U329" s="68">
        <f>+T329*F329*H329</f>
        <v>2500000</v>
      </c>
      <c r="V329" s="290">
        <f>+R329/T329</f>
        <v>0</v>
      </c>
      <c r="W329" s="425"/>
      <c r="X329" s="425"/>
      <c r="Y329" s="28"/>
      <c r="Z329" s="28"/>
      <c r="AA329" s="28"/>
      <c r="AB329" s="28"/>
      <c r="AC329" s="28"/>
      <c r="AD329" s="28"/>
      <c r="AE329" s="28"/>
      <c r="AF329" s="28"/>
      <c r="AG329" s="28"/>
      <c r="AH329" s="28"/>
      <c r="AI329" s="28"/>
      <c r="AJ329" s="28"/>
      <c r="AK329" s="28"/>
    </row>
    <row r="330" spans="1:37" ht="47.25" customHeight="1" x14ac:dyDescent="0.25">
      <c r="A330" s="13">
        <f t="shared" si="200"/>
        <v>1</v>
      </c>
      <c r="B330" s="675">
        <v>311</v>
      </c>
      <c r="C330" s="128">
        <v>316</v>
      </c>
      <c r="D330" s="129" t="s">
        <v>663</v>
      </c>
      <c r="E330" s="426" t="s">
        <v>664</v>
      </c>
      <c r="F330" s="32">
        <v>3</v>
      </c>
      <c r="G330" s="32" t="s">
        <v>24</v>
      </c>
      <c r="H330" s="33">
        <v>1</v>
      </c>
      <c r="I330" s="33" t="s">
        <v>29</v>
      </c>
      <c r="J330" s="34">
        <f>5635001/30</f>
        <v>187833.36666666667</v>
      </c>
      <c r="K330" s="34">
        <f t="shared" si="201"/>
        <v>563500.1</v>
      </c>
      <c r="L330" s="34"/>
      <c r="M330" s="34"/>
      <c r="N330" s="40"/>
      <c r="O330" s="41"/>
      <c r="P330" s="22">
        <f t="shared" ref="P330:P331" si="229">+(ROUND(AVERAGE(J330),0))</f>
        <v>187833</v>
      </c>
      <c r="Q330" s="22">
        <f t="shared" ref="Q330:Q331" si="230">+P330*F330*H330</f>
        <v>563499</v>
      </c>
      <c r="R330" s="23">
        <f t="shared" ref="R330:R367" si="231">+_xlfn.STDEV.P(J330,L330,N330)</f>
        <v>0</v>
      </c>
      <c r="S330" s="24">
        <f t="shared" ref="S330:S367" si="232">+R330/P330</f>
        <v>0</v>
      </c>
      <c r="T330" s="23">
        <f t="shared" ref="T330:T367" si="233">+MEDIAN(J330,L330,N330)</f>
        <v>187833.36666666667</v>
      </c>
      <c r="U330" s="23">
        <f t="shared" ref="U330:U342" si="234">+T330*F330*H330</f>
        <v>563500.1</v>
      </c>
      <c r="V330" s="24">
        <f t="shared" ref="V330:V367" si="235">+R330/T330</f>
        <v>0</v>
      </c>
      <c r="W330" s="25" t="s">
        <v>26</v>
      </c>
      <c r="X330" s="131"/>
      <c r="Y330" s="27"/>
      <c r="Z330" s="28"/>
      <c r="AA330" s="28"/>
      <c r="AB330" s="28"/>
      <c r="AC330" s="28"/>
      <c r="AD330" s="28"/>
      <c r="AE330" s="28"/>
      <c r="AF330" s="28"/>
      <c r="AG330" s="28"/>
      <c r="AH330" s="28"/>
      <c r="AI330" s="28"/>
      <c r="AJ330" s="28"/>
      <c r="AK330" s="28"/>
    </row>
    <row r="331" spans="1:37" ht="47.25" customHeight="1" x14ac:dyDescent="0.25">
      <c r="A331" s="13">
        <f t="shared" si="200"/>
        <v>1</v>
      </c>
      <c r="B331" s="676">
        <v>312</v>
      </c>
      <c r="C331" s="151">
        <v>317</v>
      </c>
      <c r="D331" s="129" t="s">
        <v>665</v>
      </c>
      <c r="E331" s="130" t="s">
        <v>666</v>
      </c>
      <c r="F331" s="32">
        <v>1</v>
      </c>
      <c r="G331" s="32" t="s">
        <v>24</v>
      </c>
      <c r="H331" s="33">
        <v>1</v>
      </c>
      <c r="I331" s="33" t="s">
        <v>29</v>
      </c>
      <c r="J331" s="34">
        <f>3500001/30</f>
        <v>116666.7</v>
      </c>
      <c r="K331" s="34">
        <f t="shared" si="201"/>
        <v>116666.7</v>
      </c>
      <c r="L331" s="34"/>
      <c r="M331" s="34"/>
      <c r="N331" s="40"/>
      <c r="O331" s="41"/>
      <c r="P331" s="22">
        <f t="shared" si="229"/>
        <v>116667</v>
      </c>
      <c r="Q331" s="22">
        <f t="shared" si="230"/>
        <v>116667</v>
      </c>
      <c r="R331" s="23">
        <f t="shared" si="231"/>
        <v>0</v>
      </c>
      <c r="S331" s="24">
        <f t="shared" si="232"/>
        <v>0</v>
      </c>
      <c r="T331" s="23">
        <f t="shared" si="233"/>
        <v>116666.7</v>
      </c>
      <c r="U331" s="23">
        <f t="shared" si="234"/>
        <v>116666.7</v>
      </c>
      <c r="V331" s="24">
        <f t="shared" si="235"/>
        <v>0</v>
      </c>
      <c r="W331" s="25" t="s">
        <v>26</v>
      </c>
      <c r="X331" s="131"/>
      <c r="Y331" s="27"/>
      <c r="Z331" s="28"/>
      <c r="AA331" s="28"/>
      <c r="AB331" s="28"/>
      <c r="AC331" s="28"/>
      <c r="AD331" s="28"/>
      <c r="AE331" s="28"/>
      <c r="AF331" s="28"/>
      <c r="AG331" s="28"/>
      <c r="AH331" s="28"/>
      <c r="AI331" s="28"/>
      <c r="AJ331" s="28"/>
      <c r="AK331" s="28"/>
    </row>
    <row r="332" spans="1:37" ht="169.15" customHeight="1" x14ac:dyDescent="0.25">
      <c r="A332" s="13">
        <f t="shared" si="200"/>
        <v>3</v>
      </c>
      <c r="B332" s="675">
        <v>313</v>
      </c>
      <c r="C332" s="128">
        <v>318</v>
      </c>
      <c r="D332" s="129" t="s">
        <v>291</v>
      </c>
      <c r="E332" s="130" t="s">
        <v>667</v>
      </c>
      <c r="F332" s="32">
        <v>1</v>
      </c>
      <c r="G332" s="32" t="s">
        <v>24</v>
      </c>
      <c r="H332" s="33">
        <v>1</v>
      </c>
      <c r="I332" s="33" t="s">
        <v>29</v>
      </c>
      <c r="J332" s="43">
        <f>+(6307000*100)/119</f>
        <v>5300000</v>
      </c>
      <c r="K332" s="40">
        <f t="shared" si="201"/>
        <v>5300000</v>
      </c>
      <c r="L332" s="35">
        <f>+(4998000*100)/119</f>
        <v>4200000</v>
      </c>
      <c r="M332" s="35">
        <f t="shared" ref="M332:M342" si="236">+L332*H332*F332</f>
        <v>4200000</v>
      </c>
      <c r="N332" s="35">
        <v>5000000</v>
      </c>
      <c r="O332" s="41">
        <f t="shared" si="203"/>
        <v>5000000</v>
      </c>
      <c r="P332" s="68">
        <f t="shared" ref="P332:P367" si="237">+AVERAGE(J332,L332,N332)</f>
        <v>4833333.333333333</v>
      </c>
      <c r="Q332" s="68">
        <f t="shared" ref="Q332:Q342" si="238">+P332*H332*F332</f>
        <v>4833333.333333333</v>
      </c>
      <c r="R332" s="68">
        <f t="shared" si="231"/>
        <v>464279.60923947062</v>
      </c>
      <c r="S332" s="69">
        <f t="shared" si="232"/>
        <v>9.6057850187476687E-2</v>
      </c>
      <c r="T332" s="68">
        <f t="shared" si="233"/>
        <v>5000000</v>
      </c>
      <c r="U332" s="68">
        <f t="shared" si="234"/>
        <v>5000000</v>
      </c>
      <c r="V332" s="69">
        <f t="shared" si="235"/>
        <v>9.2855921847894124E-2</v>
      </c>
      <c r="W332" s="127" t="s">
        <v>143</v>
      </c>
      <c r="X332" s="25" t="s">
        <v>144</v>
      </c>
      <c r="Y332" s="27" t="s">
        <v>248</v>
      </c>
      <c r="Z332" s="28"/>
      <c r="AA332" s="28"/>
      <c r="AB332" s="28"/>
      <c r="AC332" s="28"/>
      <c r="AD332" s="28"/>
      <c r="AE332" s="28"/>
      <c r="AF332" s="28"/>
      <c r="AG332" s="28"/>
      <c r="AH332" s="28"/>
      <c r="AI332" s="28"/>
      <c r="AJ332" s="28"/>
      <c r="AK332" s="28"/>
    </row>
    <row r="333" spans="1:37" ht="267.75" customHeight="1" x14ac:dyDescent="0.25">
      <c r="A333" s="13">
        <f t="shared" si="200"/>
        <v>3</v>
      </c>
      <c r="B333" s="676">
        <v>314</v>
      </c>
      <c r="C333" s="151">
        <v>319</v>
      </c>
      <c r="D333" s="350" t="s">
        <v>604</v>
      </c>
      <c r="E333" s="117" t="s">
        <v>654</v>
      </c>
      <c r="F333" s="32">
        <v>4</v>
      </c>
      <c r="G333" s="32" t="s">
        <v>24</v>
      </c>
      <c r="H333" s="33">
        <v>1</v>
      </c>
      <c r="I333" s="421"/>
      <c r="J333" s="282">
        <f>+(513000*5.35%)+513000</f>
        <v>540445.5</v>
      </c>
      <c r="K333" s="40">
        <f t="shared" si="201"/>
        <v>2161782</v>
      </c>
      <c r="L333" s="282">
        <f>+(523800*5.35%)+523800</f>
        <v>551823.30000000005</v>
      </c>
      <c r="M333" s="35">
        <f t="shared" si="236"/>
        <v>2207293.2000000002</v>
      </c>
      <c r="N333" s="282">
        <f>+(583200*5.35%)+583200</f>
        <v>614401.19999999995</v>
      </c>
      <c r="O333" s="41">
        <f t="shared" si="203"/>
        <v>2457604.7999999998</v>
      </c>
      <c r="P333" s="68">
        <f t="shared" si="237"/>
        <v>568890</v>
      </c>
      <c r="Q333" s="68">
        <f t="shared" si="238"/>
        <v>2275560</v>
      </c>
      <c r="R333" s="68">
        <f t="shared" si="231"/>
        <v>32514.771794678156</v>
      </c>
      <c r="S333" s="69">
        <f t="shared" si="232"/>
        <v>5.7154760664940775E-2</v>
      </c>
      <c r="T333" s="68">
        <f t="shared" si="233"/>
        <v>551823.30000000005</v>
      </c>
      <c r="U333" s="68">
        <f t="shared" si="234"/>
        <v>2207293.2000000002</v>
      </c>
      <c r="V333" s="69">
        <f t="shared" si="235"/>
        <v>5.8922433675196666E-2</v>
      </c>
      <c r="W333" s="78" t="s">
        <v>310</v>
      </c>
      <c r="X333" s="78" t="s">
        <v>311</v>
      </c>
      <c r="Y333" s="79" t="s">
        <v>42</v>
      </c>
      <c r="Z333" s="28"/>
      <c r="AA333" s="28"/>
      <c r="AB333" s="28"/>
      <c r="AC333" s="28"/>
      <c r="AD333" s="28"/>
      <c r="AE333" s="28"/>
      <c r="AF333" s="28"/>
      <c r="AG333" s="28"/>
      <c r="AH333" s="28"/>
      <c r="AI333" s="28"/>
      <c r="AJ333" s="28"/>
      <c r="AK333" s="28"/>
    </row>
    <row r="334" spans="1:37" ht="63" x14ac:dyDescent="0.25">
      <c r="A334" s="13">
        <f t="shared" si="200"/>
        <v>3</v>
      </c>
      <c r="B334" s="675">
        <v>315</v>
      </c>
      <c r="C334" s="128">
        <v>320</v>
      </c>
      <c r="D334" s="49" t="s">
        <v>656</v>
      </c>
      <c r="E334" s="130" t="s">
        <v>668</v>
      </c>
      <c r="F334" s="32">
        <v>900</v>
      </c>
      <c r="G334" s="32" t="s">
        <v>24</v>
      </c>
      <c r="H334" s="52">
        <v>1</v>
      </c>
      <c r="I334" s="52" t="s">
        <v>29</v>
      </c>
      <c r="J334" s="34">
        <v>8900</v>
      </c>
      <c r="K334" s="40">
        <f t="shared" si="201"/>
        <v>8010000</v>
      </c>
      <c r="L334" s="35">
        <v>10000</v>
      </c>
      <c r="M334" s="35">
        <f t="shared" si="236"/>
        <v>9000000</v>
      </c>
      <c r="N334" s="35">
        <v>11000</v>
      </c>
      <c r="O334" s="41">
        <f t="shared" si="203"/>
        <v>9900000</v>
      </c>
      <c r="P334" s="68">
        <f t="shared" si="237"/>
        <v>9966.6666666666661</v>
      </c>
      <c r="Q334" s="68">
        <f t="shared" si="238"/>
        <v>8970000</v>
      </c>
      <c r="R334" s="68">
        <f t="shared" si="231"/>
        <v>857.64535535124048</v>
      </c>
      <c r="S334" s="69">
        <f t="shared" si="232"/>
        <v>8.6051373446612761E-2</v>
      </c>
      <c r="T334" s="68">
        <f t="shared" si="233"/>
        <v>10000</v>
      </c>
      <c r="U334" s="68">
        <f t="shared" si="234"/>
        <v>9000000</v>
      </c>
      <c r="V334" s="69">
        <f t="shared" si="235"/>
        <v>8.5764535535124045E-2</v>
      </c>
      <c r="W334" s="88" t="s">
        <v>41</v>
      </c>
      <c r="X334" s="88" t="s">
        <v>42</v>
      </c>
      <c r="Y334" s="89" t="s">
        <v>43</v>
      </c>
      <c r="Z334" s="28"/>
      <c r="AA334" s="28"/>
      <c r="AB334" s="28"/>
      <c r="AC334" s="28"/>
      <c r="AD334" s="28"/>
      <c r="AE334" s="28"/>
      <c r="AF334" s="28"/>
      <c r="AG334" s="28"/>
      <c r="AH334" s="28"/>
      <c r="AI334" s="28"/>
      <c r="AJ334" s="28"/>
      <c r="AK334" s="28"/>
    </row>
    <row r="335" spans="1:37" ht="32.1" customHeight="1" x14ac:dyDescent="0.25">
      <c r="A335" s="13">
        <f t="shared" si="200"/>
        <v>3</v>
      </c>
      <c r="B335" s="676">
        <v>316</v>
      </c>
      <c r="C335" s="151">
        <v>321</v>
      </c>
      <c r="D335" s="427" t="s">
        <v>200</v>
      </c>
      <c r="E335" s="145" t="s">
        <v>669</v>
      </c>
      <c r="F335" s="56">
        <v>1</v>
      </c>
      <c r="G335" s="56" t="s">
        <v>24</v>
      </c>
      <c r="H335" s="57">
        <v>1</v>
      </c>
      <c r="I335" s="57" t="s">
        <v>29</v>
      </c>
      <c r="J335" s="80">
        <v>16387</v>
      </c>
      <c r="K335" s="34">
        <f t="shared" si="201"/>
        <v>16387</v>
      </c>
      <c r="L335" s="267">
        <v>14628</v>
      </c>
      <c r="M335" s="147">
        <f t="shared" si="236"/>
        <v>14628</v>
      </c>
      <c r="N335" s="428">
        <v>13992</v>
      </c>
      <c r="O335" s="41">
        <f t="shared" si="203"/>
        <v>13992</v>
      </c>
      <c r="P335" s="68">
        <f t="shared" si="237"/>
        <v>15002.333333333334</v>
      </c>
      <c r="Q335" s="68">
        <f t="shared" si="238"/>
        <v>15002.333333333334</v>
      </c>
      <c r="R335" s="68">
        <f t="shared" si="231"/>
        <v>1012.9495983951467</v>
      </c>
      <c r="S335" s="69">
        <f t="shared" si="232"/>
        <v>6.7519470197645703E-2</v>
      </c>
      <c r="T335" s="68">
        <f t="shared" si="233"/>
        <v>14628</v>
      </c>
      <c r="U335" s="68">
        <f t="shared" si="234"/>
        <v>14628</v>
      </c>
      <c r="V335" s="69">
        <f t="shared" si="235"/>
        <v>6.9247306425700483E-2</v>
      </c>
      <c r="W335" s="131" t="s">
        <v>202</v>
      </c>
      <c r="X335" s="131" t="s">
        <v>203</v>
      </c>
      <c r="Y335" s="27" t="s">
        <v>204</v>
      </c>
      <c r="Z335" s="28" t="s">
        <v>205</v>
      </c>
      <c r="AA335" s="28" t="s">
        <v>206</v>
      </c>
      <c r="AB335" s="28"/>
      <c r="AC335" s="28"/>
      <c r="AD335" s="28"/>
      <c r="AE335" s="28"/>
      <c r="AF335" s="28"/>
      <c r="AG335" s="28"/>
      <c r="AH335" s="28"/>
      <c r="AI335" s="28"/>
      <c r="AJ335" s="28"/>
      <c r="AK335" s="28"/>
    </row>
    <row r="336" spans="1:37" ht="63" customHeight="1" x14ac:dyDescent="0.25">
      <c r="A336" s="13">
        <f t="shared" si="200"/>
        <v>3</v>
      </c>
      <c r="B336" s="675">
        <v>317</v>
      </c>
      <c r="C336" s="128">
        <v>322</v>
      </c>
      <c r="D336" s="129" t="s">
        <v>670</v>
      </c>
      <c r="E336" s="130" t="s">
        <v>671</v>
      </c>
      <c r="F336" s="32">
        <v>200</v>
      </c>
      <c r="G336" s="32" t="s">
        <v>24</v>
      </c>
      <c r="H336" s="33">
        <v>1</v>
      </c>
      <c r="I336" s="33" t="s">
        <v>29</v>
      </c>
      <c r="J336" s="80">
        <v>2521</v>
      </c>
      <c r="K336" s="40">
        <f t="shared" si="201"/>
        <v>504200</v>
      </c>
      <c r="L336" s="83">
        <v>2773</v>
      </c>
      <c r="M336" s="35">
        <f t="shared" si="236"/>
        <v>554600</v>
      </c>
      <c r="N336" s="83">
        <v>2605</v>
      </c>
      <c r="O336" s="41">
        <f t="shared" si="203"/>
        <v>521000</v>
      </c>
      <c r="P336" s="68">
        <f t="shared" si="237"/>
        <v>2633</v>
      </c>
      <c r="Q336" s="68">
        <f t="shared" si="238"/>
        <v>526600</v>
      </c>
      <c r="R336" s="68">
        <f t="shared" si="231"/>
        <v>104.76640682967036</v>
      </c>
      <c r="S336" s="69">
        <f t="shared" si="232"/>
        <v>3.9789748131283845E-2</v>
      </c>
      <c r="T336" s="68">
        <f t="shared" si="233"/>
        <v>2605</v>
      </c>
      <c r="U336" s="68">
        <f t="shared" si="234"/>
        <v>521000</v>
      </c>
      <c r="V336" s="69">
        <f t="shared" si="235"/>
        <v>4.0217430644787083E-2</v>
      </c>
      <c r="W336" s="429" t="s">
        <v>672</v>
      </c>
      <c r="X336" s="429" t="s">
        <v>673</v>
      </c>
      <c r="Y336" s="227" t="s">
        <v>674</v>
      </c>
      <c r="Z336" s="236">
        <f>SUM(Q328:Q336)</f>
        <v>20176327.666666664</v>
      </c>
      <c r="AA336" s="237">
        <f>SUM(U328:U336)</f>
        <v>20298754.733333334</v>
      </c>
      <c r="AB336" s="28"/>
      <c r="AC336" s="28"/>
      <c r="AD336" s="28"/>
      <c r="AE336" s="28"/>
      <c r="AF336" s="28"/>
      <c r="AG336" s="28"/>
      <c r="AH336" s="28"/>
      <c r="AI336" s="28"/>
      <c r="AJ336" s="28"/>
      <c r="AK336" s="28"/>
    </row>
    <row r="337" spans="1:37" ht="35.1" customHeight="1" x14ac:dyDescent="0.25">
      <c r="A337" s="424"/>
      <c r="B337" s="424"/>
      <c r="C337" s="424"/>
      <c r="D337" s="337"/>
      <c r="E337" s="332" t="s">
        <v>675</v>
      </c>
      <c r="F337" s="331"/>
      <c r="G337" s="331"/>
      <c r="H337" s="331"/>
      <c r="I337" s="430"/>
      <c r="J337" s="430"/>
      <c r="K337" s="430"/>
      <c r="L337" s="430"/>
      <c r="M337" s="430"/>
      <c r="N337" s="430"/>
      <c r="O337" s="430"/>
      <c r="P337" s="430"/>
      <c r="Q337" s="430"/>
      <c r="R337" s="430"/>
      <c r="S337" s="430"/>
      <c r="T337" s="430"/>
      <c r="U337" s="430"/>
      <c r="V337" s="430"/>
      <c r="W337" s="430"/>
      <c r="X337" s="430"/>
      <c r="Y337" s="431"/>
      <c r="Z337" s="28"/>
      <c r="AA337" s="28"/>
      <c r="AB337" s="28"/>
      <c r="AC337" s="28"/>
      <c r="AD337" s="28"/>
      <c r="AE337" s="28"/>
      <c r="AF337" s="28"/>
      <c r="AG337" s="28"/>
      <c r="AH337" s="28"/>
      <c r="AI337" s="28"/>
      <c r="AJ337" s="28"/>
      <c r="AK337" s="28"/>
    </row>
    <row r="338" spans="1:37" ht="31.5" customHeight="1" x14ac:dyDescent="0.25">
      <c r="A338" s="13">
        <f t="shared" si="200"/>
        <v>3</v>
      </c>
      <c r="B338" s="675">
        <v>318</v>
      </c>
      <c r="C338" s="128">
        <v>323</v>
      </c>
      <c r="D338" s="129" t="s">
        <v>495</v>
      </c>
      <c r="E338" s="426" t="s">
        <v>676</v>
      </c>
      <c r="F338" s="32">
        <v>1</v>
      </c>
      <c r="G338" s="32" t="s">
        <v>24</v>
      </c>
      <c r="H338" s="33">
        <v>1</v>
      </c>
      <c r="I338" s="33" t="s">
        <v>29</v>
      </c>
      <c r="J338" s="34">
        <f>+(1904000*100)/119</f>
        <v>1600000</v>
      </c>
      <c r="K338" s="40">
        <f t="shared" ref="K338:K401" si="239">+J338*F338*H338</f>
        <v>1600000</v>
      </c>
      <c r="L338" s="35">
        <v>1312000</v>
      </c>
      <c r="M338" s="35">
        <f t="shared" si="236"/>
        <v>1312000</v>
      </c>
      <c r="N338" s="35">
        <v>2200000</v>
      </c>
      <c r="O338" s="41">
        <f t="shared" si="203"/>
        <v>2200000</v>
      </c>
      <c r="P338" s="68">
        <f t="shared" si="237"/>
        <v>1704000</v>
      </c>
      <c r="Q338" s="68">
        <f t="shared" si="238"/>
        <v>1704000</v>
      </c>
      <c r="R338" s="68">
        <f t="shared" si="231"/>
        <v>369908.09669430053</v>
      </c>
      <c r="S338" s="69">
        <f t="shared" si="232"/>
        <v>0.21708221636989469</v>
      </c>
      <c r="T338" s="68">
        <f t="shared" si="233"/>
        <v>1600000</v>
      </c>
      <c r="U338" s="68">
        <f t="shared" si="234"/>
        <v>1600000</v>
      </c>
      <c r="V338" s="69">
        <f t="shared" si="235"/>
        <v>0.23119256043393782</v>
      </c>
      <c r="W338" s="127" t="s">
        <v>143</v>
      </c>
      <c r="X338" s="131" t="s">
        <v>248</v>
      </c>
      <c r="Y338" s="27" t="s">
        <v>41</v>
      </c>
      <c r="Z338" s="28"/>
      <c r="AA338" s="28"/>
      <c r="AB338" s="28"/>
      <c r="AC338" s="28"/>
      <c r="AD338" s="28"/>
      <c r="AE338" s="28"/>
      <c r="AF338" s="28"/>
      <c r="AG338" s="28"/>
      <c r="AH338" s="28"/>
      <c r="AI338" s="28"/>
      <c r="AJ338" s="28"/>
      <c r="AK338" s="28"/>
    </row>
    <row r="339" spans="1:37" ht="63" customHeight="1" x14ac:dyDescent="0.25">
      <c r="A339" s="13">
        <f t="shared" si="200"/>
        <v>3</v>
      </c>
      <c r="B339" s="675">
        <v>319</v>
      </c>
      <c r="C339" s="128">
        <v>324</v>
      </c>
      <c r="D339" s="129" t="s">
        <v>570</v>
      </c>
      <c r="E339" s="426" t="s">
        <v>571</v>
      </c>
      <c r="F339" s="32">
        <v>1</v>
      </c>
      <c r="G339" s="32" t="s">
        <v>24</v>
      </c>
      <c r="H339" s="33">
        <v>1</v>
      </c>
      <c r="I339" s="33" t="s">
        <v>29</v>
      </c>
      <c r="J339" s="34">
        <f>+(29155000*100)/119</f>
        <v>24500000</v>
      </c>
      <c r="K339" s="40">
        <f t="shared" si="239"/>
        <v>24500000</v>
      </c>
      <c r="L339" s="35">
        <v>19800000</v>
      </c>
      <c r="M339" s="35">
        <f t="shared" si="236"/>
        <v>19800000</v>
      </c>
      <c r="N339" s="35">
        <v>17100000</v>
      </c>
      <c r="O339" s="41">
        <f t="shared" si="203"/>
        <v>17100000</v>
      </c>
      <c r="P339" s="68">
        <f t="shared" si="237"/>
        <v>20466666.666666668</v>
      </c>
      <c r="Q339" s="68">
        <f t="shared" si="238"/>
        <v>20466666.666666668</v>
      </c>
      <c r="R339" s="68">
        <f t="shared" si="231"/>
        <v>3057595.2787916339</v>
      </c>
      <c r="S339" s="69">
        <f t="shared" si="232"/>
        <v>0.14939390612988437</v>
      </c>
      <c r="T339" s="68">
        <f t="shared" si="233"/>
        <v>19800000</v>
      </c>
      <c r="U339" s="68">
        <f t="shared" si="234"/>
        <v>19800000</v>
      </c>
      <c r="V339" s="69">
        <f t="shared" si="235"/>
        <v>0.15442400397937545</v>
      </c>
      <c r="W339" s="127" t="s">
        <v>143</v>
      </c>
      <c r="X339" s="37" t="s">
        <v>41</v>
      </c>
      <c r="Y339" s="27" t="s">
        <v>248</v>
      </c>
      <c r="Z339" s="28"/>
      <c r="AA339" s="28"/>
      <c r="AB339" s="28"/>
      <c r="AC339" s="28"/>
      <c r="AD339" s="28"/>
      <c r="AE339" s="28"/>
      <c r="AF339" s="28"/>
      <c r="AG339" s="28"/>
      <c r="AH339" s="28"/>
      <c r="AI339" s="28"/>
      <c r="AJ339" s="28"/>
      <c r="AK339" s="28"/>
    </row>
    <row r="340" spans="1:37" ht="63" customHeight="1" x14ac:dyDescent="0.25">
      <c r="A340" s="13">
        <f t="shared" si="200"/>
        <v>3</v>
      </c>
      <c r="B340" s="675">
        <v>320</v>
      </c>
      <c r="C340" s="128">
        <v>325</v>
      </c>
      <c r="D340" s="285" t="s">
        <v>134</v>
      </c>
      <c r="E340" s="420" t="s">
        <v>154</v>
      </c>
      <c r="F340" s="32">
        <v>1</v>
      </c>
      <c r="G340" s="32" t="s">
        <v>24</v>
      </c>
      <c r="H340" s="33">
        <v>1</v>
      </c>
      <c r="I340" s="33" t="s">
        <v>29</v>
      </c>
      <c r="J340" s="34">
        <v>1500000</v>
      </c>
      <c r="K340" s="40">
        <f t="shared" si="239"/>
        <v>1500000</v>
      </c>
      <c r="L340" s="432">
        <v>1700000</v>
      </c>
      <c r="M340" s="432">
        <f t="shared" si="236"/>
        <v>1700000</v>
      </c>
      <c r="N340" s="432">
        <v>1800000</v>
      </c>
      <c r="O340" s="41">
        <f t="shared" si="203"/>
        <v>1800000</v>
      </c>
      <c r="P340" s="68">
        <f t="shared" si="237"/>
        <v>1666666.6666666667</v>
      </c>
      <c r="Q340" s="68">
        <f t="shared" si="238"/>
        <v>1666666.6666666667</v>
      </c>
      <c r="R340" s="68">
        <f t="shared" si="231"/>
        <v>124721.91289246472</v>
      </c>
      <c r="S340" s="69">
        <f t="shared" si="232"/>
        <v>7.4833147735478833E-2</v>
      </c>
      <c r="T340" s="68">
        <f t="shared" si="233"/>
        <v>1700000</v>
      </c>
      <c r="U340" s="68">
        <f t="shared" si="234"/>
        <v>1700000</v>
      </c>
      <c r="V340" s="69">
        <f t="shared" si="235"/>
        <v>7.3365831113214541E-2</v>
      </c>
      <c r="W340" s="433" t="s">
        <v>41</v>
      </c>
      <c r="X340" s="433" t="s">
        <v>42</v>
      </c>
      <c r="Y340" s="79" t="s">
        <v>43</v>
      </c>
      <c r="Z340" s="28"/>
      <c r="AA340" s="28"/>
      <c r="AB340" s="28"/>
      <c r="AC340" s="28"/>
      <c r="AD340" s="28"/>
      <c r="AE340" s="28"/>
      <c r="AF340" s="28"/>
      <c r="AG340" s="28"/>
      <c r="AH340" s="28"/>
      <c r="AI340" s="28"/>
      <c r="AJ340" s="28"/>
      <c r="AK340" s="28"/>
    </row>
    <row r="341" spans="1:37" ht="63" x14ac:dyDescent="0.25">
      <c r="A341" s="13">
        <f t="shared" si="200"/>
        <v>3</v>
      </c>
      <c r="B341" s="675">
        <v>321</v>
      </c>
      <c r="C341" s="128">
        <v>326</v>
      </c>
      <c r="D341" s="49" t="s">
        <v>677</v>
      </c>
      <c r="E341" s="130" t="s">
        <v>678</v>
      </c>
      <c r="F341" s="32">
        <v>1</v>
      </c>
      <c r="G341" s="32" t="s">
        <v>24</v>
      </c>
      <c r="H341" s="33">
        <v>1</v>
      </c>
      <c r="I341" s="33" t="s">
        <v>29</v>
      </c>
      <c r="J341" s="34">
        <f>+(1400000*100)/119</f>
        <v>1176470.5882352942</v>
      </c>
      <c r="K341" s="40">
        <f t="shared" si="239"/>
        <v>1176470.5882352942</v>
      </c>
      <c r="L341" s="107">
        <f>+(1400000*100)/119</f>
        <v>1176470.5882352942</v>
      </c>
      <c r="M341" s="107">
        <f t="shared" si="236"/>
        <v>1176470.5882352942</v>
      </c>
      <c r="N341" s="107">
        <f>+(1428000*100)/119</f>
        <v>1200000</v>
      </c>
      <c r="O341" s="41">
        <f t="shared" si="203"/>
        <v>1200000</v>
      </c>
      <c r="P341" s="68">
        <f t="shared" si="237"/>
        <v>1184313.7254901961</v>
      </c>
      <c r="Q341" s="68">
        <f t="shared" si="238"/>
        <v>1184313.7254901961</v>
      </c>
      <c r="R341" s="68">
        <f t="shared" si="231"/>
        <v>11091.871077435995</v>
      </c>
      <c r="S341" s="69">
        <f t="shared" si="232"/>
        <v>9.3656527309476118E-3</v>
      </c>
      <c r="T341" s="68">
        <f t="shared" si="233"/>
        <v>1176470.5882352942</v>
      </c>
      <c r="U341" s="68">
        <f t="shared" si="234"/>
        <v>1176470.5882352942</v>
      </c>
      <c r="V341" s="69">
        <f t="shared" si="235"/>
        <v>9.4280904158205951E-3</v>
      </c>
      <c r="W341" s="131" t="s">
        <v>679</v>
      </c>
      <c r="X341" s="434" t="s">
        <v>680</v>
      </c>
      <c r="Y341" s="319" t="s">
        <v>681</v>
      </c>
      <c r="Z341" s="28"/>
      <c r="AA341" s="28"/>
      <c r="AB341" s="28"/>
      <c r="AC341" s="28"/>
      <c r="AD341" s="28"/>
      <c r="AE341" s="28"/>
      <c r="AF341" s="28"/>
      <c r="AG341" s="28"/>
      <c r="AH341" s="28"/>
      <c r="AI341" s="28"/>
      <c r="AJ341" s="28"/>
      <c r="AK341" s="28"/>
    </row>
    <row r="342" spans="1:37" ht="47.25" x14ac:dyDescent="0.25">
      <c r="A342" s="13">
        <f t="shared" si="200"/>
        <v>3</v>
      </c>
      <c r="B342" s="675">
        <v>322</v>
      </c>
      <c r="C342" s="128">
        <v>327</v>
      </c>
      <c r="D342" s="49" t="s">
        <v>682</v>
      </c>
      <c r="E342" s="130" t="s">
        <v>683</v>
      </c>
      <c r="F342" s="32">
        <v>1</v>
      </c>
      <c r="G342" s="32" t="s">
        <v>24</v>
      </c>
      <c r="H342" s="33">
        <v>1</v>
      </c>
      <c r="I342" s="33" t="s">
        <v>29</v>
      </c>
      <c r="J342" s="34">
        <f>+(1600000*100)/119</f>
        <v>1344537.8151260505</v>
      </c>
      <c r="K342" s="40">
        <f t="shared" si="239"/>
        <v>1344537.8151260505</v>
      </c>
      <c r="L342" s="35">
        <f>+(1600000*100)/119</f>
        <v>1344537.8151260505</v>
      </c>
      <c r="M342" s="35">
        <f t="shared" si="236"/>
        <v>1344537.8151260505</v>
      </c>
      <c r="N342" s="35">
        <f>+(1428000*100)/119</f>
        <v>1200000</v>
      </c>
      <c r="O342" s="41">
        <f t="shared" si="203"/>
        <v>1200000</v>
      </c>
      <c r="P342" s="68">
        <f t="shared" si="237"/>
        <v>1296358.5434173669</v>
      </c>
      <c r="Q342" s="68">
        <f t="shared" si="238"/>
        <v>1296358.5434173669</v>
      </c>
      <c r="R342" s="68">
        <f t="shared" si="231"/>
        <v>68135.779475678573</v>
      </c>
      <c r="S342" s="69">
        <f t="shared" si="232"/>
        <v>5.2559363165119381E-2</v>
      </c>
      <c r="T342" s="68">
        <f t="shared" si="233"/>
        <v>1344537.8151260505</v>
      </c>
      <c r="U342" s="68">
        <f t="shared" si="234"/>
        <v>1344537.8151260505</v>
      </c>
      <c r="V342" s="69">
        <f t="shared" si="235"/>
        <v>5.0675985985035935E-2</v>
      </c>
      <c r="W342" s="131" t="s">
        <v>684</v>
      </c>
      <c r="X342" s="434" t="s">
        <v>685</v>
      </c>
      <c r="Y342" s="319" t="s">
        <v>681</v>
      </c>
      <c r="Z342" s="28"/>
      <c r="AA342" s="28"/>
      <c r="AB342" s="28"/>
      <c r="AC342" s="28"/>
      <c r="AD342" s="28"/>
      <c r="AE342" s="28"/>
      <c r="AF342" s="28"/>
      <c r="AG342" s="28"/>
      <c r="AH342" s="28"/>
      <c r="AI342" s="28"/>
      <c r="AJ342" s="28"/>
      <c r="AK342" s="28"/>
    </row>
    <row r="343" spans="1:37" ht="153" customHeight="1" x14ac:dyDescent="0.25">
      <c r="A343" s="13">
        <f t="shared" si="200"/>
        <v>3</v>
      </c>
      <c r="B343" s="675">
        <v>323</v>
      </c>
      <c r="C343" s="128">
        <v>328</v>
      </c>
      <c r="D343" s="129" t="s">
        <v>686</v>
      </c>
      <c r="E343" s="435" t="s">
        <v>687</v>
      </c>
      <c r="F343" s="32">
        <v>4</v>
      </c>
      <c r="G343" s="32" t="s">
        <v>24</v>
      </c>
      <c r="H343" s="33"/>
      <c r="I343" s="33"/>
      <c r="J343" s="228">
        <v>2631579</v>
      </c>
      <c r="K343" s="64">
        <f t="shared" ref="K343:K351" si="240">+J343*F343</f>
        <v>10526316</v>
      </c>
      <c r="L343" s="228">
        <v>2631579</v>
      </c>
      <c r="M343" s="217">
        <f t="shared" ref="M343:M351" si="241">+L343*F343</f>
        <v>10526316</v>
      </c>
      <c r="N343" s="228">
        <v>2631579</v>
      </c>
      <c r="O343" s="35">
        <f t="shared" ref="O343:O351" si="242">+N343*F343</f>
        <v>10526316</v>
      </c>
      <c r="P343" s="68">
        <f t="shared" si="237"/>
        <v>2631579</v>
      </c>
      <c r="Q343" s="163">
        <f t="shared" ref="Q343:Q351" si="243">+P343*F343</f>
        <v>10526316</v>
      </c>
      <c r="R343" s="68">
        <f t="shared" si="231"/>
        <v>0</v>
      </c>
      <c r="S343" s="69">
        <f t="shared" si="232"/>
        <v>0</v>
      </c>
      <c r="T343" s="68">
        <f t="shared" si="233"/>
        <v>2631579</v>
      </c>
      <c r="U343" s="163">
        <f t="shared" ref="U343:U351" si="244">+T343*F343</f>
        <v>10526316</v>
      </c>
      <c r="V343" s="69">
        <f t="shared" si="235"/>
        <v>0</v>
      </c>
      <c r="W343" s="143" t="s">
        <v>41</v>
      </c>
      <c r="X343" s="143" t="s">
        <v>42</v>
      </c>
      <c r="Y343" s="436" t="s">
        <v>43</v>
      </c>
      <c r="Z343" s="28"/>
      <c r="AA343" s="28"/>
      <c r="AB343" s="28"/>
      <c r="AC343" s="28"/>
      <c r="AD343" s="28"/>
      <c r="AE343" s="28"/>
      <c r="AF343" s="28"/>
      <c r="AG343" s="28"/>
      <c r="AH343" s="28"/>
      <c r="AI343" s="28"/>
      <c r="AJ343" s="28"/>
      <c r="AK343" s="28"/>
    </row>
    <row r="344" spans="1:37" ht="163.15" customHeight="1" x14ac:dyDescent="0.25">
      <c r="A344" s="13">
        <f t="shared" si="200"/>
        <v>3</v>
      </c>
      <c r="B344" s="675">
        <v>324</v>
      </c>
      <c r="C344" s="128">
        <v>329</v>
      </c>
      <c r="D344" s="129" t="s">
        <v>688</v>
      </c>
      <c r="E344" s="435" t="s">
        <v>689</v>
      </c>
      <c r="F344" s="32">
        <v>1</v>
      </c>
      <c r="G344" s="32" t="s">
        <v>24</v>
      </c>
      <c r="H344" s="33"/>
      <c r="I344" s="33"/>
      <c r="J344" s="228">
        <v>2631579</v>
      </c>
      <c r="K344" s="64">
        <f t="shared" si="240"/>
        <v>2631579</v>
      </c>
      <c r="L344" s="228">
        <v>2631579</v>
      </c>
      <c r="M344" s="217">
        <f t="shared" si="241"/>
        <v>2631579</v>
      </c>
      <c r="N344" s="228">
        <v>2631579</v>
      </c>
      <c r="O344" s="35">
        <f t="shared" si="242"/>
        <v>2631579</v>
      </c>
      <c r="P344" s="68">
        <f t="shared" si="237"/>
        <v>2631579</v>
      </c>
      <c r="Q344" s="163">
        <f t="shared" si="243"/>
        <v>2631579</v>
      </c>
      <c r="R344" s="68">
        <f t="shared" si="231"/>
        <v>0</v>
      </c>
      <c r="S344" s="69">
        <f t="shared" si="232"/>
        <v>0</v>
      </c>
      <c r="T344" s="68">
        <f t="shared" si="233"/>
        <v>2631579</v>
      </c>
      <c r="U344" s="163">
        <f t="shared" si="244"/>
        <v>2631579</v>
      </c>
      <c r="V344" s="69">
        <f t="shared" si="235"/>
        <v>0</v>
      </c>
      <c r="W344" s="143" t="s">
        <v>41</v>
      </c>
      <c r="X344" s="143" t="s">
        <v>42</v>
      </c>
      <c r="Y344" s="436" t="s">
        <v>43</v>
      </c>
      <c r="Z344" s="28"/>
      <c r="AA344" s="28"/>
      <c r="AB344" s="28"/>
      <c r="AC344" s="28"/>
      <c r="AD344" s="28"/>
      <c r="AE344" s="28"/>
      <c r="AF344" s="28"/>
      <c r="AG344" s="28"/>
      <c r="AH344" s="28"/>
      <c r="AI344" s="28"/>
      <c r="AJ344" s="28"/>
      <c r="AK344" s="28"/>
    </row>
    <row r="345" spans="1:37" ht="201" customHeight="1" x14ac:dyDescent="0.25">
      <c r="A345" s="13">
        <f t="shared" si="200"/>
        <v>3</v>
      </c>
      <c r="B345" s="675">
        <v>325</v>
      </c>
      <c r="C345" s="128">
        <v>330</v>
      </c>
      <c r="D345" s="129" t="s">
        <v>690</v>
      </c>
      <c r="E345" s="435" t="s">
        <v>691</v>
      </c>
      <c r="F345" s="32">
        <v>4</v>
      </c>
      <c r="G345" s="32" t="s">
        <v>24</v>
      </c>
      <c r="H345" s="33"/>
      <c r="I345" s="33"/>
      <c r="J345" s="228">
        <v>4210526</v>
      </c>
      <c r="K345" s="64">
        <f t="shared" si="240"/>
        <v>16842104</v>
      </c>
      <c r="L345" s="228">
        <v>4210526</v>
      </c>
      <c r="M345" s="217">
        <f t="shared" si="241"/>
        <v>16842104</v>
      </c>
      <c r="N345" s="228">
        <v>4210526</v>
      </c>
      <c r="O345" s="35">
        <f t="shared" si="242"/>
        <v>16842104</v>
      </c>
      <c r="P345" s="68">
        <f t="shared" si="237"/>
        <v>4210526</v>
      </c>
      <c r="Q345" s="163">
        <f t="shared" si="243"/>
        <v>16842104</v>
      </c>
      <c r="R345" s="68">
        <f t="shared" si="231"/>
        <v>0</v>
      </c>
      <c r="S345" s="69">
        <f t="shared" si="232"/>
        <v>0</v>
      </c>
      <c r="T345" s="68">
        <f t="shared" si="233"/>
        <v>4210526</v>
      </c>
      <c r="U345" s="163">
        <f t="shared" si="244"/>
        <v>16842104</v>
      </c>
      <c r="V345" s="69">
        <f t="shared" si="235"/>
        <v>0</v>
      </c>
      <c r="W345" s="143" t="s">
        <v>41</v>
      </c>
      <c r="X345" s="143" t="s">
        <v>42</v>
      </c>
      <c r="Y345" s="436" t="s">
        <v>43</v>
      </c>
      <c r="Z345" s="28"/>
      <c r="AA345" s="28"/>
      <c r="AB345" s="28"/>
      <c r="AC345" s="28"/>
      <c r="AD345" s="28"/>
      <c r="AE345" s="28"/>
      <c r="AF345" s="28"/>
      <c r="AG345" s="28"/>
      <c r="AH345" s="28"/>
      <c r="AI345" s="28"/>
      <c r="AJ345" s="28"/>
      <c r="AK345" s="28"/>
    </row>
    <row r="346" spans="1:37" ht="159.6" customHeight="1" x14ac:dyDescent="0.25">
      <c r="A346" s="13">
        <f t="shared" si="200"/>
        <v>3</v>
      </c>
      <c r="B346" s="675">
        <v>326</v>
      </c>
      <c r="C346" s="128">
        <v>331</v>
      </c>
      <c r="D346" s="129" t="s">
        <v>692</v>
      </c>
      <c r="E346" s="435" t="s">
        <v>693</v>
      </c>
      <c r="F346" s="32">
        <v>4</v>
      </c>
      <c r="G346" s="32" t="s">
        <v>24</v>
      </c>
      <c r="H346" s="33"/>
      <c r="I346" s="33"/>
      <c r="J346" s="228">
        <v>1052632</v>
      </c>
      <c r="K346" s="64">
        <f t="shared" si="240"/>
        <v>4210528</v>
      </c>
      <c r="L346" s="228">
        <v>1052632</v>
      </c>
      <c r="M346" s="217">
        <f t="shared" si="241"/>
        <v>4210528</v>
      </c>
      <c r="N346" s="228">
        <v>1052632</v>
      </c>
      <c r="O346" s="35">
        <f t="shared" si="242"/>
        <v>4210528</v>
      </c>
      <c r="P346" s="68">
        <f t="shared" si="237"/>
        <v>1052632</v>
      </c>
      <c r="Q346" s="163">
        <f t="shared" si="243"/>
        <v>4210528</v>
      </c>
      <c r="R346" s="68">
        <f t="shared" si="231"/>
        <v>0</v>
      </c>
      <c r="S346" s="69">
        <f t="shared" si="232"/>
        <v>0</v>
      </c>
      <c r="T346" s="68">
        <f t="shared" si="233"/>
        <v>1052632</v>
      </c>
      <c r="U346" s="163">
        <f t="shared" si="244"/>
        <v>4210528</v>
      </c>
      <c r="V346" s="69">
        <f t="shared" si="235"/>
        <v>0</v>
      </c>
      <c r="W346" s="143" t="s">
        <v>41</v>
      </c>
      <c r="X346" s="143" t="s">
        <v>42</v>
      </c>
      <c r="Y346" s="436" t="s">
        <v>43</v>
      </c>
      <c r="Z346" s="28"/>
      <c r="AA346" s="28"/>
      <c r="AB346" s="28"/>
      <c r="AC346" s="28"/>
      <c r="AD346" s="28"/>
      <c r="AE346" s="28"/>
      <c r="AF346" s="28"/>
      <c r="AG346" s="28"/>
      <c r="AH346" s="28"/>
      <c r="AI346" s="28"/>
      <c r="AJ346" s="28"/>
      <c r="AK346" s="28"/>
    </row>
    <row r="347" spans="1:37" ht="187.15" customHeight="1" x14ac:dyDescent="0.25">
      <c r="A347" s="13">
        <f t="shared" si="200"/>
        <v>3</v>
      </c>
      <c r="B347" s="675">
        <v>327</v>
      </c>
      <c r="C347" s="128">
        <v>332</v>
      </c>
      <c r="D347" s="129" t="s">
        <v>694</v>
      </c>
      <c r="E347" s="437" t="s">
        <v>695</v>
      </c>
      <c r="F347" s="76">
        <v>4</v>
      </c>
      <c r="G347" s="76" t="s">
        <v>24</v>
      </c>
      <c r="H347" s="77"/>
      <c r="I347" s="77"/>
      <c r="J347" s="228">
        <v>2631579</v>
      </c>
      <c r="K347" s="64">
        <f t="shared" si="240"/>
        <v>10526316</v>
      </c>
      <c r="L347" s="228">
        <v>2631579</v>
      </c>
      <c r="M347" s="217">
        <f t="shared" si="241"/>
        <v>10526316</v>
      </c>
      <c r="N347" s="228">
        <v>2631579</v>
      </c>
      <c r="O347" s="35">
        <f t="shared" si="242"/>
        <v>10526316</v>
      </c>
      <c r="P347" s="68">
        <f t="shared" si="237"/>
        <v>2631579</v>
      </c>
      <c r="Q347" s="163">
        <f t="shared" si="243"/>
        <v>10526316</v>
      </c>
      <c r="R347" s="68">
        <f t="shared" si="231"/>
        <v>0</v>
      </c>
      <c r="S347" s="69">
        <f t="shared" si="232"/>
        <v>0</v>
      </c>
      <c r="T347" s="68">
        <f t="shared" si="233"/>
        <v>2631579</v>
      </c>
      <c r="U347" s="163">
        <f t="shared" si="244"/>
        <v>10526316</v>
      </c>
      <c r="V347" s="69">
        <f t="shared" si="235"/>
        <v>0</v>
      </c>
      <c r="W347" s="143" t="s">
        <v>41</v>
      </c>
      <c r="X347" s="143" t="s">
        <v>42</v>
      </c>
      <c r="Y347" s="436" t="s">
        <v>43</v>
      </c>
      <c r="Z347" s="28"/>
      <c r="AA347" s="28"/>
      <c r="AB347" s="28"/>
      <c r="AC347" s="28"/>
      <c r="AD347" s="28"/>
      <c r="AE347" s="28"/>
      <c r="AF347" s="28"/>
      <c r="AG347" s="28"/>
      <c r="AH347" s="28"/>
      <c r="AI347" s="28"/>
      <c r="AJ347" s="28"/>
      <c r="AK347" s="28"/>
    </row>
    <row r="348" spans="1:37" ht="173.65" customHeight="1" x14ac:dyDescent="0.25">
      <c r="A348" s="13">
        <f t="shared" si="200"/>
        <v>3</v>
      </c>
      <c r="B348" s="675">
        <v>328</v>
      </c>
      <c r="C348" s="128">
        <v>333</v>
      </c>
      <c r="D348" s="140" t="s">
        <v>696</v>
      </c>
      <c r="E348" s="435" t="s">
        <v>697</v>
      </c>
      <c r="F348" s="113">
        <v>2</v>
      </c>
      <c r="G348" s="113" t="s">
        <v>24</v>
      </c>
      <c r="H348" s="25"/>
      <c r="I348" s="438"/>
      <c r="J348" s="334">
        <v>1052632</v>
      </c>
      <c r="K348" s="64">
        <f t="shared" si="240"/>
        <v>2105264</v>
      </c>
      <c r="L348" s="334">
        <v>1052632</v>
      </c>
      <c r="M348" s="217">
        <f t="shared" si="241"/>
        <v>2105264</v>
      </c>
      <c r="N348" s="334">
        <v>1052632</v>
      </c>
      <c r="O348" s="35">
        <f t="shared" si="242"/>
        <v>2105264</v>
      </c>
      <c r="P348" s="68">
        <f t="shared" si="237"/>
        <v>1052632</v>
      </c>
      <c r="Q348" s="163">
        <f t="shared" si="243"/>
        <v>2105264</v>
      </c>
      <c r="R348" s="68">
        <f t="shared" si="231"/>
        <v>0</v>
      </c>
      <c r="S348" s="69">
        <f t="shared" si="232"/>
        <v>0</v>
      </c>
      <c r="T348" s="68">
        <f t="shared" si="233"/>
        <v>1052632</v>
      </c>
      <c r="U348" s="163">
        <f t="shared" si="244"/>
        <v>2105264</v>
      </c>
      <c r="V348" s="69">
        <f t="shared" si="235"/>
        <v>0</v>
      </c>
      <c r="W348" s="143" t="s">
        <v>41</v>
      </c>
      <c r="X348" s="143" t="s">
        <v>42</v>
      </c>
      <c r="Y348" s="436" t="s">
        <v>43</v>
      </c>
      <c r="Z348" s="28"/>
      <c r="AA348" s="28"/>
      <c r="AB348" s="28"/>
      <c r="AC348" s="28"/>
      <c r="AD348" s="28"/>
      <c r="AE348" s="28"/>
      <c r="AF348" s="28"/>
      <c r="AG348" s="28"/>
      <c r="AH348" s="28"/>
      <c r="AI348" s="28"/>
      <c r="AJ348" s="28"/>
      <c r="AK348" s="28"/>
    </row>
    <row r="349" spans="1:37" ht="148.5" customHeight="1" x14ac:dyDescent="0.25">
      <c r="A349" s="13">
        <f t="shared" si="200"/>
        <v>3</v>
      </c>
      <c r="B349" s="675">
        <v>329</v>
      </c>
      <c r="C349" s="128">
        <v>334</v>
      </c>
      <c r="D349" s="439" t="s">
        <v>698</v>
      </c>
      <c r="E349" s="435" t="s">
        <v>699</v>
      </c>
      <c r="F349" s="113">
        <v>1</v>
      </c>
      <c r="G349" s="113" t="s">
        <v>24</v>
      </c>
      <c r="H349" s="25"/>
      <c r="I349" s="438"/>
      <c r="J349" s="334">
        <v>2631579</v>
      </c>
      <c r="K349" s="64">
        <f t="shared" si="240"/>
        <v>2631579</v>
      </c>
      <c r="L349" s="334">
        <v>2631579</v>
      </c>
      <c r="M349" s="217">
        <f t="shared" si="241"/>
        <v>2631579</v>
      </c>
      <c r="N349" s="334">
        <v>2631579</v>
      </c>
      <c r="O349" s="35">
        <f t="shared" si="242"/>
        <v>2631579</v>
      </c>
      <c r="P349" s="68">
        <f t="shared" si="237"/>
        <v>2631579</v>
      </c>
      <c r="Q349" s="163">
        <f t="shared" si="243"/>
        <v>2631579</v>
      </c>
      <c r="R349" s="68">
        <f t="shared" si="231"/>
        <v>0</v>
      </c>
      <c r="S349" s="69">
        <f t="shared" si="232"/>
        <v>0</v>
      </c>
      <c r="T349" s="68">
        <f t="shared" si="233"/>
        <v>2631579</v>
      </c>
      <c r="U349" s="163">
        <f t="shared" si="244"/>
        <v>2631579</v>
      </c>
      <c r="V349" s="69">
        <f t="shared" si="235"/>
        <v>0</v>
      </c>
      <c r="W349" s="143" t="s">
        <v>41</v>
      </c>
      <c r="X349" s="143" t="s">
        <v>42</v>
      </c>
      <c r="Y349" s="436" t="s">
        <v>43</v>
      </c>
      <c r="Z349" s="28"/>
      <c r="AA349" s="28"/>
      <c r="AB349" s="28"/>
      <c r="AC349" s="28"/>
      <c r="AD349" s="28"/>
      <c r="AE349" s="28"/>
      <c r="AF349" s="28"/>
      <c r="AG349" s="28"/>
      <c r="AH349" s="28"/>
      <c r="AI349" s="28"/>
      <c r="AJ349" s="28"/>
      <c r="AK349" s="28"/>
    </row>
    <row r="350" spans="1:37" ht="151.15" customHeight="1" x14ac:dyDescent="0.25">
      <c r="A350" s="13">
        <f t="shared" si="200"/>
        <v>3</v>
      </c>
      <c r="B350" s="675">
        <v>330</v>
      </c>
      <c r="C350" s="128">
        <v>335</v>
      </c>
      <c r="D350" s="140" t="s">
        <v>700</v>
      </c>
      <c r="E350" s="435" t="s">
        <v>701</v>
      </c>
      <c r="F350" s="113">
        <v>1</v>
      </c>
      <c r="G350" s="113" t="s">
        <v>24</v>
      </c>
      <c r="H350" s="25"/>
      <c r="I350" s="438"/>
      <c r="J350" s="334">
        <v>1578947</v>
      </c>
      <c r="K350" s="64">
        <f t="shared" si="240"/>
        <v>1578947</v>
      </c>
      <c r="L350" s="334">
        <v>1578947</v>
      </c>
      <c r="M350" s="217">
        <f t="shared" si="241"/>
        <v>1578947</v>
      </c>
      <c r="N350" s="334">
        <v>1578947</v>
      </c>
      <c r="O350" s="35">
        <f t="shared" si="242"/>
        <v>1578947</v>
      </c>
      <c r="P350" s="68">
        <f t="shared" si="237"/>
        <v>1578947</v>
      </c>
      <c r="Q350" s="163">
        <f t="shared" si="243"/>
        <v>1578947</v>
      </c>
      <c r="R350" s="68">
        <f t="shared" si="231"/>
        <v>0</v>
      </c>
      <c r="S350" s="69">
        <f t="shared" si="232"/>
        <v>0</v>
      </c>
      <c r="T350" s="68">
        <f t="shared" si="233"/>
        <v>1578947</v>
      </c>
      <c r="U350" s="163">
        <f t="shared" si="244"/>
        <v>1578947</v>
      </c>
      <c r="V350" s="69">
        <f t="shared" si="235"/>
        <v>0</v>
      </c>
      <c r="W350" s="143" t="s">
        <v>41</v>
      </c>
      <c r="X350" s="143" t="s">
        <v>42</v>
      </c>
      <c r="Y350" s="436" t="s">
        <v>43</v>
      </c>
      <c r="Z350" s="28"/>
      <c r="AA350" s="28"/>
      <c r="AB350" s="28"/>
      <c r="AC350" s="28"/>
      <c r="AD350" s="28"/>
      <c r="AE350" s="28"/>
      <c r="AF350" s="28"/>
      <c r="AG350" s="28"/>
      <c r="AH350" s="28"/>
      <c r="AI350" s="28"/>
      <c r="AJ350" s="28"/>
      <c r="AK350" s="28"/>
    </row>
    <row r="351" spans="1:37" ht="151.15" customHeight="1" x14ac:dyDescent="0.25">
      <c r="A351" s="13">
        <f t="shared" si="200"/>
        <v>3</v>
      </c>
      <c r="B351" s="675">
        <v>331</v>
      </c>
      <c r="C351" s="128">
        <v>336</v>
      </c>
      <c r="D351" s="440" t="s">
        <v>702</v>
      </c>
      <c r="E351" s="435" t="s">
        <v>703</v>
      </c>
      <c r="F351" s="113">
        <v>1</v>
      </c>
      <c r="G351" s="113" t="s">
        <v>24</v>
      </c>
      <c r="H351" s="25"/>
      <c r="I351" s="438"/>
      <c r="J351" s="334">
        <v>1052632</v>
      </c>
      <c r="K351" s="64">
        <f t="shared" si="240"/>
        <v>1052632</v>
      </c>
      <c r="L351" s="334">
        <v>1052632</v>
      </c>
      <c r="M351" s="217">
        <f t="shared" si="241"/>
        <v>1052632</v>
      </c>
      <c r="N351" s="334">
        <v>1052632</v>
      </c>
      <c r="O351" s="35">
        <f t="shared" si="242"/>
        <v>1052632</v>
      </c>
      <c r="P351" s="68">
        <f t="shared" si="237"/>
        <v>1052632</v>
      </c>
      <c r="Q351" s="163">
        <f t="shared" si="243"/>
        <v>1052632</v>
      </c>
      <c r="R351" s="68">
        <f t="shared" si="231"/>
        <v>0</v>
      </c>
      <c r="S351" s="69">
        <f t="shared" si="232"/>
        <v>0</v>
      </c>
      <c r="T351" s="68">
        <f t="shared" si="233"/>
        <v>1052632</v>
      </c>
      <c r="U351" s="163">
        <f t="shared" si="244"/>
        <v>1052632</v>
      </c>
      <c r="V351" s="69">
        <f t="shared" si="235"/>
        <v>0</v>
      </c>
      <c r="W351" s="143" t="s">
        <v>41</v>
      </c>
      <c r="X351" s="143" t="s">
        <v>42</v>
      </c>
      <c r="Y351" s="436" t="s">
        <v>43</v>
      </c>
      <c r="Z351" s="28"/>
      <c r="AA351" s="28"/>
      <c r="AB351" s="28"/>
      <c r="AC351" s="28"/>
      <c r="AD351" s="28"/>
      <c r="AE351" s="28"/>
      <c r="AF351" s="28"/>
      <c r="AG351" s="28"/>
      <c r="AH351" s="28"/>
      <c r="AI351" s="28"/>
      <c r="AJ351" s="28"/>
      <c r="AK351" s="28"/>
    </row>
    <row r="352" spans="1:37" ht="47.25" x14ac:dyDescent="0.25">
      <c r="A352" s="13">
        <f t="shared" si="200"/>
        <v>3</v>
      </c>
      <c r="B352" s="675">
        <v>332</v>
      </c>
      <c r="C352" s="128">
        <v>337</v>
      </c>
      <c r="D352" s="441" t="s">
        <v>704</v>
      </c>
      <c r="E352" s="145" t="s">
        <v>705</v>
      </c>
      <c r="F352" s="56">
        <v>5</v>
      </c>
      <c r="G352" s="56" t="s">
        <v>24</v>
      </c>
      <c r="H352" s="57">
        <v>1</v>
      </c>
      <c r="I352" s="57" t="s">
        <v>29</v>
      </c>
      <c r="J352" s="82">
        <f>+(3033613*5.35%)+3033613</f>
        <v>3195911.2955</v>
      </c>
      <c r="K352" s="59">
        <f>+J352*F352</f>
        <v>15979556.477499999</v>
      </c>
      <c r="L352" s="82">
        <f>+(3097479*5.35%)+3097479</f>
        <v>3263194.1264999998</v>
      </c>
      <c r="M352" s="107">
        <f>+L352*F352*H352</f>
        <v>16315970.632499998</v>
      </c>
      <c r="N352" s="82">
        <f>+(3448739*5.35%)+3448739</f>
        <v>3633246.5364999999</v>
      </c>
      <c r="O352" s="330">
        <f t="shared" ref="O352:O415" si="245">+N352*H352*F352</f>
        <v>18166232.682500001</v>
      </c>
      <c r="P352" s="68">
        <f t="shared" si="237"/>
        <v>3364117.3194999998</v>
      </c>
      <c r="Q352" s="68">
        <f t="shared" ref="Q352:Q367" si="246">+P352*H352*F352</f>
        <v>16820586.5975</v>
      </c>
      <c r="R352" s="68">
        <f t="shared" si="231"/>
        <v>192275.23054052569</v>
      </c>
      <c r="S352" s="69">
        <f t="shared" si="232"/>
        <v>5.7154733999913852E-2</v>
      </c>
      <c r="T352" s="68">
        <f t="shared" si="233"/>
        <v>3263194.1264999998</v>
      </c>
      <c r="U352" s="68">
        <f t="shared" ref="U352:U367" si="247">+T352*F352*H352</f>
        <v>16315970.632499998</v>
      </c>
      <c r="V352" s="69">
        <f t="shared" si="235"/>
        <v>5.8922400288441958E-2</v>
      </c>
      <c r="W352" s="48" t="s">
        <v>544</v>
      </c>
      <c r="X352" s="48" t="s">
        <v>609</v>
      </c>
      <c r="Y352" s="48" t="s">
        <v>545</v>
      </c>
      <c r="Z352" s="28"/>
      <c r="AA352" s="28"/>
      <c r="AB352" s="28"/>
      <c r="AC352" s="28"/>
      <c r="AD352" s="28"/>
      <c r="AE352" s="28"/>
      <c r="AF352" s="28"/>
      <c r="AG352" s="28"/>
      <c r="AH352" s="28"/>
      <c r="AI352" s="28"/>
      <c r="AJ352" s="28"/>
      <c r="AK352" s="28"/>
    </row>
    <row r="353" spans="1:37" ht="78.75" x14ac:dyDescent="0.25">
      <c r="A353" s="13">
        <f t="shared" si="200"/>
        <v>1</v>
      </c>
      <c r="B353" s="675">
        <v>333</v>
      </c>
      <c r="C353" s="128">
        <v>338</v>
      </c>
      <c r="D353" s="49" t="s">
        <v>706</v>
      </c>
      <c r="E353" s="130" t="s">
        <v>707</v>
      </c>
      <c r="F353" s="32">
        <v>4</v>
      </c>
      <c r="G353" s="32" t="s">
        <v>24</v>
      </c>
      <c r="H353" s="33">
        <v>1</v>
      </c>
      <c r="I353" s="33" t="s">
        <v>29</v>
      </c>
      <c r="J353" s="34">
        <f>5635001/30</f>
        <v>187833.36666666667</v>
      </c>
      <c r="K353" s="40">
        <f t="shared" si="239"/>
        <v>751333.46666666667</v>
      </c>
      <c r="L353" s="196"/>
      <c r="M353" s="196"/>
      <c r="N353" s="196"/>
      <c r="O353" s="41"/>
      <c r="P353" s="68">
        <f t="shared" si="237"/>
        <v>187833.36666666667</v>
      </c>
      <c r="Q353" s="68">
        <f t="shared" si="246"/>
        <v>751333.46666666667</v>
      </c>
      <c r="R353" s="68">
        <f t="shared" si="231"/>
        <v>0</v>
      </c>
      <c r="S353" s="69">
        <f t="shared" si="232"/>
        <v>0</v>
      </c>
      <c r="T353" s="68">
        <f t="shared" si="233"/>
        <v>187833.36666666667</v>
      </c>
      <c r="U353" s="68">
        <f t="shared" si="247"/>
        <v>751333.46666666667</v>
      </c>
      <c r="V353" s="69">
        <f t="shared" si="235"/>
        <v>0</v>
      </c>
      <c r="W353" s="131" t="s">
        <v>26</v>
      </c>
      <c r="X353" s="131"/>
      <c r="Y353" s="27"/>
      <c r="Z353" s="28"/>
      <c r="AA353" s="28"/>
      <c r="AB353" s="28"/>
      <c r="AC353" s="28"/>
      <c r="AD353" s="28"/>
      <c r="AE353" s="28"/>
      <c r="AF353" s="28"/>
      <c r="AG353" s="28"/>
      <c r="AH353" s="28"/>
      <c r="AI353" s="28"/>
      <c r="AJ353" s="28"/>
      <c r="AK353" s="28"/>
    </row>
    <row r="354" spans="1:37" ht="267.75" customHeight="1" x14ac:dyDescent="0.25">
      <c r="A354" s="13">
        <f t="shared" si="200"/>
        <v>3</v>
      </c>
      <c r="B354" s="675">
        <v>334</v>
      </c>
      <c r="C354" s="128">
        <v>339</v>
      </c>
      <c r="D354" s="350" t="s">
        <v>604</v>
      </c>
      <c r="E354" s="117" t="s">
        <v>309</v>
      </c>
      <c r="F354" s="32">
        <v>4</v>
      </c>
      <c r="G354" s="32" t="s">
        <v>24</v>
      </c>
      <c r="H354" s="33">
        <v>1</v>
      </c>
      <c r="I354" s="33" t="s">
        <v>29</v>
      </c>
      <c r="J354" s="282">
        <f>+(513000*5.35%)+513000</f>
        <v>540445.5</v>
      </c>
      <c r="K354" s="40">
        <f t="shared" si="239"/>
        <v>2161782</v>
      </c>
      <c r="L354" s="282">
        <f>+(523800*5.35%)+523800</f>
        <v>551823.30000000005</v>
      </c>
      <c r="M354" s="35">
        <f t="shared" ref="M354" si="248">+L354*H354*F354</f>
        <v>2207293.2000000002</v>
      </c>
      <c r="N354" s="282">
        <f>+(583200*5.35%)+583200</f>
        <v>614401.19999999995</v>
      </c>
      <c r="O354" s="41">
        <f t="shared" si="245"/>
        <v>2457604.7999999998</v>
      </c>
      <c r="P354" s="68">
        <f t="shared" si="237"/>
        <v>568890</v>
      </c>
      <c r="Q354" s="68">
        <f t="shared" si="246"/>
        <v>2275560</v>
      </c>
      <c r="R354" s="68">
        <f t="shared" si="231"/>
        <v>32514.771794678156</v>
      </c>
      <c r="S354" s="69">
        <f t="shared" si="232"/>
        <v>5.7154760664940775E-2</v>
      </c>
      <c r="T354" s="68">
        <f t="shared" si="233"/>
        <v>551823.30000000005</v>
      </c>
      <c r="U354" s="68">
        <f t="shared" si="247"/>
        <v>2207293.2000000002</v>
      </c>
      <c r="V354" s="69">
        <f t="shared" si="235"/>
        <v>5.8922433675196666E-2</v>
      </c>
      <c r="W354" s="78" t="s">
        <v>310</v>
      </c>
      <c r="X354" s="78" t="s">
        <v>311</v>
      </c>
      <c r="Y354" s="79" t="s">
        <v>42</v>
      </c>
      <c r="Z354" s="28"/>
      <c r="AA354" s="28"/>
      <c r="AB354" s="28"/>
      <c r="AC354" s="28"/>
      <c r="AD354" s="28"/>
      <c r="AE354" s="28"/>
      <c r="AF354" s="28"/>
      <c r="AG354" s="28"/>
      <c r="AH354" s="28"/>
      <c r="AI354" s="28"/>
      <c r="AJ354" s="28"/>
      <c r="AK354" s="28"/>
    </row>
    <row r="355" spans="1:37" ht="94.5" x14ac:dyDescent="0.25">
      <c r="A355" s="13">
        <f t="shared" si="200"/>
        <v>3</v>
      </c>
      <c r="B355" s="675">
        <v>335</v>
      </c>
      <c r="C355" s="128">
        <v>340</v>
      </c>
      <c r="D355" s="442" t="s">
        <v>708</v>
      </c>
      <c r="E355" s="130" t="s">
        <v>709</v>
      </c>
      <c r="F355" s="32">
        <v>1</v>
      </c>
      <c r="G355" s="32" t="s">
        <v>24</v>
      </c>
      <c r="H355" s="33">
        <v>1</v>
      </c>
      <c r="I355" s="33" t="s">
        <v>29</v>
      </c>
      <c r="J355" s="282">
        <f>+(1302521*5.35%)+1302521</f>
        <v>1372205.8735</v>
      </c>
      <c r="K355" s="40">
        <f t="shared" si="239"/>
        <v>1372205.8735</v>
      </c>
      <c r="L355" s="122">
        <f>+(1260504*5.35%)+1260504</f>
        <v>1327940.9639999999</v>
      </c>
      <c r="M355" s="35">
        <f>+L355*H355*F355</f>
        <v>1327940.9639999999</v>
      </c>
      <c r="N355" s="122">
        <f>+(1344538*5.35%)+1344538</f>
        <v>1416470.7830000001</v>
      </c>
      <c r="O355" s="41">
        <f t="shared" si="245"/>
        <v>1416470.7830000001</v>
      </c>
      <c r="P355" s="68">
        <f t="shared" si="237"/>
        <v>1372205.8735</v>
      </c>
      <c r="Q355" s="68">
        <f t="shared" si="246"/>
        <v>1372205.8735</v>
      </c>
      <c r="R355" s="68">
        <f t="shared" si="231"/>
        <v>36142.147261825274</v>
      </c>
      <c r="S355" s="69">
        <f t="shared" si="232"/>
        <v>2.6338720712249797E-2</v>
      </c>
      <c r="T355" s="68">
        <f t="shared" si="233"/>
        <v>1372205.8735</v>
      </c>
      <c r="U355" s="68">
        <f t="shared" si="247"/>
        <v>1372205.8735</v>
      </c>
      <c r="V355" s="69">
        <f t="shared" si="235"/>
        <v>2.6338720712249797E-2</v>
      </c>
      <c r="W355" s="27" t="s">
        <v>180</v>
      </c>
      <c r="X355" s="27" t="s">
        <v>262</v>
      </c>
      <c r="Y355" s="27" t="s">
        <v>263</v>
      </c>
      <c r="Z355" s="28"/>
      <c r="AA355" s="28"/>
      <c r="AB355" s="28"/>
      <c r="AC355" s="28"/>
      <c r="AD355" s="28"/>
      <c r="AE355" s="28"/>
      <c r="AF355" s="28"/>
      <c r="AG355" s="28"/>
      <c r="AH355" s="28"/>
      <c r="AI355" s="28"/>
      <c r="AJ355" s="28"/>
      <c r="AK355" s="28"/>
    </row>
    <row r="356" spans="1:37" ht="63" customHeight="1" x14ac:dyDescent="0.25">
      <c r="A356" s="13">
        <f t="shared" si="200"/>
        <v>3</v>
      </c>
      <c r="B356" s="675">
        <v>336</v>
      </c>
      <c r="C356" s="128">
        <v>341</v>
      </c>
      <c r="D356" s="129" t="s">
        <v>710</v>
      </c>
      <c r="E356" s="130" t="s">
        <v>711</v>
      </c>
      <c r="F356" s="32">
        <v>10</v>
      </c>
      <c r="G356" s="32" t="s">
        <v>24</v>
      </c>
      <c r="H356" s="33">
        <v>1</v>
      </c>
      <c r="I356" s="33" t="s">
        <v>29</v>
      </c>
      <c r="J356" s="34">
        <f>+(309900*100)/119</f>
        <v>260420.16806722688</v>
      </c>
      <c r="K356" s="40">
        <f t="shared" si="239"/>
        <v>2604201.6806722688</v>
      </c>
      <c r="L356" s="35">
        <f>+(229900*100)/119</f>
        <v>193193.27731092437</v>
      </c>
      <c r="M356" s="35">
        <f t="shared" ref="M356:M367" si="249">+L356*H356*F356</f>
        <v>1931932.7731092437</v>
      </c>
      <c r="N356" s="115">
        <f>+(399900*100)/119</f>
        <v>336050.42016806721</v>
      </c>
      <c r="O356" s="41">
        <f t="shared" si="245"/>
        <v>3360504.2016806724</v>
      </c>
      <c r="P356" s="68">
        <f t="shared" si="237"/>
        <v>263221.28851540614</v>
      </c>
      <c r="Q356" s="68">
        <f t="shared" si="246"/>
        <v>2632212.8851540615</v>
      </c>
      <c r="R356" s="68">
        <f t="shared" si="231"/>
        <v>58354.8085602231</v>
      </c>
      <c r="S356" s="69">
        <f t="shared" si="232"/>
        <v>0.22169486704266947</v>
      </c>
      <c r="T356" s="68">
        <f t="shared" si="233"/>
        <v>260420.16806722688</v>
      </c>
      <c r="U356" s="68">
        <f t="shared" si="247"/>
        <v>2604201.6806722688</v>
      </c>
      <c r="V356" s="69">
        <f t="shared" si="235"/>
        <v>0.22407945203828813</v>
      </c>
      <c r="W356" s="131" t="s">
        <v>712</v>
      </c>
      <c r="X356" s="131" t="s">
        <v>713</v>
      </c>
      <c r="Y356" s="27" t="s">
        <v>714</v>
      </c>
      <c r="Z356" s="28"/>
      <c r="AA356" s="28"/>
      <c r="AB356" s="28"/>
      <c r="AC356" s="28"/>
      <c r="AD356" s="28"/>
      <c r="AE356" s="28"/>
      <c r="AF356" s="28"/>
      <c r="AG356" s="28"/>
      <c r="AH356" s="28"/>
      <c r="AI356" s="28"/>
      <c r="AJ356" s="28"/>
      <c r="AK356" s="28"/>
    </row>
    <row r="357" spans="1:37" ht="47.25" customHeight="1" x14ac:dyDescent="0.25">
      <c r="A357" s="13">
        <f t="shared" ref="A357:A420" si="250">+COUNT(J357,L357,N357)</f>
        <v>3</v>
      </c>
      <c r="B357" s="675">
        <v>337</v>
      </c>
      <c r="C357" s="128">
        <v>342</v>
      </c>
      <c r="D357" s="129" t="s">
        <v>715</v>
      </c>
      <c r="E357" s="130" t="s">
        <v>716</v>
      </c>
      <c r="F357" s="32">
        <v>50</v>
      </c>
      <c r="G357" s="32" t="s">
        <v>24</v>
      </c>
      <c r="H357" s="33">
        <v>1</v>
      </c>
      <c r="I357" s="33" t="s">
        <v>29</v>
      </c>
      <c r="J357" s="34">
        <f>+(21008*100)/119</f>
        <v>17653.781512605041</v>
      </c>
      <c r="K357" s="40">
        <f t="shared" si="239"/>
        <v>882689.07563025202</v>
      </c>
      <c r="L357" s="35">
        <f>+(22269*100)/119</f>
        <v>18713.44537815126</v>
      </c>
      <c r="M357" s="35">
        <f t="shared" si="249"/>
        <v>935672.26890756306</v>
      </c>
      <c r="N357" s="35">
        <f>+(21008*100)/119</f>
        <v>17653.781512605041</v>
      </c>
      <c r="O357" s="41">
        <f t="shared" si="245"/>
        <v>882689.07563025202</v>
      </c>
      <c r="P357" s="68">
        <f t="shared" si="237"/>
        <v>18007.002801120445</v>
      </c>
      <c r="Q357" s="68">
        <f t="shared" si="246"/>
        <v>900350.14005602221</v>
      </c>
      <c r="R357" s="68">
        <f t="shared" si="231"/>
        <v>499.53033673738776</v>
      </c>
      <c r="S357" s="69">
        <f t="shared" si="232"/>
        <v>2.7740892932293298E-2</v>
      </c>
      <c r="T357" s="68">
        <f t="shared" si="233"/>
        <v>17653.781512605041</v>
      </c>
      <c r="U357" s="68">
        <f t="shared" si="247"/>
        <v>882689.07563025202</v>
      </c>
      <c r="V357" s="69">
        <f t="shared" si="235"/>
        <v>2.8295939676194377E-2</v>
      </c>
      <c r="W357" s="47" t="s">
        <v>209</v>
      </c>
      <c r="X357" s="47" t="s">
        <v>210</v>
      </c>
      <c r="Y357" s="48" t="s">
        <v>211</v>
      </c>
      <c r="Z357" s="28"/>
      <c r="AA357" s="28"/>
      <c r="AB357" s="28"/>
      <c r="AC357" s="28"/>
      <c r="AD357" s="28"/>
      <c r="AE357" s="28"/>
      <c r="AF357" s="28"/>
      <c r="AG357" s="28"/>
      <c r="AH357" s="28"/>
      <c r="AI357" s="28"/>
      <c r="AJ357" s="28"/>
      <c r="AK357" s="28"/>
    </row>
    <row r="358" spans="1:37" ht="47.25" customHeight="1" x14ac:dyDescent="0.25">
      <c r="A358" s="13">
        <f t="shared" si="250"/>
        <v>3</v>
      </c>
      <c r="B358" s="675">
        <v>338</v>
      </c>
      <c r="C358" s="128">
        <v>343</v>
      </c>
      <c r="D358" s="129" t="s">
        <v>207</v>
      </c>
      <c r="E358" s="31" t="s">
        <v>208</v>
      </c>
      <c r="F358" s="32">
        <v>200</v>
      </c>
      <c r="G358" s="32" t="s">
        <v>24</v>
      </c>
      <c r="H358" s="33">
        <v>1</v>
      </c>
      <c r="I358" s="33"/>
      <c r="J358" s="34">
        <f>+(10756*100)/119</f>
        <v>9038.6554621848736</v>
      </c>
      <c r="K358" s="40">
        <f t="shared" si="239"/>
        <v>1807731.0924369746</v>
      </c>
      <c r="L358" s="35">
        <f>+(12017*100)/119</f>
        <v>10098.319327731093</v>
      </c>
      <c r="M358" s="35">
        <f t="shared" si="249"/>
        <v>2019663.8655462186</v>
      </c>
      <c r="N358" s="35">
        <f>+(10900*100)/119</f>
        <v>9159.6638655462193</v>
      </c>
      <c r="O358" s="41">
        <f t="shared" si="245"/>
        <v>1831932.7731092439</v>
      </c>
      <c r="P358" s="68">
        <f t="shared" si="237"/>
        <v>9432.212885154062</v>
      </c>
      <c r="Q358" s="68">
        <f t="shared" si="246"/>
        <v>1886442.5770308124</v>
      </c>
      <c r="R358" s="68">
        <f t="shared" si="231"/>
        <v>473.59202066264169</v>
      </c>
      <c r="S358" s="69">
        <f t="shared" si="232"/>
        <v>5.0210064852125764E-2</v>
      </c>
      <c r="T358" s="68">
        <f t="shared" si="233"/>
        <v>9159.6638655462193</v>
      </c>
      <c r="U358" s="68">
        <f t="shared" si="247"/>
        <v>1831932.7731092439</v>
      </c>
      <c r="V358" s="69">
        <f t="shared" si="235"/>
        <v>5.1704082989774636E-2</v>
      </c>
      <c r="W358" s="88" t="s">
        <v>209</v>
      </c>
      <c r="X358" s="88" t="s">
        <v>210</v>
      </c>
      <c r="Y358" s="89" t="s">
        <v>211</v>
      </c>
      <c r="Z358" s="28"/>
      <c r="AA358" s="28"/>
      <c r="AB358" s="28"/>
      <c r="AC358" s="28"/>
      <c r="AD358" s="28"/>
      <c r="AE358" s="28"/>
      <c r="AF358" s="28"/>
      <c r="AG358" s="28"/>
      <c r="AH358" s="28"/>
      <c r="AI358" s="28"/>
      <c r="AJ358" s="28"/>
      <c r="AK358" s="28"/>
    </row>
    <row r="359" spans="1:37" ht="141.75" customHeight="1" x14ac:dyDescent="0.25">
      <c r="A359" s="13">
        <f t="shared" si="250"/>
        <v>3</v>
      </c>
      <c r="B359" s="675">
        <v>339</v>
      </c>
      <c r="C359" s="128">
        <v>344</v>
      </c>
      <c r="D359" s="285" t="s">
        <v>717</v>
      </c>
      <c r="E359" s="130" t="s">
        <v>718</v>
      </c>
      <c r="F359" s="32">
        <v>2</v>
      </c>
      <c r="G359" s="32" t="s">
        <v>24</v>
      </c>
      <c r="H359" s="33">
        <v>1</v>
      </c>
      <c r="I359" s="33" t="s">
        <v>29</v>
      </c>
      <c r="J359" s="80">
        <v>155462</v>
      </c>
      <c r="K359" s="34">
        <f t="shared" si="239"/>
        <v>310924</v>
      </c>
      <c r="L359" s="267">
        <v>141008</v>
      </c>
      <c r="M359" s="147">
        <f t="shared" si="249"/>
        <v>282016</v>
      </c>
      <c r="N359" s="413">
        <f>+(140000*5.35%)+140000</f>
        <v>147490</v>
      </c>
      <c r="O359" s="41">
        <f t="shared" si="245"/>
        <v>294980</v>
      </c>
      <c r="P359" s="68">
        <f t="shared" si="237"/>
        <v>147986.66666666666</v>
      </c>
      <c r="Q359" s="68">
        <f t="shared" si="246"/>
        <v>295973.33333333331</v>
      </c>
      <c r="R359" s="68">
        <f t="shared" si="231"/>
        <v>5911.2625460969748</v>
      </c>
      <c r="S359" s="69">
        <f t="shared" si="232"/>
        <v>3.9944561758471317E-2</v>
      </c>
      <c r="T359" s="68">
        <f t="shared" si="233"/>
        <v>147490</v>
      </c>
      <c r="U359" s="68">
        <f t="shared" si="247"/>
        <v>294980</v>
      </c>
      <c r="V359" s="69">
        <f t="shared" si="235"/>
        <v>4.0079073470045253E-2</v>
      </c>
      <c r="W359" s="296" t="s">
        <v>227</v>
      </c>
      <c r="X359" s="443" t="s">
        <v>228</v>
      </c>
      <c r="Y359" s="271" t="s">
        <v>229</v>
      </c>
      <c r="Z359" s="28"/>
      <c r="AA359" s="28"/>
      <c r="AB359" s="28"/>
      <c r="AC359" s="28"/>
      <c r="AD359" s="28"/>
      <c r="AE359" s="28"/>
      <c r="AF359" s="28"/>
      <c r="AG359" s="28"/>
      <c r="AH359" s="28"/>
      <c r="AI359" s="28"/>
      <c r="AJ359" s="28"/>
      <c r="AK359" s="28"/>
    </row>
    <row r="360" spans="1:37" ht="18.75" x14ac:dyDescent="0.25">
      <c r="A360" s="13">
        <f t="shared" si="250"/>
        <v>3</v>
      </c>
      <c r="B360" s="675">
        <v>340</v>
      </c>
      <c r="C360" s="128">
        <v>345</v>
      </c>
      <c r="D360" s="444" t="s">
        <v>719</v>
      </c>
      <c r="E360" s="130" t="s">
        <v>720</v>
      </c>
      <c r="F360" s="32">
        <v>100</v>
      </c>
      <c r="G360" s="32" t="s">
        <v>24</v>
      </c>
      <c r="H360" s="33">
        <v>1</v>
      </c>
      <c r="I360" s="33" t="s">
        <v>29</v>
      </c>
      <c r="J360" s="34">
        <f>+(5833*100)/119</f>
        <v>4901.680672268908</v>
      </c>
      <c r="K360" s="40">
        <f t="shared" si="239"/>
        <v>490168.06722689082</v>
      </c>
      <c r="L360" s="35">
        <f>+(5347*100)/119</f>
        <v>4493.2773109243699</v>
      </c>
      <c r="M360" s="35">
        <f t="shared" si="249"/>
        <v>449327.731092437</v>
      </c>
      <c r="N360" s="35">
        <f>+(5855*100)/119</f>
        <v>4920.1680672268903</v>
      </c>
      <c r="O360" s="41">
        <f t="shared" si="245"/>
        <v>492016.80672268901</v>
      </c>
      <c r="P360" s="68">
        <f t="shared" si="237"/>
        <v>4771.70868347339</v>
      </c>
      <c r="Q360" s="68">
        <f t="shared" si="246"/>
        <v>477170.86834733898</v>
      </c>
      <c r="R360" s="68">
        <f t="shared" si="231"/>
        <v>197.02532469665124</v>
      </c>
      <c r="S360" s="69">
        <f t="shared" si="232"/>
        <v>4.1290308727152614E-2</v>
      </c>
      <c r="T360" s="68">
        <f t="shared" si="233"/>
        <v>4901.680672268908</v>
      </c>
      <c r="U360" s="68">
        <f t="shared" si="247"/>
        <v>490168.06722689082</v>
      </c>
      <c r="V360" s="69">
        <f t="shared" si="235"/>
        <v>4.0195463121723805E-2</v>
      </c>
      <c r="W360" s="100" t="s">
        <v>525</v>
      </c>
      <c r="X360" s="100" t="s">
        <v>524</v>
      </c>
      <c r="Y360" s="27" t="s">
        <v>644</v>
      </c>
      <c r="Z360" s="28"/>
      <c r="AA360" s="28"/>
      <c r="AB360" s="28"/>
      <c r="AC360" s="28"/>
      <c r="AD360" s="28"/>
      <c r="AE360" s="28"/>
      <c r="AF360" s="28"/>
      <c r="AG360" s="28"/>
      <c r="AH360" s="28"/>
      <c r="AI360" s="28"/>
      <c r="AJ360" s="28"/>
      <c r="AK360" s="28"/>
    </row>
    <row r="361" spans="1:37" ht="63" x14ac:dyDescent="0.25">
      <c r="A361" s="13">
        <f t="shared" si="250"/>
        <v>3</v>
      </c>
      <c r="B361" s="675">
        <v>341</v>
      </c>
      <c r="C361" s="128">
        <v>346</v>
      </c>
      <c r="D361" s="285" t="s">
        <v>721</v>
      </c>
      <c r="E361" s="420" t="s">
        <v>722</v>
      </c>
      <c r="F361" s="32">
        <v>100</v>
      </c>
      <c r="G361" s="32" t="s">
        <v>24</v>
      </c>
      <c r="H361" s="33">
        <v>1</v>
      </c>
      <c r="I361" s="33" t="s">
        <v>29</v>
      </c>
      <c r="J361" s="80">
        <v>57000</v>
      </c>
      <c r="K361" s="34">
        <f t="shared" si="239"/>
        <v>5700000</v>
      </c>
      <c r="L361" s="80">
        <v>41500</v>
      </c>
      <c r="M361" s="58">
        <f t="shared" si="249"/>
        <v>4150000</v>
      </c>
      <c r="N361" s="80">
        <v>41500</v>
      </c>
      <c r="O361" s="41">
        <f t="shared" si="245"/>
        <v>4150000</v>
      </c>
      <c r="P361" s="68">
        <f t="shared" si="237"/>
        <v>46666.666666666664</v>
      </c>
      <c r="Q361" s="68">
        <f t="shared" si="246"/>
        <v>4666666.666666666</v>
      </c>
      <c r="R361" s="68">
        <f t="shared" si="231"/>
        <v>7306.7700722609907</v>
      </c>
      <c r="S361" s="69">
        <f t="shared" si="232"/>
        <v>0.15657364440559265</v>
      </c>
      <c r="T361" s="68">
        <f t="shared" si="233"/>
        <v>41500</v>
      </c>
      <c r="U361" s="68">
        <f t="shared" si="247"/>
        <v>4150000</v>
      </c>
      <c r="V361" s="69">
        <f t="shared" si="235"/>
        <v>0.17606674872918049</v>
      </c>
      <c r="W361" s="445" t="s">
        <v>446</v>
      </c>
      <c r="X361" s="445" t="s">
        <v>723</v>
      </c>
      <c r="Y361" s="326" t="s">
        <v>724</v>
      </c>
      <c r="Z361" s="28"/>
      <c r="AA361" s="28"/>
      <c r="AB361" s="28"/>
      <c r="AC361" s="28"/>
      <c r="AD361" s="28"/>
      <c r="AE361" s="28"/>
      <c r="AF361" s="28"/>
      <c r="AG361" s="28"/>
      <c r="AH361" s="28"/>
      <c r="AI361" s="28"/>
      <c r="AJ361" s="28"/>
      <c r="AK361" s="28"/>
    </row>
    <row r="362" spans="1:37" ht="47.25" x14ac:dyDescent="0.25">
      <c r="A362" s="13">
        <f t="shared" si="250"/>
        <v>3</v>
      </c>
      <c r="B362" s="675">
        <v>342</v>
      </c>
      <c r="C362" s="128">
        <v>347</v>
      </c>
      <c r="D362" s="285" t="s">
        <v>725</v>
      </c>
      <c r="E362" s="130" t="s">
        <v>726</v>
      </c>
      <c r="F362" s="32">
        <v>100</v>
      </c>
      <c r="G362" s="32" t="s">
        <v>24</v>
      </c>
      <c r="H362" s="33">
        <v>1</v>
      </c>
      <c r="I362" s="33" t="s">
        <v>29</v>
      </c>
      <c r="J362" s="34">
        <f>+(10162*100)/119</f>
        <v>8539.4957983193272</v>
      </c>
      <c r="K362" s="34">
        <f t="shared" si="239"/>
        <v>853949.57983193267</v>
      </c>
      <c r="L362" s="43">
        <f>+(8700*100)/119</f>
        <v>7310.9243697478987</v>
      </c>
      <c r="M362" s="147">
        <f t="shared" si="249"/>
        <v>731092.43697478983</v>
      </c>
      <c r="N362" s="43">
        <f>+(11281*100)/119</f>
        <v>9479.8319327731097</v>
      </c>
      <c r="O362" s="35">
        <f t="shared" si="245"/>
        <v>947983.19327731093</v>
      </c>
      <c r="P362" s="163">
        <f t="shared" si="237"/>
        <v>8443.4173669467782</v>
      </c>
      <c r="Q362" s="68">
        <f t="shared" si="246"/>
        <v>844341.73669467785</v>
      </c>
      <c r="R362" s="68">
        <f t="shared" si="231"/>
        <v>888.05529218558752</v>
      </c>
      <c r="S362" s="69">
        <f t="shared" si="232"/>
        <v>0.10517723495015585</v>
      </c>
      <c r="T362" s="68">
        <f t="shared" si="233"/>
        <v>8539.4957983193272</v>
      </c>
      <c r="U362" s="68">
        <f t="shared" si="247"/>
        <v>853949.57983193267</v>
      </c>
      <c r="V362" s="69">
        <f t="shared" si="235"/>
        <v>0.10399387893139631</v>
      </c>
      <c r="W362" s="137" t="s">
        <v>634</v>
      </c>
      <c r="X362" s="137" t="s">
        <v>727</v>
      </c>
      <c r="Y362" s="89" t="s">
        <v>639</v>
      </c>
      <c r="Z362" s="28"/>
      <c r="AA362" s="28"/>
      <c r="AB362" s="28"/>
      <c r="AC362" s="28"/>
      <c r="AD362" s="28"/>
      <c r="AE362" s="28"/>
      <c r="AF362" s="28"/>
      <c r="AG362" s="28"/>
      <c r="AH362" s="28"/>
      <c r="AI362" s="28"/>
      <c r="AJ362" s="28"/>
      <c r="AK362" s="28"/>
    </row>
    <row r="363" spans="1:37" ht="31.5" customHeight="1" x14ac:dyDescent="0.25">
      <c r="A363" s="13">
        <f t="shared" si="250"/>
        <v>3</v>
      </c>
      <c r="B363" s="675">
        <v>343</v>
      </c>
      <c r="C363" s="128">
        <v>348</v>
      </c>
      <c r="D363" s="129" t="s">
        <v>728</v>
      </c>
      <c r="E363" s="130" t="s">
        <v>729</v>
      </c>
      <c r="F363" s="32">
        <v>1</v>
      </c>
      <c r="G363" s="32" t="s">
        <v>24</v>
      </c>
      <c r="H363" s="33">
        <v>1</v>
      </c>
      <c r="I363" s="33" t="s">
        <v>29</v>
      </c>
      <c r="J363" s="34">
        <f>+(773500*100)/119</f>
        <v>650000</v>
      </c>
      <c r="K363" s="40">
        <f t="shared" si="239"/>
        <v>650000</v>
      </c>
      <c r="L363" s="35">
        <f>+(1309000*100)/119</f>
        <v>1100000</v>
      </c>
      <c r="M363" s="35">
        <f t="shared" si="249"/>
        <v>1100000</v>
      </c>
      <c r="N363" s="35">
        <v>700000</v>
      </c>
      <c r="O363" s="41">
        <f t="shared" si="245"/>
        <v>700000</v>
      </c>
      <c r="P363" s="68">
        <f t="shared" si="237"/>
        <v>816666.66666666663</v>
      </c>
      <c r="Q363" s="68">
        <f t="shared" si="246"/>
        <v>816666.66666666663</v>
      </c>
      <c r="R363" s="68">
        <f t="shared" si="231"/>
        <v>201384.09955990955</v>
      </c>
      <c r="S363" s="69">
        <f t="shared" si="232"/>
        <v>0.24659277497131782</v>
      </c>
      <c r="T363" s="68">
        <f t="shared" si="233"/>
        <v>700000</v>
      </c>
      <c r="U363" s="68">
        <f t="shared" si="247"/>
        <v>700000</v>
      </c>
      <c r="V363" s="69">
        <f t="shared" si="235"/>
        <v>0.28769157079987079</v>
      </c>
      <c r="W363" s="127" t="s">
        <v>143</v>
      </c>
      <c r="X363" s="37" t="s">
        <v>144</v>
      </c>
      <c r="Y363" s="27" t="s">
        <v>41</v>
      </c>
      <c r="Z363" s="28"/>
      <c r="AA363" s="28"/>
      <c r="AB363" s="28"/>
      <c r="AC363" s="28"/>
      <c r="AD363" s="28"/>
      <c r="AE363" s="28"/>
      <c r="AF363" s="28"/>
      <c r="AG363" s="28"/>
      <c r="AH363" s="28"/>
      <c r="AI363" s="28"/>
      <c r="AJ363" s="28"/>
      <c r="AK363" s="28"/>
    </row>
    <row r="364" spans="1:37" ht="31.5" customHeight="1" x14ac:dyDescent="0.25">
      <c r="A364" s="13">
        <f t="shared" si="250"/>
        <v>3</v>
      </c>
      <c r="B364" s="675">
        <v>344</v>
      </c>
      <c r="C364" s="128">
        <v>349</v>
      </c>
      <c r="D364" s="129" t="s">
        <v>730</v>
      </c>
      <c r="E364" s="130" t="s">
        <v>731</v>
      </c>
      <c r="F364" s="32">
        <v>14</v>
      </c>
      <c r="G364" s="32" t="s">
        <v>24</v>
      </c>
      <c r="H364" s="33">
        <v>1</v>
      </c>
      <c r="I364" s="33" t="s">
        <v>29</v>
      </c>
      <c r="J364" s="34">
        <v>700000</v>
      </c>
      <c r="K364" s="40">
        <f t="shared" si="239"/>
        <v>9800000</v>
      </c>
      <c r="L364" s="35">
        <v>784000</v>
      </c>
      <c r="M364" s="35">
        <f t="shared" si="249"/>
        <v>10976000</v>
      </c>
      <c r="N364" s="35">
        <v>826000</v>
      </c>
      <c r="O364" s="41">
        <f t="shared" si="245"/>
        <v>11564000</v>
      </c>
      <c r="P364" s="68">
        <f t="shared" si="237"/>
        <v>770000</v>
      </c>
      <c r="Q364" s="68">
        <f t="shared" si="246"/>
        <v>10780000</v>
      </c>
      <c r="R364" s="68">
        <f t="shared" si="231"/>
        <v>52383.203414835181</v>
      </c>
      <c r="S364" s="69">
        <f t="shared" si="232"/>
        <v>6.8030134304980755E-2</v>
      </c>
      <c r="T364" s="68">
        <f t="shared" si="233"/>
        <v>784000</v>
      </c>
      <c r="U364" s="68">
        <f t="shared" si="247"/>
        <v>10976000</v>
      </c>
      <c r="V364" s="69">
        <f t="shared" si="235"/>
        <v>6.6815310478106099E-2</v>
      </c>
      <c r="W364" s="433" t="s">
        <v>41</v>
      </c>
      <c r="X364" s="433" t="s">
        <v>42</v>
      </c>
      <c r="Y364" s="79" t="s">
        <v>43</v>
      </c>
      <c r="Z364" s="28"/>
      <c r="AA364" s="28"/>
      <c r="AB364" s="28"/>
      <c r="AC364" s="28"/>
      <c r="AD364" s="28"/>
      <c r="AE364" s="28"/>
      <c r="AF364" s="28"/>
      <c r="AG364" s="28"/>
      <c r="AH364" s="28"/>
      <c r="AI364" s="28"/>
      <c r="AJ364" s="28"/>
      <c r="AK364" s="28"/>
    </row>
    <row r="365" spans="1:37" ht="18.75" customHeight="1" x14ac:dyDescent="0.25">
      <c r="A365" s="13">
        <f t="shared" si="250"/>
        <v>3</v>
      </c>
      <c r="B365" s="675">
        <v>345</v>
      </c>
      <c r="C365" s="128">
        <v>350</v>
      </c>
      <c r="D365" s="129" t="s">
        <v>732</v>
      </c>
      <c r="E365" s="130" t="s">
        <v>250</v>
      </c>
      <c r="F365" s="32">
        <v>100</v>
      </c>
      <c r="G365" s="32" t="s">
        <v>24</v>
      </c>
      <c r="H365" s="33">
        <v>1</v>
      </c>
      <c r="I365" s="33" t="s">
        <v>29</v>
      </c>
      <c r="J365" s="43">
        <f>+(2975*100)/119</f>
        <v>2500</v>
      </c>
      <c r="K365" s="40">
        <f t="shared" si="239"/>
        <v>250000</v>
      </c>
      <c r="L365" s="446">
        <f>+(1700*100)/119</f>
        <v>1428.5714285714287</v>
      </c>
      <c r="M365" s="107">
        <f t="shared" si="249"/>
        <v>142857.14285714287</v>
      </c>
      <c r="N365" s="446">
        <f>+(2142*100)/119</f>
        <v>1800</v>
      </c>
      <c r="O365" s="41">
        <f t="shared" si="245"/>
        <v>180000</v>
      </c>
      <c r="P365" s="68">
        <f t="shared" si="237"/>
        <v>1909.5238095238094</v>
      </c>
      <c r="Q365" s="68">
        <f t="shared" si="246"/>
        <v>190952.38095238095</v>
      </c>
      <c r="R365" s="68">
        <f t="shared" si="231"/>
        <v>444.21195733405148</v>
      </c>
      <c r="S365" s="69">
        <f t="shared" si="232"/>
        <v>0.23262970334202199</v>
      </c>
      <c r="T365" s="68">
        <f t="shared" si="233"/>
        <v>1800</v>
      </c>
      <c r="U365" s="68">
        <f t="shared" si="247"/>
        <v>180000</v>
      </c>
      <c r="V365" s="69">
        <f t="shared" si="235"/>
        <v>0.24678442074113971</v>
      </c>
      <c r="W365" s="47" t="s">
        <v>251</v>
      </c>
      <c r="X365" s="47" t="s">
        <v>252</v>
      </c>
      <c r="Y365" s="48" t="s">
        <v>253</v>
      </c>
      <c r="Z365" s="28"/>
      <c r="AA365" s="28"/>
      <c r="AB365" s="28"/>
      <c r="AC365" s="28"/>
      <c r="AD365" s="28"/>
      <c r="AE365" s="28"/>
      <c r="AF365" s="28"/>
      <c r="AG365" s="28"/>
      <c r="AH365" s="28"/>
      <c r="AI365" s="28"/>
      <c r="AJ365" s="28"/>
      <c r="AK365" s="28"/>
    </row>
    <row r="366" spans="1:37" ht="18.75" customHeight="1" x14ac:dyDescent="0.25">
      <c r="A366" s="13">
        <f t="shared" si="250"/>
        <v>3</v>
      </c>
      <c r="B366" s="675">
        <v>346</v>
      </c>
      <c r="C366" s="128">
        <v>351</v>
      </c>
      <c r="D366" s="285" t="s">
        <v>577</v>
      </c>
      <c r="E366" s="130" t="s">
        <v>733</v>
      </c>
      <c r="F366" s="32">
        <v>30</v>
      </c>
      <c r="G366" s="32" t="s">
        <v>24</v>
      </c>
      <c r="H366" s="33">
        <v>1</v>
      </c>
      <c r="I366" s="33" t="s">
        <v>29</v>
      </c>
      <c r="J366" s="43">
        <v>12000</v>
      </c>
      <c r="K366" s="40">
        <f t="shared" si="239"/>
        <v>360000</v>
      </c>
      <c r="L366" s="35">
        <v>13000</v>
      </c>
      <c r="M366" s="35">
        <f t="shared" si="249"/>
        <v>390000</v>
      </c>
      <c r="N366" s="35">
        <v>14000</v>
      </c>
      <c r="O366" s="41">
        <f t="shared" si="245"/>
        <v>420000</v>
      </c>
      <c r="P366" s="68">
        <f t="shared" si="237"/>
        <v>13000</v>
      </c>
      <c r="Q366" s="68">
        <f t="shared" si="246"/>
        <v>390000</v>
      </c>
      <c r="R366" s="68">
        <f t="shared" si="231"/>
        <v>816.49658092772597</v>
      </c>
      <c r="S366" s="69">
        <f t="shared" si="232"/>
        <v>6.2807429302132761E-2</v>
      </c>
      <c r="T366" s="68">
        <f t="shared" si="233"/>
        <v>13000</v>
      </c>
      <c r="U366" s="68">
        <f t="shared" si="247"/>
        <v>390000</v>
      </c>
      <c r="V366" s="69">
        <f t="shared" si="235"/>
        <v>6.2807429302132761E-2</v>
      </c>
      <c r="W366" s="433" t="s">
        <v>41</v>
      </c>
      <c r="X366" s="433" t="s">
        <v>42</v>
      </c>
      <c r="Y366" s="79" t="s">
        <v>43</v>
      </c>
      <c r="Z366" s="28"/>
      <c r="AA366" s="28"/>
      <c r="AB366" s="28"/>
      <c r="AC366" s="28"/>
      <c r="AD366" s="28"/>
      <c r="AE366" s="28"/>
      <c r="AF366" s="28"/>
      <c r="AG366" s="28"/>
      <c r="AH366" s="28"/>
      <c r="AI366" s="28"/>
      <c r="AJ366" s="28"/>
      <c r="AK366" s="28"/>
    </row>
    <row r="367" spans="1:37" ht="47.25" customHeight="1" x14ac:dyDescent="0.25">
      <c r="A367" s="13">
        <f t="shared" si="250"/>
        <v>3</v>
      </c>
      <c r="B367" s="675">
        <v>347</v>
      </c>
      <c r="C367" s="128">
        <v>352</v>
      </c>
      <c r="D367" s="129" t="s">
        <v>198</v>
      </c>
      <c r="E367" s="130" t="s">
        <v>734</v>
      </c>
      <c r="F367" s="32">
        <v>100</v>
      </c>
      <c r="G367" s="32" t="s">
        <v>24</v>
      </c>
      <c r="H367" s="33">
        <v>1</v>
      </c>
      <c r="I367" s="33" t="s">
        <v>29</v>
      </c>
      <c r="J367" s="43">
        <v>4500</v>
      </c>
      <c r="K367" s="34">
        <f t="shared" si="239"/>
        <v>450000</v>
      </c>
      <c r="L367" s="275">
        <v>5000</v>
      </c>
      <c r="M367" s="274">
        <f t="shared" si="249"/>
        <v>500000</v>
      </c>
      <c r="N367" s="275">
        <v>5000</v>
      </c>
      <c r="O367" s="41">
        <f t="shared" si="245"/>
        <v>500000</v>
      </c>
      <c r="P367" s="68">
        <f t="shared" si="237"/>
        <v>4833.333333333333</v>
      </c>
      <c r="Q367" s="68">
        <f t="shared" si="246"/>
        <v>483333.33333333331</v>
      </c>
      <c r="R367" s="68">
        <f t="shared" si="231"/>
        <v>235.70226039551585</v>
      </c>
      <c r="S367" s="69">
        <f t="shared" si="232"/>
        <v>4.8765984909417075E-2</v>
      </c>
      <c r="T367" s="68">
        <f t="shared" si="233"/>
        <v>5000</v>
      </c>
      <c r="U367" s="68">
        <f t="shared" si="247"/>
        <v>500000</v>
      </c>
      <c r="V367" s="69">
        <f t="shared" si="235"/>
        <v>4.7140452079103168E-2</v>
      </c>
      <c r="W367" s="433" t="s">
        <v>41</v>
      </c>
      <c r="X367" s="433" t="s">
        <v>42</v>
      </c>
      <c r="Y367" s="79" t="s">
        <v>43</v>
      </c>
      <c r="Z367" s="237">
        <f>SUM(Q338:Q367)</f>
        <v>124007067.12814288</v>
      </c>
      <c r="AA367" s="237">
        <f>SUM(U338:U367)</f>
        <v>122226997.7524986</v>
      </c>
      <c r="AB367" s="28"/>
      <c r="AC367" s="28"/>
      <c r="AD367" s="28"/>
      <c r="AE367" s="28"/>
      <c r="AF367" s="28"/>
      <c r="AG367" s="28"/>
      <c r="AH367" s="28"/>
      <c r="AI367" s="28"/>
      <c r="AJ367" s="28"/>
      <c r="AK367" s="28"/>
    </row>
    <row r="368" spans="1:37" s="388" customFormat="1" ht="74.25" customHeight="1" x14ac:dyDescent="0.25">
      <c r="D368" s="415"/>
      <c r="E368" s="447" t="s">
        <v>1081</v>
      </c>
      <c r="F368" s="448"/>
      <c r="G368" s="448"/>
      <c r="H368" s="448"/>
      <c r="I368" s="448"/>
      <c r="J368" s="448"/>
      <c r="K368" s="448"/>
      <c r="L368" s="448"/>
      <c r="M368" s="448"/>
      <c r="N368" s="448"/>
      <c r="O368" s="448"/>
      <c r="P368" s="448"/>
      <c r="Q368" s="448"/>
      <c r="R368" s="448"/>
      <c r="S368" s="448"/>
      <c r="T368" s="448"/>
      <c r="U368" s="448"/>
      <c r="V368" s="448"/>
      <c r="W368" s="448"/>
      <c r="X368" s="449"/>
      <c r="Y368" s="449"/>
      <c r="Z368" s="387"/>
      <c r="AA368" s="387"/>
      <c r="AB368" s="387"/>
      <c r="AC368" s="387"/>
      <c r="AD368" s="387"/>
      <c r="AE368" s="387"/>
      <c r="AF368" s="387"/>
      <c r="AG368" s="387"/>
      <c r="AH368" s="387"/>
      <c r="AI368" s="387"/>
      <c r="AJ368" s="387"/>
      <c r="AK368" s="387"/>
    </row>
    <row r="369" spans="1:37" ht="56.65" customHeight="1" x14ac:dyDescent="0.25">
      <c r="A369" s="13">
        <f t="shared" si="250"/>
        <v>3</v>
      </c>
      <c r="B369" s="675">
        <v>348</v>
      </c>
      <c r="C369" s="128">
        <v>353</v>
      </c>
      <c r="D369" s="450" t="s">
        <v>287</v>
      </c>
      <c r="E369" s="423" t="s">
        <v>250</v>
      </c>
      <c r="F369" s="32">
        <v>300</v>
      </c>
      <c r="G369" s="32" t="s">
        <v>24</v>
      </c>
      <c r="H369" s="33">
        <v>1</v>
      </c>
      <c r="I369" s="33" t="s">
        <v>29</v>
      </c>
      <c r="J369" s="43">
        <f>+(2975*100)/119</f>
        <v>2500</v>
      </c>
      <c r="K369" s="40">
        <f t="shared" si="239"/>
        <v>750000</v>
      </c>
      <c r="L369" s="446">
        <f>+(1700*100)/119</f>
        <v>1428.5714285714287</v>
      </c>
      <c r="M369" s="107">
        <f t="shared" ref="M369:M386" si="251">+L369*H369*F369</f>
        <v>428571.42857142858</v>
      </c>
      <c r="N369" s="446">
        <f>+(2142*100)/119</f>
        <v>1800</v>
      </c>
      <c r="O369" s="41">
        <f t="shared" si="245"/>
        <v>540000</v>
      </c>
      <c r="P369" s="68">
        <f t="shared" ref="P369:P386" si="252">+AVERAGE(J369,L369,N369)</f>
        <v>1909.5238095238094</v>
      </c>
      <c r="Q369" s="68">
        <f t="shared" ref="Q369:Q386" si="253">+P369*H369*F369</f>
        <v>572857.14285714284</v>
      </c>
      <c r="R369" s="68">
        <f t="shared" ref="R369:R390" si="254">+_xlfn.STDEV.P(J369,L369,N369)</f>
        <v>444.21195733405148</v>
      </c>
      <c r="S369" s="69">
        <f t="shared" ref="S369:S390" si="255">+R369/P369</f>
        <v>0.23262970334202199</v>
      </c>
      <c r="T369" s="68">
        <f t="shared" ref="T369:T390" si="256">+MEDIAN(J369,L369,N369)</f>
        <v>1800</v>
      </c>
      <c r="U369" s="68">
        <f t="shared" ref="U369:U390" si="257">+T369*F369*H369</f>
        <v>540000</v>
      </c>
      <c r="V369" s="69">
        <f t="shared" ref="V369:V390" si="258">+R369/T369</f>
        <v>0.24678442074113971</v>
      </c>
      <c r="W369" s="47" t="s">
        <v>251</v>
      </c>
      <c r="X369" s="47" t="s">
        <v>252</v>
      </c>
      <c r="Y369" s="48" t="s">
        <v>253</v>
      </c>
      <c r="Z369" s="28"/>
      <c r="AA369" s="28"/>
      <c r="AB369" s="28"/>
      <c r="AC369" s="28"/>
      <c r="AD369" s="28"/>
      <c r="AE369" s="28"/>
      <c r="AF369" s="28"/>
      <c r="AG369" s="28"/>
      <c r="AH369" s="28"/>
      <c r="AI369" s="28"/>
      <c r="AJ369" s="28"/>
      <c r="AK369" s="28"/>
    </row>
    <row r="370" spans="1:37" s="180" customFormat="1" ht="106.5" customHeight="1" x14ac:dyDescent="0.25">
      <c r="A370" s="13">
        <f t="shared" si="250"/>
        <v>3</v>
      </c>
      <c r="B370" s="675">
        <v>349</v>
      </c>
      <c r="C370" s="451">
        <v>354</v>
      </c>
      <c r="D370" s="452" t="s">
        <v>288</v>
      </c>
      <c r="E370" s="422" t="s">
        <v>735</v>
      </c>
      <c r="F370" s="51">
        <v>10</v>
      </c>
      <c r="G370" s="51" t="s">
        <v>24</v>
      </c>
      <c r="H370" s="52">
        <v>1</v>
      </c>
      <c r="I370" s="52" t="s">
        <v>29</v>
      </c>
      <c r="J370" s="43">
        <v>12000</v>
      </c>
      <c r="K370" s="40">
        <f t="shared" si="239"/>
        <v>120000</v>
      </c>
      <c r="L370" s="196">
        <v>13000</v>
      </c>
      <c r="M370" s="196">
        <f t="shared" si="251"/>
        <v>130000</v>
      </c>
      <c r="N370" s="80">
        <v>14000</v>
      </c>
      <c r="O370" s="35">
        <f t="shared" si="245"/>
        <v>140000</v>
      </c>
      <c r="P370" s="163">
        <f t="shared" si="252"/>
        <v>13000</v>
      </c>
      <c r="Q370" s="163">
        <f t="shared" si="253"/>
        <v>130000</v>
      </c>
      <c r="R370" s="163">
        <f t="shared" si="254"/>
        <v>816.49658092772597</v>
      </c>
      <c r="S370" s="183">
        <f t="shared" si="255"/>
        <v>6.2807429302132761E-2</v>
      </c>
      <c r="T370" s="163">
        <f t="shared" si="256"/>
        <v>13000</v>
      </c>
      <c r="U370" s="163">
        <f t="shared" si="257"/>
        <v>130000</v>
      </c>
      <c r="V370" s="183">
        <f t="shared" si="258"/>
        <v>6.2807429302132761E-2</v>
      </c>
      <c r="W370" s="453" t="s">
        <v>41</v>
      </c>
      <c r="X370" s="453" t="s">
        <v>42</v>
      </c>
      <c r="Y370" s="328" t="s">
        <v>43</v>
      </c>
      <c r="Z370" s="179"/>
      <c r="AA370" s="179"/>
      <c r="AB370" s="179"/>
      <c r="AC370" s="179"/>
      <c r="AD370" s="179"/>
      <c r="AE370" s="179"/>
      <c r="AF370" s="179"/>
      <c r="AG370" s="179"/>
      <c r="AH370" s="179"/>
      <c r="AI370" s="179"/>
      <c r="AJ370" s="179"/>
      <c r="AK370" s="179"/>
    </row>
    <row r="371" spans="1:37" ht="110.65" customHeight="1" x14ac:dyDescent="0.25">
      <c r="A371" s="90">
        <f t="shared" si="250"/>
        <v>3</v>
      </c>
      <c r="B371" s="675">
        <v>350</v>
      </c>
      <c r="C371" s="128">
        <v>355</v>
      </c>
      <c r="D371" s="61" t="s">
        <v>597</v>
      </c>
      <c r="E371" s="152" t="s">
        <v>736</v>
      </c>
      <c r="F371" s="342">
        <v>6</v>
      </c>
      <c r="G371" s="33" t="s">
        <v>24</v>
      </c>
      <c r="H371" s="33">
        <v>1</v>
      </c>
      <c r="I371" s="33" t="s">
        <v>29</v>
      </c>
      <c r="J371" s="454">
        <v>8700000</v>
      </c>
      <c r="K371" s="344">
        <f t="shared" si="239"/>
        <v>52200000</v>
      </c>
      <c r="L371" s="41">
        <v>9200000</v>
      </c>
      <c r="M371" s="41">
        <f t="shared" si="251"/>
        <v>55200000</v>
      </c>
      <c r="N371" s="41">
        <v>7800000</v>
      </c>
      <c r="O371" s="41">
        <f t="shared" si="245"/>
        <v>46800000</v>
      </c>
      <c r="P371" s="68">
        <f t="shared" si="252"/>
        <v>8566666.666666666</v>
      </c>
      <c r="Q371" s="68">
        <f t="shared" si="253"/>
        <v>51400000</v>
      </c>
      <c r="R371" s="68">
        <f t="shared" si="254"/>
        <v>579271.57323275891</v>
      </c>
      <c r="S371" s="290">
        <f t="shared" si="255"/>
        <v>6.7619249793707273E-2</v>
      </c>
      <c r="T371" s="68">
        <f t="shared" si="256"/>
        <v>8700000</v>
      </c>
      <c r="U371" s="68">
        <f t="shared" si="257"/>
        <v>52200000</v>
      </c>
      <c r="V371" s="290">
        <f t="shared" si="258"/>
        <v>6.6582939452041259E-2</v>
      </c>
      <c r="W371" s="340" t="s">
        <v>42</v>
      </c>
      <c r="X371" s="27" t="s">
        <v>43</v>
      </c>
      <c r="Y371" s="27" t="s">
        <v>41</v>
      </c>
      <c r="Z371" s="28"/>
      <c r="AA371" s="28"/>
      <c r="AB371" s="28"/>
      <c r="AC371" s="28"/>
      <c r="AD371" s="28"/>
      <c r="AE371" s="28"/>
      <c r="AF371" s="28"/>
      <c r="AG371" s="28"/>
      <c r="AH371" s="28"/>
      <c r="AI371" s="28"/>
      <c r="AJ371" s="28"/>
      <c r="AK371" s="28"/>
    </row>
    <row r="372" spans="1:37" ht="69" customHeight="1" x14ac:dyDescent="0.25">
      <c r="A372" s="13">
        <f t="shared" si="250"/>
        <v>3</v>
      </c>
      <c r="B372" s="675">
        <v>351</v>
      </c>
      <c r="C372" s="451">
        <v>356</v>
      </c>
      <c r="D372" s="450" t="s">
        <v>737</v>
      </c>
      <c r="E372" s="423" t="s">
        <v>738</v>
      </c>
      <c r="F372" s="32">
        <v>1</v>
      </c>
      <c r="G372" s="32" t="s">
        <v>24</v>
      </c>
      <c r="H372" s="33">
        <v>1</v>
      </c>
      <c r="I372" s="33" t="s">
        <v>29</v>
      </c>
      <c r="J372" s="34">
        <v>4500000</v>
      </c>
      <c r="K372" s="40">
        <f t="shared" si="239"/>
        <v>4500000</v>
      </c>
      <c r="L372" s="107">
        <v>5000000</v>
      </c>
      <c r="M372" s="107">
        <f t="shared" si="251"/>
        <v>5000000</v>
      </c>
      <c r="N372" s="108">
        <v>5300000</v>
      </c>
      <c r="O372" s="35">
        <f t="shared" si="245"/>
        <v>5300000</v>
      </c>
      <c r="P372" s="68">
        <f t="shared" si="252"/>
        <v>4933333.333333333</v>
      </c>
      <c r="Q372" s="68">
        <f t="shared" si="253"/>
        <v>4933333.333333333</v>
      </c>
      <c r="R372" s="68">
        <f t="shared" si="254"/>
        <v>329983.16455372213</v>
      </c>
      <c r="S372" s="69">
        <f t="shared" si="255"/>
        <v>6.6888479301430173E-2</v>
      </c>
      <c r="T372" s="68">
        <f t="shared" si="256"/>
        <v>5000000</v>
      </c>
      <c r="U372" s="68">
        <f t="shared" si="257"/>
        <v>5000000</v>
      </c>
      <c r="V372" s="69">
        <f t="shared" si="258"/>
        <v>6.5996632910744424E-2</v>
      </c>
      <c r="W372" s="319" t="s">
        <v>739</v>
      </c>
      <c r="X372" s="166" t="s">
        <v>42</v>
      </c>
      <c r="Y372" s="455" t="s">
        <v>43</v>
      </c>
      <c r="Z372" s="28"/>
      <c r="AA372" s="28"/>
      <c r="AB372" s="28"/>
      <c r="AC372" s="28"/>
      <c r="AD372" s="28"/>
      <c r="AE372" s="28"/>
      <c r="AF372" s="28"/>
      <c r="AG372" s="28"/>
      <c r="AH372" s="28"/>
      <c r="AI372" s="28"/>
      <c r="AJ372" s="28"/>
      <c r="AK372" s="28"/>
    </row>
    <row r="373" spans="1:37" ht="33" customHeight="1" x14ac:dyDescent="0.25">
      <c r="A373" s="90">
        <f t="shared" si="250"/>
        <v>3</v>
      </c>
      <c r="B373" s="675">
        <v>352</v>
      </c>
      <c r="C373" s="128">
        <v>357</v>
      </c>
      <c r="D373" s="61" t="s">
        <v>495</v>
      </c>
      <c r="E373" s="456" t="s">
        <v>740</v>
      </c>
      <c r="F373" s="33">
        <v>1</v>
      </c>
      <c r="G373" s="33" t="s">
        <v>24</v>
      </c>
      <c r="H373" s="33">
        <v>1</v>
      </c>
      <c r="I373" s="33" t="s">
        <v>29</v>
      </c>
      <c r="J373" s="34">
        <f>+(1904000*100)/119</f>
        <v>1600000</v>
      </c>
      <c r="K373" s="40">
        <f t="shared" si="239"/>
        <v>1600000</v>
      </c>
      <c r="L373" s="35">
        <v>1312000</v>
      </c>
      <c r="M373" s="35">
        <f t="shared" si="251"/>
        <v>1312000</v>
      </c>
      <c r="N373" s="35">
        <v>2200000</v>
      </c>
      <c r="O373" s="41">
        <f t="shared" si="245"/>
        <v>2200000</v>
      </c>
      <c r="P373" s="68">
        <f t="shared" si="252"/>
        <v>1704000</v>
      </c>
      <c r="Q373" s="68">
        <f t="shared" si="253"/>
        <v>1704000</v>
      </c>
      <c r="R373" s="68">
        <f t="shared" si="254"/>
        <v>369908.09669430053</v>
      </c>
      <c r="S373" s="290">
        <f t="shared" si="255"/>
        <v>0.21708221636989469</v>
      </c>
      <c r="T373" s="68">
        <f t="shared" si="256"/>
        <v>1600000</v>
      </c>
      <c r="U373" s="68">
        <f t="shared" si="257"/>
        <v>1600000</v>
      </c>
      <c r="V373" s="290">
        <f t="shared" si="258"/>
        <v>0.23119256043393782</v>
      </c>
      <c r="W373" s="457" t="s">
        <v>143</v>
      </c>
      <c r="X373" s="146" t="s">
        <v>248</v>
      </c>
      <c r="Y373" s="48" t="s">
        <v>41</v>
      </c>
      <c r="Z373" s="28"/>
      <c r="AA373" s="28"/>
      <c r="AB373" s="28"/>
      <c r="AC373" s="28"/>
      <c r="AD373" s="28"/>
      <c r="AE373" s="28"/>
      <c r="AF373" s="28"/>
      <c r="AG373" s="28"/>
      <c r="AH373" s="28"/>
      <c r="AI373" s="28"/>
      <c r="AJ373" s="28"/>
      <c r="AK373" s="28"/>
    </row>
    <row r="374" spans="1:37" ht="150" customHeight="1" x14ac:dyDescent="0.25">
      <c r="A374" s="13">
        <f t="shared" si="250"/>
        <v>3</v>
      </c>
      <c r="B374" s="675">
        <v>353</v>
      </c>
      <c r="C374" s="451">
        <v>358</v>
      </c>
      <c r="D374" s="458" t="s">
        <v>291</v>
      </c>
      <c r="E374" s="150" t="s">
        <v>741</v>
      </c>
      <c r="F374" s="32">
        <v>1</v>
      </c>
      <c r="G374" s="32" t="s">
        <v>24</v>
      </c>
      <c r="H374" s="33">
        <v>1</v>
      </c>
      <c r="I374" s="33" t="s">
        <v>29</v>
      </c>
      <c r="J374" s="43">
        <f>+(6307000*100)/119</f>
        <v>5300000</v>
      </c>
      <c r="K374" s="40">
        <f t="shared" si="239"/>
        <v>5300000</v>
      </c>
      <c r="L374" s="35">
        <f>+(4998000*100)/119</f>
        <v>4200000</v>
      </c>
      <c r="M374" s="35">
        <f t="shared" si="251"/>
        <v>4200000</v>
      </c>
      <c r="N374" s="35">
        <v>5000000</v>
      </c>
      <c r="O374" s="41">
        <f t="shared" si="245"/>
        <v>5000000</v>
      </c>
      <c r="P374" s="68">
        <f t="shared" si="252"/>
        <v>4833333.333333333</v>
      </c>
      <c r="Q374" s="68">
        <f t="shared" si="253"/>
        <v>4833333.333333333</v>
      </c>
      <c r="R374" s="68">
        <f t="shared" si="254"/>
        <v>464279.60923947062</v>
      </c>
      <c r="S374" s="69">
        <f t="shared" si="255"/>
        <v>9.6057850187476687E-2</v>
      </c>
      <c r="T374" s="68">
        <f t="shared" si="256"/>
        <v>5000000</v>
      </c>
      <c r="U374" s="68">
        <f t="shared" si="257"/>
        <v>5000000</v>
      </c>
      <c r="V374" s="69">
        <f t="shared" si="258"/>
        <v>9.2855921847894124E-2</v>
      </c>
      <c r="W374" s="127" t="s">
        <v>143</v>
      </c>
      <c r="X374" s="25" t="s">
        <v>144</v>
      </c>
      <c r="Y374" s="27" t="s">
        <v>248</v>
      </c>
      <c r="Z374" s="28"/>
      <c r="AA374" s="28"/>
      <c r="AB374" s="28"/>
      <c r="AC374" s="28"/>
      <c r="AD374" s="28"/>
      <c r="AE374" s="28"/>
      <c r="AF374" s="28"/>
      <c r="AG374" s="28"/>
      <c r="AH374" s="28"/>
      <c r="AI374" s="28"/>
      <c r="AJ374" s="28"/>
      <c r="AK374" s="28"/>
    </row>
    <row r="375" spans="1:37" ht="147.6" customHeight="1" x14ac:dyDescent="0.25">
      <c r="A375" s="90">
        <f t="shared" si="250"/>
        <v>3</v>
      </c>
      <c r="B375" s="675">
        <v>354</v>
      </c>
      <c r="C375" s="128">
        <v>359</v>
      </c>
      <c r="D375" s="61" t="s">
        <v>542</v>
      </c>
      <c r="E375" s="152" t="s">
        <v>543</v>
      </c>
      <c r="F375" s="33">
        <v>5</v>
      </c>
      <c r="G375" s="33" t="s">
        <v>24</v>
      </c>
      <c r="H375" s="33">
        <v>1</v>
      </c>
      <c r="I375" s="33" t="s">
        <v>29</v>
      </c>
      <c r="J375" s="454">
        <f>+(30400*100)/119</f>
        <v>25546.218487394959</v>
      </c>
      <c r="K375" s="344">
        <f t="shared" si="239"/>
        <v>127731.0924369748</v>
      </c>
      <c r="L375" s="459">
        <f>+(26085*5.35%)+26085</f>
        <v>27480.547500000001</v>
      </c>
      <c r="M375" s="330">
        <v>26085</v>
      </c>
      <c r="N375" s="460">
        <f>+(29042*5.35%)+29042</f>
        <v>30595.746999999999</v>
      </c>
      <c r="O375" s="41">
        <f t="shared" si="245"/>
        <v>152978.73499999999</v>
      </c>
      <c r="P375" s="68">
        <f t="shared" si="252"/>
        <v>27874.170995798322</v>
      </c>
      <c r="Q375" s="68">
        <f t="shared" si="253"/>
        <v>139370.85497899161</v>
      </c>
      <c r="R375" s="68">
        <f t="shared" si="254"/>
        <v>2080.1665225387101</v>
      </c>
      <c r="S375" s="290">
        <f t="shared" si="255"/>
        <v>7.4627027395801973E-2</v>
      </c>
      <c r="T375" s="68">
        <f t="shared" si="256"/>
        <v>27480.547500000001</v>
      </c>
      <c r="U375" s="68">
        <f t="shared" si="257"/>
        <v>137402.73749999999</v>
      </c>
      <c r="V375" s="290">
        <f t="shared" si="258"/>
        <v>7.5695963573459008E-2</v>
      </c>
      <c r="W375" s="461" t="s">
        <v>544</v>
      </c>
      <c r="X375" s="461" t="s">
        <v>316</v>
      </c>
      <c r="Y375" s="461" t="s">
        <v>545</v>
      </c>
      <c r="Z375" s="28"/>
      <c r="AA375" s="28"/>
      <c r="AB375" s="28"/>
      <c r="AC375" s="28"/>
      <c r="AD375" s="28"/>
      <c r="AE375" s="28"/>
      <c r="AF375" s="28"/>
      <c r="AG375" s="28"/>
      <c r="AH375" s="28"/>
      <c r="AI375" s="28"/>
      <c r="AJ375" s="28"/>
      <c r="AK375" s="28"/>
    </row>
    <row r="376" spans="1:37" ht="267.75" customHeight="1" x14ac:dyDescent="0.25">
      <c r="A376" s="13">
        <f t="shared" si="250"/>
        <v>3</v>
      </c>
      <c r="B376" s="675">
        <v>355</v>
      </c>
      <c r="C376" s="451">
        <v>360</v>
      </c>
      <c r="D376" s="350" t="s">
        <v>604</v>
      </c>
      <c r="E376" s="117" t="s">
        <v>742</v>
      </c>
      <c r="F376" s="32">
        <v>4</v>
      </c>
      <c r="G376" s="32" t="s">
        <v>24</v>
      </c>
      <c r="H376" s="118">
        <v>1</v>
      </c>
      <c r="I376" s="118" t="s">
        <v>29</v>
      </c>
      <c r="J376" s="282">
        <f>+(513000*5.35%)+513000</f>
        <v>540445.5</v>
      </c>
      <c r="K376" s="40">
        <f t="shared" si="239"/>
        <v>2161782</v>
      </c>
      <c r="L376" s="282">
        <f>+(523800*5.35%)+523800</f>
        <v>551823.30000000005</v>
      </c>
      <c r="M376" s="35">
        <f t="shared" ref="M376" si="259">+L376*H376*F376</f>
        <v>2207293.2000000002</v>
      </c>
      <c r="N376" s="282">
        <f>+(583200*5.35%)+583200</f>
        <v>614401.19999999995</v>
      </c>
      <c r="O376" s="41">
        <f t="shared" si="245"/>
        <v>2457604.7999999998</v>
      </c>
      <c r="P376" s="68">
        <f t="shared" si="252"/>
        <v>568890</v>
      </c>
      <c r="Q376" s="68">
        <f t="shared" si="253"/>
        <v>2275560</v>
      </c>
      <c r="R376" s="68">
        <f t="shared" si="254"/>
        <v>32514.771794678156</v>
      </c>
      <c r="S376" s="69">
        <f t="shared" si="255"/>
        <v>5.7154760664940775E-2</v>
      </c>
      <c r="T376" s="68">
        <f t="shared" si="256"/>
        <v>551823.30000000005</v>
      </c>
      <c r="U376" s="68">
        <f t="shared" si="257"/>
        <v>2207293.2000000002</v>
      </c>
      <c r="V376" s="69">
        <f t="shared" si="258"/>
        <v>5.8922433675196666E-2</v>
      </c>
      <c r="W376" s="47" t="s">
        <v>310</v>
      </c>
      <c r="X376" s="47" t="s">
        <v>311</v>
      </c>
      <c r="Y376" s="48" t="s">
        <v>42</v>
      </c>
      <c r="Z376" s="28"/>
      <c r="AA376" s="28"/>
      <c r="AB376" s="28"/>
      <c r="AC376" s="28"/>
      <c r="AD376" s="28"/>
      <c r="AE376" s="28"/>
      <c r="AF376" s="28"/>
      <c r="AG376" s="28"/>
      <c r="AH376" s="28"/>
      <c r="AI376" s="28"/>
      <c r="AJ376" s="28"/>
      <c r="AK376" s="28"/>
    </row>
    <row r="377" spans="1:37" ht="173.25" x14ac:dyDescent="0.25">
      <c r="A377" s="13">
        <f t="shared" si="250"/>
        <v>3</v>
      </c>
      <c r="B377" s="675">
        <v>356</v>
      </c>
      <c r="C377" s="128">
        <v>361</v>
      </c>
      <c r="D377" s="462" t="s">
        <v>743</v>
      </c>
      <c r="E377" s="407" t="s">
        <v>744</v>
      </c>
      <c r="F377" s="118">
        <v>2</v>
      </c>
      <c r="G377" s="118" t="s">
        <v>24</v>
      </c>
      <c r="H377" s="118"/>
      <c r="I377" s="118"/>
      <c r="J377" s="228">
        <v>842105</v>
      </c>
      <c r="K377" s="64">
        <f t="shared" ref="K377:K379" si="260">+J377*F377</f>
        <v>1684210</v>
      </c>
      <c r="L377" s="228">
        <v>842105</v>
      </c>
      <c r="M377" s="217">
        <f t="shared" ref="M377:M379" si="261">+L377*F377</f>
        <v>1684210</v>
      </c>
      <c r="N377" s="228">
        <v>842105</v>
      </c>
      <c r="O377" s="35">
        <f t="shared" ref="O377:O379" si="262">+N377*F377</f>
        <v>1684210</v>
      </c>
      <c r="P377" s="68">
        <f t="shared" si="252"/>
        <v>842105</v>
      </c>
      <c r="Q377" s="163">
        <f t="shared" ref="Q377:Q379" si="263">+P377*F377</f>
        <v>1684210</v>
      </c>
      <c r="R377" s="68">
        <f t="shared" si="254"/>
        <v>0</v>
      </c>
      <c r="S377" s="69">
        <f t="shared" si="255"/>
        <v>0</v>
      </c>
      <c r="T377" s="68">
        <f t="shared" si="256"/>
        <v>842105</v>
      </c>
      <c r="U377" s="163">
        <f t="shared" ref="U377:U379" si="264">+T377*F377</f>
        <v>1684210</v>
      </c>
      <c r="V377" s="69">
        <f t="shared" si="258"/>
        <v>0</v>
      </c>
      <c r="W377" s="463" t="s">
        <v>172</v>
      </c>
      <c r="X377" s="463" t="s">
        <v>42</v>
      </c>
      <c r="Y377" s="28" t="s">
        <v>43</v>
      </c>
      <c r="Z377" s="28"/>
      <c r="AA377" s="28"/>
      <c r="AB377" s="28"/>
      <c r="AC377" s="28"/>
      <c r="AD377" s="28"/>
      <c r="AE377" s="28"/>
      <c r="AF377" s="28"/>
      <c r="AG377" s="28"/>
      <c r="AH377" s="28"/>
      <c r="AI377" s="28"/>
      <c r="AJ377" s="28"/>
      <c r="AK377" s="28"/>
    </row>
    <row r="378" spans="1:37" ht="227.65" customHeight="1" x14ac:dyDescent="0.25">
      <c r="A378" s="13">
        <f t="shared" si="250"/>
        <v>3</v>
      </c>
      <c r="B378" s="675">
        <v>357</v>
      </c>
      <c r="C378" s="451">
        <v>362</v>
      </c>
      <c r="D378" s="462" t="s">
        <v>745</v>
      </c>
      <c r="E378" s="407" t="s">
        <v>746</v>
      </c>
      <c r="F378" s="118">
        <v>1</v>
      </c>
      <c r="G378" s="118" t="s">
        <v>24</v>
      </c>
      <c r="H378" s="118"/>
      <c r="I378" s="118"/>
      <c r="J378" s="228">
        <v>1052632</v>
      </c>
      <c r="K378" s="64">
        <f t="shared" si="260"/>
        <v>1052632</v>
      </c>
      <c r="L378" s="228">
        <v>1052632</v>
      </c>
      <c r="M378" s="217">
        <f t="shared" si="261"/>
        <v>1052632</v>
      </c>
      <c r="N378" s="228">
        <v>1052632</v>
      </c>
      <c r="O378" s="35">
        <f t="shared" si="262"/>
        <v>1052632</v>
      </c>
      <c r="P378" s="68">
        <f t="shared" si="252"/>
        <v>1052632</v>
      </c>
      <c r="Q378" s="163">
        <f t="shared" si="263"/>
        <v>1052632</v>
      </c>
      <c r="R378" s="68">
        <f t="shared" si="254"/>
        <v>0</v>
      </c>
      <c r="S378" s="69">
        <f t="shared" si="255"/>
        <v>0</v>
      </c>
      <c r="T378" s="68">
        <f t="shared" si="256"/>
        <v>1052632</v>
      </c>
      <c r="U378" s="163">
        <f t="shared" si="264"/>
        <v>1052632</v>
      </c>
      <c r="V378" s="69">
        <f t="shared" si="258"/>
        <v>0</v>
      </c>
      <c r="W378" s="463" t="s">
        <v>172</v>
      </c>
      <c r="X378" s="463" t="s">
        <v>42</v>
      </c>
      <c r="Y378" s="28" t="s">
        <v>43</v>
      </c>
      <c r="Z378" s="28"/>
      <c r="AA378" s="28"/>
      <c r="AB378" s="28"/>
      <c r="AC378" s="28"/>
      <c r="AD378" s="28"/>
      <c r="AE378" s="28"/>
      <c r="AF378" s="28"/>
      <c r="AG378" s="28"/>
      <c r="AH378" s="28"/>
      <c r="AI378" s="28"/>
      <c r="AJ378" s="28"/>
      <c r="AK378" s="28"/>
    </row>
    <row r="379" spans="1:37" ht="235.15" customHeight="1" x14ac:dyDescent="0.25">
      <c r="A379" s="13">
        <f t="shared" si="250"/>
        <v>3</v>
      </c>
      <c r="B379" s="675">
        <v>358</v>
      </c>
      <c r="C379" s="128">
        <v>363</v>
      </c>
      <c r="D379" s="462" t="s">
        <v>747</v>
      </c>
      <c r="E379" s="407" t="s">
        <v>748</v>
      </c>
      <c r="F379" s="118">
        <v>1</v>
      </c>
      <c r="G379" s="118" t="s">
        <v>24</v>
      </c>
      <c r="H379" s="118"/>
      <c r="I379" s="118"/>
      <c r="J379" s="228">
        <v>1052632</v>
      </c>
      <c r="K379" s="64">
        <f t="shared" si="260"/>
        <v>1052632</v>
      </c>
      <c r="L379" s="228">
        <v>1052632</v>
      </c>
      <c r="M379" s="217">
        <f t="shared" si="261"/>
        <v>1052632</v>
      </c>
      <c r="N379" s="228">
        <v>1052632</v>
      </c>
      <c r="O379" s="35">
        <f t="shared" si="262"/>
        <v>1052632</v>
      </c>
      <c r="P379" s="68">
        <f t="shared" si="252"/>
        <v>1052632</v>
      </c>
      <c r="Q379" s="163">
        <f t="shared" si="263"/>
        <v>1052632</v>
      </c>
      <c r="R379" s="68">
        <f t="shared" si="254"/>
        <v>0</v>
      </c>
      <c r="S379" s="69">
        <f t="shared" si="255"/>
        <v>0</v>
      </c>
      <c r="T379" s="68">
        <f t="shared" si="256"/>
        <v>1052632</v>
      </c>
      <c r="U379" s="163">
        <f t="shared" si="264"/>
        <v>1052632</v>
      </c>
      <c r="V379" s="69">
        <f t="shared" si="258"/>
        <v>0</v>
      </c>
      <c r="W379" s="463" t="s">
        <v>172</v>
      </c>
      <c r="X379" s="463" t="s">
        <v>42</v>
      </c>
      <c r="Y379" s="28" t="s">
        <v>43</v>
      </c>
      <c r="Z379" s="28"/>
      <c r="AA379" s="28"/>
      <c r="AB379" s="28"/>
      <c r="AC379" s="28"/>
      <c r="AD379" s="28"/>
      <c r="AE379" s="28"/>
      <c r="AF379" s="28"/>
      <c r="AG379" s="28"/>
      <c r="AH379" s="28"/>
      <c r="AI379" s="28"/>
      <c r="AJ379" s="28"/>
      <c r="AK379" s="28"/>
    </row>
    <row r="380" spans="1:37" ht="211.5" customHeight="1" x14ac:dyDescent="0.25">
      <c r="A380" s="13">
        <f t="shared" si="250"/>
        <v>3</v>
      </c>
      <c r="B380" s="675">
        <v>359</v>
      </c>
      <c r="C380" s="451">
        <v>364</v>
      </c>
      <c r="D380" s="462" t="s">
        <v>749</v>
      </c>
      <c r="E380" s="407" t="s">
        <v>750</v>
      </c>
      <c r="F380" s="118">
        <v>10</v>
      </c>
      <c r="G380" s="118" t="s">
        <v>24</v>
      </c>
      <c r="H380" s="118">
        <v>1</v>
      </c>
      <c r="I380" s="118" t="s">
        <v>491</v>
      </c>
      <c r="J380" s="228">
        <v>105263</v>
      </c>
      <c r="K380" s="64">
        <f t="shared" ref="K380:K381" si="265">+J380*F380</f>
        <v>1052630</v>
      </c>
      <c r="L380" s="228">
        <v>105263</v>
      </c>
      <c r="M380" s="217">
        <f t="shared" ref="M380:M381" si="266">+L380*F380</f>
        <v>1052630</v>
      </c>
      <c r="N380" s="228">
        <v>105263</v>
      </c>
      <c r="O380" s="41">
        <f t="shared" ref="O380:O381" si="267">+N380*F380</f>
        <v>1052630</v>
      </c>
      <c r="P380" s="68">
        <f t="shared" si="252"/>
        <v>105263</v>
      </c>
      <c r="Q380" s="68">
        <f t="shared" ref="Q380:Q381" si="268">+P380*F380</f>
        <v>1052630</v>
      </c>
      <c r="R380" s="68">
        <f t="shared" si="254"/>
        <v>0</v>
      </c>
      <c r="S380" s="69">
        <f t="shared" si="255"/>
        <v>0</v>
      </c>
      <c r="T380" s="68">
        <f t="shared" si="256"/>
        <v>105263</v>
      </c>
      <c r="U380" s="68">
        <f t="shared" ref="U380:U381" si="269">+T380*F380</f>
        <v>1052630</v>
      </c>
      <c r="V380" s="69">
        <f t="shared" si="258"/>
        <v>0</v>
      </c>
      <c r="W380" s="463" t="s">
        <v>172</v>
      </c>
      <c r="X380" s="463" t="s">
        <v>42</v>
      </c>
      <c r="Y380" s="28" t="s">
        <v>43</v>
      </c>
      <c r="Z380" s="28"/>
      <c r="AA380" s="28"/>
      <c r="AB380" s="28"/>
      <c r="AC380" s="28"/>
      <c r="AD380" s="28"/>
      <c r="AE380" s="28"/>
      <c r="AF380" s="28"/>
      <c r="AG380" s="28"/>
      <c r="AH380" s="28"/>
      <c r="AI380" s="28"/>
      <c r="AJ380" s="28"/>
      <c r="AK380" s="28"/>
    </row>
    <row r="381" spans="1:37" ht="209.65" customHeight="1" x14ac:dyDescent="0.25">
      <c r="A381" s="13">
        <f t="shared" si="250"/>
        <v>3</v>
      </c>
      <c r="B381" s="675">
        <v>360</v>
      </c>
      <c r="C381" s="128">
        <v>365</v>
      </c>
      <c r="D381" s="464" t="s">
        <v>751</v>
      </c>
      <c r="E381" s="407" t="s">
        <v>752</v>
      </c>
      <c r="F381" s="403">
        <v>8</v>
      </c>
      <c r="G381" s="403" t="s">
        <v>24</v>
      </c>
      <c r="H381" s="403">
        <v>1</v>
      </c>
      <c r="I381" s="403" t="s">
        <v>491</v>
      </c>
      <c r="J381" s="228">
        <v>105263</v>
      </c>
      <c r="K381" s="64">
        <f t="shared" si="265"/>
        <v>842104</v>
      </c>
      <c r="L381" s="228">
        <v>105263</v>
      </c>
      <c r="M381" s="217">
        <f t="shared" si="266"/>
        <v>842104</v>
      </c>
      <c r="N381" s="228">
        <v>105263</v>
      </c>
      <c r="O381" s="41">
        <f t="shared" si="267"/>
        <v>842104</v>
      </c>
      <c r="P381" s="68">
        <f t="shared" si="252"/>
        <v>105263</v>
      </c>
      <c r="Q381" s="68">
        <f t="shared" si="268"/>
        <v>842104</v>
      </c>
      <c r="R381" s="68">
        <f t="shared" si="254"/>
        <v>0</v>
      </c>
      <c r="S381" s="69">
        <f t="shared" si="255"/>
        <v>0</v>
      </c>
      <c r="T381" s="68">
        <f t="shared" si="256"/>
        <v>105263</v>
      </c>
      <c r="U381" s="68">
        <f t="shared" si="269"/>
        <v>842104</v>
      </c>
      <c r="V381" s="69">
        <f t="shared" si="258"/>
        <v>0</v>
      </c>
      <c r="W381" s="463" t="s">
        <v>172</v>
      </c>
      <c r="X381" s="463" t="s">
        <v>42</v>
      </c>
      <c r="Y381" s="28" t="s">
        <v>43</v>
      </c>
      <c r="Z381" s="28"/>
      <c r="AA381" s="28"/>
      <c r="AB381" s="28"/>
      <c r="AC381" s="28"/>
      <c r="AD381" s="28"/>
      <c r="AE381" s="28"/>
      <c r="AF381" s="28"/>
      <c r="AG381" s="28"/>
      <c r="AH381" s="28"/>
      <c r="AI381" s="28"/>
      <c r="AJ381" s="28"/>
      <c r="AK381" s="28"/>
    </row>
    <row r="382" spans="1:37" s="180" customFormat="1" ht="305.64999999999998" customHeight="1" x14ac:dyDescent="0.25">
      <c r="A382" s="13">
        <f t="shared" si="250"/>
        <v>1</v>
      </c>
      <c r="B382" s="675">
        <v>361</v>
      </c>
      <c r="C382" s="451">
        <v>366</v>
      </c>
      <c r="D382" s="465" t="s">
        <v>753</v>
      </c>
      <c r="E382" s="466" t="s">
        <v>754</v>
      </c>
      <c r="F382" s="52">
        <v>1</v>
      </c>
      <c r="G382" s="52" t="s">
        <v>24</v>
      </c>
      <c r="H382" s="52">
        <v>1</v>
      </c>
      <c r="I382" s="52" t="s">
        <v>94</v>
      </c>
      <c r="J382" s="34">
        <v>30000000</v>
      </c>
      <c r="K382" s="34">
        <f t="shared" ref="K382" si="270">+J382*F382*H382</f>
        <v>30000000</v>
      </c>
      <c r="L382" s="34"/>
      <c r="M382" s="58"/>
      <c r="N382" s="34"/>
      <c r="O382" s="35">
        <f t="shared" ref="O382" si="271">+N382*H382*F382</f>
        <v>0</v>
      </c>
      <c r="P382" s="163">
        <f t="shared" si="252"/>
        <v>30000000</v>
      </c>
      <c r="Q382" s="163">
        <f t="shared" ref="Q382" si="272">+P382*H382*F382</f>
        <v>30000000</v>
      </c>
      <c r="R382" s="163">
        <f t="shared" si="254"/>
        <v>0</v>
      </c>
      <c r="S382" s="183">
        <f t="shared" si="255"/>
        <v>0</v>
      </c>
      <c r="T382" s="163">
        <f t="shared" si="256"/>
        <v>30000000</v>
      </c>
      <c r="U382" s="163">
        <f t="shared" ref="U382" si="273">+T382*F382*H382</f>
        <v>30000000</v>
      </c>
      <c r="V382" s="183">
        <f t="shared" si="258"/>
        <v>0</v>
      </c>
      <c r="W382" s="300"/>
      <c r="X382" s="300"/>
      <c r="Y382" s="179"/>
      <c r="Z382" s="179"/>
      <c r="AA382" s="179"/>
      <c r="AB382" s="179"/>
      <c r="AC382" s="179"/>
      <c r="AD382" s="179"/>
      <c r="AE382" s="179"/>
      <c r="AF382" s="179"/>
      <c r="AG382" s="179"/>
      <c r="AH382" s="179"/>
      <c r="AI382" s="179"/>
      <c r="AJ382" s="179"/>
      <c r="AK382" s="179"/>
    </row>
    <row r="383" spans="1:37" ht="191.25" customHeight="1" x14ac:dyDescent="0.25">
      <c r="A383" s="13">
        <f t="shared" si="250"/>
        <v>3</v>
      </c>
      <c r="B383" s="675">
        <v>362</v>
      </c>
      <c r="C383" s="128">
        <v>367</v>
      </c>
      <c r="D383" s="467" t="s">
        <v>755</v>
      </c>
      <c r="E383" s="407" t="s">
        <v>756</v>
      </c>
      <c r="F383" s="396">
        <v>6</v>
      </c>
      <c r="G383" s="396" t="s">
        <v>24</v>
      </c>
      <c r="H383" s="396"/>
      <c r="I383" s="396"/>
      <c r="J383" s="228">
        <v>105263</v>
      </c>
      <c r="K383" s="64">
        <f t="shared" ref="K383" si="274">+J383*F383</f>
        <v>631578</v>
      </c>
      <c r="L383" s="228">
        <v>105263</v>
      </c>
      <c r="M383" s="217">
        <f t="shared" ref="M383" si="275">+L383*F383</f>
        <v>631578</v>
      </c>
      <c r="N383" s="228">
        <v>105263</v>
      </c>
      <c r="O383" s="35">
        <f t="shared" ref="O383" si="276">+N383*F383</f>
        <v>631578</v>
      </c>
      <c r="P383" s="68">
        <f t="shared" si="252"/>
        <v>105263</v>
      </c>
      <c r="Q383" s="163">
        <f t="shared" ref="Q383" si="277">+P383*F383</f>
        <v>631578</v>
      </c>
      <c r="R383" s="68">
        <f t="shared" si="254"/>
        <v>0</v>
      </c>
      <c r="S383" s="69">
        <f t="shared" si="255"/>
        <v>0</v>
      </c>
      <c r="T383" s="68">
        <f t="shared" si="256"/>
        <v>105263</v>
      </c>
      <c r="U383" s="163">
        <f t="shared" ref="U383" si="278">+T383*F383</f>
        <v>631578</v>
      </c>
      <c r="V383" s="69">
        <f t="shared" si="258"/>
        <v>0</v>
      </c>
      <c r="W383" s="463" t="s">
        <v>172</v>
      </c>
      <c r="X383" s="463" t="s">
        <v>42</v>
      </c>
      <c r="Y383" s="28" t="s">
        <v>43</v>
      </c>
      <c r="Z383" s="28"/>
      <c r="AA383" s="28"/>
      <c r="AB383" s="28"/>
      <c r="AC383" s="28"/>
      <c r="AD383" s="28"/>
      <c r="AE383" s="28"/>
      <c r="AF383" s="28"/>
      <c r="AG383" s="28"/>
      <c r="AH383" s="28"/>
      <c r="AI383" s="28"/>
      <c r="AJ383" s="28"/>
      <c r="AK383" s="28"/>
    </row>
    <row r="384" spans="1:37" ht="47.25" customHeight="1" x14ac:dyDescent="0.25">
      <c r="A384" s="13">
        <f t="shared" si="250"/>
        <v>3</v>
      </c>
      <c r="B384" s="675">
        <v>363</v>
      </c>
      <c r="C384" s="451">
        <v>368</v>
      </c>
      <c r="D384" s="61" t="s">
        <v>757</v>
      </c>
      <c r="E384" s="152" t="s">
        <v>758</v>
      </c>
      <c r="F384" s="32">
        <v>18</v>
      </c>
      <c r="G384" s="32" t="s">
        <v>24</v>
      </c>
      <c r="H384" s="33">
        <v>1</v>
      </c>
      <c r="I384" s="254" t="s">
        <v>29</v>
      </c>
      <c r="J384" s="35">
        <v>4500</v>
      </c>
      <c r="K384" s="35">
        <f t="shared" si="239"/>
        <v>81000</v>
      </c>
      <c r="L384" s="35">
        <v>5000</v>
      </c>
      <c r="M384" s="35">
        <f t="shared" ref="M384" si="279">+L384*H384*F384</f>
        <v>90000</v>
      </c>
      <c r="N384" s="35">
        <v>5000</v>
      </c>
      <c r="O384" s="41">
        <f t="shared" si="245"/>
        <v>90000</v>
      </c>
      <c r="P384" s="68">
        <f t="shared" si="252"/>
        <v>4833.333333333333</v>
      </c>
      <c r="Q384" s="68">
        <f t="shared" si="253"/>
        <v>87000</v>
      </c>
      <c r="R384" s="68">
        <f t="shared" si="254"/>
        <v>235.70226039551585</v>
      </c>
      <c r="S384" s="69">
        <f t="shared" si="255"/>
        <v>4.8765984909417075E-2</v>
      </c>
      <c r="T384" s="68">
        <f t="shared" si="256"/>
        <v>5000</v>
      </c>
      <c r="U384" s="68">
        <f t="shared" si="257"/>
        <v>90000</v>
      </c>
      <c r="V384" s="69">
        <f t="shared" si="258"/>
        <v>4.7140452079103168E-2</v>
      </c>
      <c r="W384" s="433" t="s">
        <v>41</v>
      </c>
      <c r="X384" s="433" t="s">
        <v>42</v>
      </c>
      <c r="Y384" s="79" t="s">
        <v>43</v>
      </c>
      <c r="Z384" s="28"/>
      <c r="AA384" s="28"/>
      <c r="AB384" s="28"/>
      <c r="AC384" s="28"/>
      <c r="AD384" s="28"/>
      <c r="AE384" s="28"/>
      <c r="AF384" s="28"/>
      <c r="AG384" s="28"/>
      <c r="AH384" s="28"/>
      <c r="AI384" s="28"/>
      <c r="AJ384" s="28"/>
      <c r="AK384" s="28"/>
    </row>
    <row r="385" spans="1:37" ht="47.25" customHeight="1" x14ac:dyDescent="0.25">
      <c r="A385" s="13">
        <f t="shared" si="250"/>
        <v>3</v>
      </c>
      <c r="B385" s="675">
        <v>364</v>
      </c>
      <c r="C385" s="128">
        <v>369</v>
      </c>
      <c r="D385" s="61" t="s">
        <v>200</v>
      </c>
      <c r="E385" s="145" t="s">
        <v>669</v>
      </c>
      <c r="F385" s="32">
        <v>3</v>
      </c>
      <c r="G385" s="32" t="s">
        <v>24</v>
      </c>
      <c r="H385" s="33">
        <v>1</v>
      </c>
      <c r="I385" s="33" t="s">
        <v>29</v>
      </c>
      <c r="J385" s="147">
        <f>+(19500*100)/119</f>
        <v>16386.55462184874</v>
      </c>
      <c r="K385" s="59">
        <f t="shared" si="239"/>
        <v>49159.663865546216</v>
      </c>
      <c r="L385" s="107">
        <f>+(17407*100)/119</f>
        <v>14627.731092436974</v>
      </c>
      <c r="M385" s="107">
        <f t="shared" si="251"/>
        <v>43883.193277310922</v>
      </c>
      <c r="N385" s="108">
        <f>+(16650*100)/119</f>
        <v>13991.596638655463</v>
      </c>
      <c r="O385" s="41">
        <f t="shared" si="245"/>
        <v>41974.789915966387</v>
      </c>
      <c r="P385" s="68">
        <f t="shared" si="252"/>
        <v>15001.960784313726</v>
      </c>
      <c r="Q385" s="68">
        <f t="shared" si="253"/>
        <v>45005.882352941175</v>
      </c>
      <c r="R385" s="68">
        <f t="shared" si="254"/>
        <v>1012.913893025769</v>
      </c>
      <c r="S385" s="69">
        <f t="shared" si="255"/>
        <v>6.7518766885785148E-2</v>
      </c>
      <c r="T385" s="68">
        <f t="shared" si="256"/>
        <v>14627.731092436974</v>
      </c>
      <c r="U385" s="68">
        <f t="shared" si="257"/>
        <v>43883.193277310922</v>
      </c>
      <c r="V385" s="69">
        <f t="shared" si="258"/>
        <v>6.9246138490300743E-2</v>
      </c>
      <c r="W385" s="27" t="s">
        <v>202</v>
      </c>
      <c r="X385" s="27" t="s">
        <v>203</v>
      </c>
      <c r="Y385" s="27" t="s">
        <v>204</v>
      </c>
      <c r="Z385" s="28" t="s">
        <v>205</v>
      </c>
      <c r="AA385" s="28" t="s">
        <v>206</v>
      </c>
      <c r="AB385" s="28"/>
      <c r="AC385" s="28"/>
      <c r="AD385" s="28"/>
      <c r="AE385" s="28"/>
      <c r="AF385" s="28"/>
      <c r="AG385" s="28"/>
      <c r="AH385" s="28"/>
      <c r="AI385" s="28"/>
      <c r="AJ385" s="28"/>
      <c r="AK385" s="28"/>
    </row>
    <row r="386" spans="1:37" ht="213" customHeight="1" x14ac:dyDescent="0.25">
      <c r="A386" s="13">
        <f t="shared" si="250"/>
        <v>3</v>
      </c>
      <c r="B386" s="675">
        <v>365</v>
      </c>
      <c r="C386" s="451">
        <v>370</v>
      </c>
      <c r="D386" s="61" t="s">
        <v>207</v>
      </c>
      <c r="E386" s="31" t="s">
        <v>208</v>
      </c>
      <c r="F386" s="32">
        <v>50</v>
      </c>
      <c r="G386" s="32" t="s">
        <v>24</v>
      </c>
      <c r="H386" s="33">
        <v>1</v>
      </c>
      <c r="I386" s="33" t="s">
        <v>29</v>
      </c>
      <c r="J386" s="43">
        <f>+(10756*100)/119</f>
        <v>9038.6554621848736</v>
      </c>
      <c r="K386" s="40">
        <f t="shared" si="239"/>
        <v>451932.77310924366</v>
      </c>
      <c r="L386" s="35">
        <f>+(12017*100)/119</f>
        <v>10098.319327731093</v>
      </c>
      <c r="M386" s="35">
        <f t="shared" si="251"/>
        <v>504915.96638655465</v>
      </c>
      <c r="N386" s="35">
        <f>+(10900*100)/119</f>
        <v>9159.6638655462193</v>
      </c>
      <c r="O386" s="41">
        <f t="shared" si="245"/>
        <v>457983.19327731099</v>
      </c>
      <c r="P386" s="68">
        <f t="shared" si="252"/>
        <v>9432.212885154062</v>
      </c>
      <c r="Q386" s="68">
        <f t="shared" si="253"/>
        <v>471610.6442577031</v>
      </c>
      <c r="R386" s="68">
        <f t="shared" si="254"/>
        <v>473.59202066264169</v>
      </c>
      <c r="S386" s="69">
        <f t="shared" si="255"/>
        <v>5.0210064852125764E-2</v>
      </c>
      <c r="T386" s="68">
        <f t="shared" si="256"/>
        <v>9159.6638655462193</v>
      </c>
      <c r="U386" s="68">
        <f t="shared" si="257"/>
        <v>457983.19327731099</v>
      </c>
      <c r="V386" s="69">
        <f t="shared" si="258"/>
        <v>5.1704082989774636E-2</v>
      </c>
      <c r="W386" s="47" t="s">
        <v>209</v>
      </c>
      <c r="X386" s="47" t="s">
        <v>210</v>
      </c>
      <c r="Y386" s="48" t="s">
        <v>211</v>
      </c>
      <c r="Z386" s="236">
        <f>SUM(Q369:Q386)</f>
        <v>102907857.19111346</v>
      </c>
      <c r="AA386" s="237">
        <f>SUM(U369:U386)</f>
        <v>103722348.32405463</v>
      </c>
      <c r="AB386" s="28"/>
      <c r="AC386" s="28"/>
      <c r="AD386" s="28"/>
      <c r="AE386" s="28"/>
      <c r="AF386" s="28"/>
      <c r="AG386" s="28"/>
      <c r="AH386" s="28"/>
      <c r="AI386" s="28"/>
      <c r="AJ386" s="28"/>
      <c r="AK386" s="28"/>
    </row>
    <row r="387" spans="1:37" ht="83.25" customHeight="1" x14ac:dyDescent="0.25">
      <c r="A387" s="388"/>
      <c r="B387" s="388"/>
      <c r="C387" s="388"/>
      <c r="D387" s="415"/>
      <c r="E387" s="468" t="s">
        <v>1082</v>
      </c>
      <c r="F387" s="448"/>
      <c r="G387" s="448"/>
      <c r="H387" s="448"/>
      <c r="I387" s="448"/>
      <c r="J387" s="448"/>
      <c r="K387" s="448"/>
      <c r="L387" s="448"/>
      <c r="M387" s="448"/>
      <c r="N387" s="448"/>
      <c r="O387" s="448"/>
      <c r="P387" s="448"/>
      <c r="Q387" s="448"/>
      <c r="R387" s="448"/>
      <c r="S387" s="448"/>
      <c r="T387" s="448"/>
      <c r="U387" s="448"/>
      <c r="V387" s="448"/>
      <c r="W387" s="448"/>
      <c r="X387" s="448"/>
      <c r="Y387" s="469"/>
      <c r="Z387" s="28"/>
      <c r="AA387" s="28"/>
      <c r="AB387" s="28"/>
      <c r="AC387" s="28"/>
      <c r="AD387" s="28"/>
      <c r="AE387" s="28"/>
      <c r="AF387" s="28"/>
      <c r="AG387" s="28"/>
      <c r="AH387" s="28"/>
      <c r="AI387" s="28"/>
      <c r="AJ387" s="28"/>
      <c r="AK387" s="28"/>
    </row>
    <row r="388" spans="1:37" s="180" customFormat="1" ht="129.6" customHeight="1" x14ac:dyDescent="0.25">
      <c r="A388" s="13">
        <f t="shared" si="250"/>
        <v>1</v>
      </c>
      <c r="B388" s="675">
        <v>366</v>
      </c>
      <c r="C388" s="470">
        <v>371</v>
      </c>
      <c r="D388" s="181" t="s">
        <v>759</v>
      </c>
      <c r="E388" s="471" t="s">
        <v>760</v>
      </c>
      <c r="F388" s="51">
        <v>2</v>
      </c>
      <c r="G388" s="51" t="s">
        <v>24</v>
      </c>
      <c r="H388" s="52">
        <v>1</v>
      </c>
      <c r="I388" s="52" t="s">
        <v>29</v>
      </c>
      <c r="J388" s="147">
        <f>1540000/30</f>
        <v>51333.333333333336</v>
      </c>
      <c r="K388" s="58">
        <f t="shared" si="239"/>
        <v>102666.66666666667</v>
      </c>
      <c r="L388" s="58"/>
      <c r="M388" s="58"/>
      <c r="N388" s="59"/>
      <c r="O388" s="35"/>
      <c r="P388" s="472">
        <f t="shared" ref="P388:P390" si="280">+(ROUND(AVERAGE(J388),0))</f>
        <v>51333</v>
      </c>
      <c r="Q388" s="472">
        <f t="shared" ref="Q388:Q390" si="281">+P388*F388*H388</f>
        <v>102666</v>
      </c>
      <c r="R388" s="473">
        <f t="shared" si="254"/>
        <v>0</v>
      </c>
      <c r="S388" s="474">
        <f t="shared" si="255"/>
        <v>0</v>
      </c>
      <c r="T388" s="473">
        <f t="shared" si="256"/>
        <v>51333.333333333336</v>
      </c>
      <c r="U388" s="473">
        <f t="shared" si="257"/>
        <v>102666.66666666667</v>
      </c>
      <c r="V388" s="474">
        <f t="shared" si="258"/>
        <v>0</v>
      </c>
      <c r="W388" s="166" t="s">
        <v>26</v>
      </c>
      <c r="X388" s="81"/>
      <c r="Y388" s="81"/>
      <c r="Z388" s="179"/>
      <c r="AA388" s="179"/>
      <c r="AB388" s="179"/>
      <c r="AC388" s="179"/>
      <c r="AD388" s="179"/>
      <c r="AE388" s="179"/>
      <c r="AF388" s="179"/>
      <c r="AG388" s="179"/>
      <c r="AH388" s="179"/>
      <c r="AI388" s="179"/>
      <c r="AJ388" s="179"/>
      <c r="AK388" s="179"/>
    </row>
    <row r="389" spans="1:37" s="180" customFormat="1" ht="120.6" customHeight="1" x14ac:dyDescent="0.25">
      <c r="A389" s="13">
        <f t="shared" si="250"/>
        <v>1</v>
      </c>
      <c r="B389" s="675">
        <v>367</v>
      </c>
      <c r="C389" s="470">
        <v>372</v>
      </c>
      <c r="D389" s="181" t="s">
        <v>82</v>
      </c>
      <c r="E389" s="475" t="s">
        <v>761</v>
      </c>
      <c r="F389" s="51">
        <v>1</v>
      </c>
      <c r="G389" s="51" t="s">
        <v>24</v>
      </c>
      <c r="H389" s="52">
        <v>15</v>
      </c>
      <c r="I389" s="52" t="s">
        <v>127</v>
      </c>
      <c r="J389" s="43">
        <f>2063001/30</f>
        <v>68766.7</v>
      </c>
      <c r="K389" s="34">
        <f t="shared" si="239"/>
        <v>1031500.5</v>
      </c>
      <c r="L389" s="43"/>
      <c r="M389" s="43"/>
      <c r="N389" s="44"/>
      <c r="O389" s="35"/>
      <c r="P389" s="472">
        <f t="shared" si="280"/>
        <v>68767</v>
      </c>
      <c r="Q389" s="472">
        <f t="shared" si="281"/>
        <v>1031505</v>
      </c>
      <c r="R389" s="473">
        <f t="shared" si="254"/>
        <v>0</v>
      </c>
      <c r="S389" s="474">
        <f t="shared" si="255"/>
        <v>0</v>
      </c>
      <c r="T389" s="473">
        <f t="shared" si="256"/>
        <v>68766.7</v>
      </c>
      <c r="U389" s="473">
        <f t="shared" si="257"/>
        <v>1031500.5</v>
      </c>
      <c r="V389" s="474">
        <f t="shared" si="258"/>
        <v>0</v>
      </c>
      <c r="W389" s="166" t="s">
        <v>26</v>
      </c>
      <c r="X389" s="81"/>
      <c r="Y389" s="81"/>
      <c r="Z389" s="179"/>
      <c r="AA389" s="179"/>
      <c r="AB389" s="179"/>
      <c r="AC389" s="179"/>
      <c r="AD389" s="179"/>
      <c r="AE389" s="179"/>
      <c r="AF389" s="179"/>
      <c r="AG389" s="179"/>
      <c r="AH389" s="179"/>
      <c r="AI389" s="179"/>
      <c r="AJ389" s="179"/>
      <c r="AK389" s="179"/>
    </row>
    <row r="390" spans="1:37" ht="112.15" customHeight="1" x14ac:dyDescent="0.25">
      <c r="A390" s="13">
        <f t="shared" si="250"/>
        <v>1</v>
      </c>
      <c r="B390" s="675">
        <v>368</v>
      </c>
      <c r="C390" s="470">
        <v>373</v>
      </c>
      <c r="D390" s="154" t="s">
        <v>34</v>
      </c>
      <c r="E390" s="155" t="s">
        <v>762</v>
      </c>
      <c r="F390" s="76">
        <v>30</v>
      </c>
      <c r="G390" s="76" t="s">
        <v>24</v>
      </c>
      <c r="H390" s="77">
        <v>1</v>
      </c>
      <c r="I390" s="77" t="s">
        <v>29</v>
      </c>
      <c r="J390" s="43">
        <f>1540000/30</f>
        <v>51333.333333333336</v>
      </c>
      <c r="K390" s="44">
        <f t="shared" si="239"/>
        <v>1540000</v>
      </c>
      <c r="L390" s="196"/>
      <c r="M390" s="196"/>
      <c r="N390" s="196"/>
      <c r="O390" s="41"/>
      <c r="P390" s="60">
        <f t="shared" si="280"/>
        <v>51333</v>
      </c>
      <c r="Q390" s="60">
        <f t="shared" si="281"/>
        <v>1539990</v>
      </c>
      <c r="R390" s="23">
        <f t="shared" si="254"/>
        <v>0</v>
      </c>
      <c r="S390" s="24">
        <f t="shared" si="255"/>
        <v>0</v>
      </c>
      <c r="T390" s="23">
        <f t="shared" si="256"/>
        <v>51333.333333333336</v>
      </c>
      <c r="U390" s="23">
        <f t="shared" si="257"/>
        <v>1540000</v>
      </c>
      <c r="V390" s="24">
        <f t="shared" si="258"/>
        <v>0</v>
      </c>
      <c r="W390" s="88" t="s">
        <v>26</v>
      </c>
      <c r="X390" s="89"/>
      <c r="Y390" s="89"/>
      <c r="Z390" s="28"/>
      <c r="AA390" s="28"/>
      <c r="AB390" s="28"/>
      <c r="AC390" s="28"/>
      <c r="AD390" s="28"/>
      <c r="AE390" s="28"/>
      <c r="AF390" s="28"/>
      <c r="AG390" s="28"/>
      <c r="AH390" s="28"/>
      <c r="AI390" s="28"/>
      <c r="AJ390" s="28"/>
      <c r="AK390" s="28"/>
    </row>
    <row r="391" spans="1:37" s="180" customFormat="1" ht="142.15" customHeight="1" x14ac:dyDescent="0.25">
      <c r="A391" s="13">
        <f t="shared" si="250"/>
        <v>3</v>
      </c>
      <c r="B391" s="675">
        <v>369</v>
      </c>
      <c r="C391" s="470">
        <v>374</v>
      </c>
      <c r="D391" s="212" t="s">
        <v>763</v>
      </c>
      <c r="E391" s="475" t="s">
        <v>764</v>
      </c>
      <c r="F391" s="51">
        <v>3</v>
      </c>
      <c r="G391" s="51" t="s">
        <v>24</v>
      </c>
      <c r="H391" s="52">
        <v>1</v>
      </c>
      <c r="I391" s="476" t="s">
        <v>29</v>
      </c>
      <c r="J391" s="35">
        <v>3000000</v>
      </c>
      <c r="K391" s="35">
        <f t="shared" si="239"/>
        <v>9000000</v>
      </c>
      <c r="L391" s="35">
        <v>3400000</v>
      </c>
      <c r="M391" s="35">
        <f>+L391*H391*F391</f>
        <v>10200000</v>
      </c>
      <c r="N391" s="35">
        <v>3500000</v>
      </c>
      <c r="O391" s="35">
        <f t="shared" si="245"/>
        <v>10500000</v>
      </c>
      <c r="P391" s="163">
        <f>+AVERAGE(J391,L391,N391)</f>
        <v>3300000</v>
      </c>
      <c r="Q391" s="163">
        <f>+P391*H391*F391</f>
        <v>9900000</v>
      </c>
      <c r="R391" s="163">
        <f>+_xlfn.STDEV.P(J391,L391,N391)</f>
        <v>216024.68994692867</v>
      </c>
      <c r="S391" s="183">
        <f>+R391/P391</f>
        <v>6.5462027256645058E-2</v>
      </c>
      <c r="T391" s="163">
        <f>+MEDIAN(J391,L391,N391)</f>
        <v>3400000</v>
      </c>
      <c r="U391" s="163">
        <f>+T391*F391*H391</f>
        <v>10200000</v>
      </c>
      <c r="V391" s="183">
        <f>+R391/T391</f>
        <v>6.3536673513802544E-2</v>
      </c>
      <c r="W391" s="81" t="s">
        <v>41</v>
      </c>
      <c r="X391" s="81" t="s">
        <v>42</v>
      </c>
      <c r="Y391" s="81" t="s">
        <v>43</v>
      </c>
      <c r="Z391" s="179"/>
      <c r="AA391" s="179"/>
      <c r="AB391" s="179"/>
      <c r="AC391" s="179"/>
      <c r="AD391" s="179"/>
      <c r="AE391" s="179"/>
      <c r="AF391" s="179"/>
      <c r="AG391" s="179"/>
      <c r="AH391" s="179"/>
      <c r="AI391" s="179"/>
      <c r="AJ391" s="179"/>
      <c r="AK391" s="179"/>
    </row>
    <row r="392" spans="1:37" ht="83.1" customHeight="1" x14ac:dyDescent="0.25">
      <c r="A392" s="13">
        <f t="shared" si="250"/>
        <v>1</v>
      </c>
      <c r="B392" s="675">
        <v>370</v>
      </c>
      <c r="C392" s="470">
        <v>375</v>
      </c>
      <c r="D392" s="477" t="s">
        <v>765</v>
      </c>
      <c r="E392" s="478" t="s">
        <v>766</v>
      </c>
      <c r="F392" s="56">
        <v>1</v>
      </c>
      <c r="G392" s="56" t="s">
        <v>24</v>
      </c>
      <c r="H392" s="57">
        <v>1</v>
      </c>
      <c r="I392" s="57" t="s">
        <v>29</v>
      </c>
      <c r="J392" s="147">
        <f>3100001/30</f>
        <v>103333.36666666667</v>
      </c>
      <c r="K392" s="59">
        <f t="shared" si="239"/>
        <v>103333.36666666667</v>
      </c>
      <c r="L392" s="107"/>
      <c r="M392" s="107"/>
      <c r="N392" s="107"/>
      <c r="O392" s="41"/>
      <c r="P392" s="22">
        <f t="shared" ref="P392:P393" si="282">+(ROUND(AVERAGE(J392),0))</f>
        <v>103333</v>
      </c>
      <c r="Q392" s="22">
        <f t="shared" ref="Q392:Q393" si="283">+P392*F392*H392</f>
        <v>103333</v>
      </c>
      <c r="R392" s="23">
        <f t="shared" ref="R392:R457" si="284">+_xlfn.STDEV.P(J392,L392,N392)</f>
        <v>0</v>
      </c>
      <c r="S392" s="24">
        <f t="shared" ref="S392:S457" si="285">+R392/P392</f>
        <v>0</v>
      </c>
      <c r="T392" s="23">
        <f t="shared" ref="T392:T457" si="286">+MEDIAN(J392,L392,N392)</f>
        <v>103333.36666666667</v>
      </c>
      <c r="U392" s="23">
        <f t="shared" ref="U392:U421" si="287">+T392*F392*H392</f>
        <v>103333.36666666667</v>
      </c>
      <c r="V392" s="24">
        <f t="shared" ref="V392:V457" si="288">+R392/T392</f>
        <v>0</v>
      </c>
      <c r="W392" s="47" t="s">
        <v>26</v>
      </c>
      <c r="X392" s="48"/>
      <c r="Y392" s="48"/>
      <c r="Z392" s="28"/>
      <c r="AA392" s="28"/>
      <c r="AB392" s="28"/>
      <c r="AC392" s="28"/>
      <c r="AD392" s="28"/>
      <c r="AE392" s="28"/>
      <c r="AF392" s="28"/>
      <c r="AG392" s="28"/>
      <c r="AH392" s="28"/>
      <c r="AI392" s="28"/>
      <c r="AJ392" s="28"/>
      <c r="AK392" s="28"/>
    </row>
    <row r="393" spans="1:37" ht="61.5" customHeight="1" x14ac:dyDescent="0.25">
      <c r="A393" s="13">
        <f t="shared" si="250"/>
        <v>1</v>
      </c>
      <c r="B393" s="675">
        <v>371</v>
      </c>
      <c r="C393" s="470">
        <v>376</v>
      </c>
      <c r="D393" s="61" t="s">
        <v>767</v>
      </c>
      <c r="E393" s="150" t="s">
        <v>768</v>
      </c>
      <c r="F393" s="32">
        <v>1</v>
      </c>
      <c r="G393" s="32" t="s">
        <v>24</v>
      </c>
      <c r="H393" s="33">
        <v>1</v>
      </c>
      <c r="I393" s="33" t="s">
        <v>29</v>
      </c>
      <c r="J393" s="43">
        <f>+(80000*100)/119</f>
        <v>67226.890756302528</v>
      </c>
      <c r="K393" s="40">
        <f t="shared" si="239"/>
        <v>67226.890756302528</v>
      </c>
      <c r="L393" s="35"/>
      <c r="M393" s="35"/>
      <c r="N393" s="35"/>
      <c r="O393" s="41"/>
      <c r="P393" s="22">
        <f t="shared" si="282"/>
        <v>67227</v>
      </c>
      <c r="Q393" s="22">
        <f t="shared" si="283"/>
        <v>67227</v>
      </c>
      <c r="R393" s="23">
        <f t="shared" si="284"/>
        <v>0</v>
      </c>
      <c r="S393" s="24">
        <f t="shared" si="285"/>
        <v>0</v>
      </c>
      <c r="T393" s="23">
        <f t="shared" si="286"/>
        <v>67226.890756302528</v>
      </c>
      <c r="U393" s="23">
        <f t="shared" si="287"/>
        <v>67226.890756302528</v>
      </c>
      <c r="V393" s="24">
        <f t="shared" si="288"/>
        <v>0</v>
      </c>
      <c r="W393" s="89" t="s">
        <v>124</v>
      </c>
      <c r="X393" s="89"/>
      <c r="Y393" s="89"/>
      <c r="Z393" s="28"/>
      <c r="AA393" s="28"/>
      <c r="AB393" s="28"/>
      <c r="AC393" s="28"/>
      <c r="AD393" s="28"/>
      <c r="AE393" s="28"/>
      <c r="AF393" s="28"/>
      <c r="AG393" s="28"/>
      <c r="AH393" s="28"/>
      <c r="AI393" s="28"/>
      <c r="AJ393" s="28"/>
      <c r="AK393" s="28"/>
    </row>
    <row r="394" spans="1:37" ht="85.5" customHeight="1" x14ac:dyDescent="0.25">
      <c r="A394" s="13">
        <f t="shared" si="250"/>
        <v>3</v>
      </c>
      <c r="B394" s="675">
        <v>372</v>
      </c>
      <c r="C394" s="470">
        <v>377</v>
      </c>
      <c r="D394" s="442" t="s">
        <v>708</v>
      </c>
      <c r="E394" s="152" t="s">
        <v>769</v>
      </c>
      <c r="F394" s="32">
        <v>1</v>
      </c>
      <c r="G394" s="32" t="s">
        <v>24</v>
      </c>
      <c r="H394" s="33">
        <v>1</v>
      </c>
      <c r="I394" s="33" t="s">
        <v>29</v>
      </c>
      <c r="J394" s="43">
        <f>+(1550000*100)/119</f>
        <v>1302521.0084033613</v>
      </c>
      <c r="K394" s="40">
        <f t="shared" si="239"/>
        <v>1302521.0084033613</v>
      </c>
      <c r="L394" s="479">
        <f>+(1260504*5.35%)+1260504</f>
        <v>1327940.9639999999</v>
      </c>
      <c r="M394" s="107">
        <f t="shared" ref="M394:M421" si="289">+L394*H394*F394</f>
        <v>1327940.9639999999</v>
      </c>
      <c r="N394" s="479">
        <f>+(1344538*5.35%)+1344538</f>
        <v>1416470.7830000001</v>
      </c>
      <c r="O394" s="41">
        <f t="shared" si="245"/>
        <v>1416470.7830000001</v>
      </c>
      <c r="P394" s="68">
        <f t="shared" ref="P394:P459" si="290">+AVERAGE(J394,L394,N394)</f>
        <v>1348977.5851344538</v>
      </c>
      <c r="Q394" s="68">
        <f t="shared" ref="Q394:Q421" si="291">+P394*H394*F394</f>
        <v>1348977.5851344538</v>
      </c>
      <c r="R394" s="68">
        <f t="shared" si="284"/>
        <v>48840.163487455742</v>
      </c>
      <c r="S394" s="69">
        <f t="shared" si="285"/>
        <v>3.6205318773023049E-2</v>
      </c>
      <c r="T394" s="68">
        <f t="shared" si="286"/>
        <v>1327940.9639999999</v>
      </c>
      <c r="U394" s="68">
        <f t="shared" si="287"/>
        <v>1327940.9639999999</v>
      </c>
      <c r="V394" s="69">
        <f t="shared" si="288"/>
        <v>3.6778866539624082E-2</v>
      </c>
      <c r="W394" s="27" t="s">
        <v>180</v>
      </c>
      <c r="X394" s="27" t="s">
        <v>262</v>
      </c>
      <c r="Y394" s="27" t="s">
        <v>263</v>
      </c>
      <c r="Z394" s="28"/>
      <c r="AA394" s="28"/>
      <c r="AB394" s="28"/>
      <c r="AC394" s="28"/>
      <c r="AD394" s="28"/>
      <c r="AE394" s="28"/>
      <c r="AF394" s="28"/>
      <c r="AG394" s="28"/>
      <c r="AH394" s="28"/>
      <c r="AI394" s="28"/>
      <c r="AJ394" s="28"/>
      <c r="AK394" s="28"/>
    </row>
    <row r="395" spans="1:37" ht="52.5" customHeight="1" x14ac:dyDescent="0.25">
      <c r="A395" s="13">
        <f t="shared" si="250"/>
        <v>3</v>
      </c>
      <c r="B395" s="675">
        <v>373</v>
      </c>
      <c r="C395" s="470">
        <v>378</v>
      </c>
      <c r="D395" s="61" t="s">
        <v>287</v>
      </c>
      <c r="E395" s="152" t="s">
        <v>770</v>
      </c>
      <c r="F395" s="32">
        <v>400</v>
      </c>
      <c r="G395" s="32" t="s">
        <v>24</v>
      </c>
      <c r="H395" s="33">
        <v>1</v>
      </c>
      <c r="I395" s="480" t="s">
        <v>29</v>
      </c>
      <c r="J395" s="43">
        <f>+(2975*100)/119</f>
        <v>2500</v>
      </c>
      <c r="K395" s="40">
        <f t="shared" si="239"/>
        <v>1000000</v>
      </c>
      <c r="L395" s="481">
        <f>+(1700*100)/119</f>
        <v>1428.5714285714287</v>
      </c>
      <c r="M395" s="35">
        <f t="shared" si="289"/>
        <v>571428.57142857148</v>
      </c>
      <c r="N395" s="166">
        <f>+(2142*100)/119</f>
        <v>1800</v>
      </c>
      <c r="O395" s="41">
        <f t="shared" si="245"/>
        <v>720000</v>
      </c>
      <c r="P395" s="68">
        <f t="shared" si="290"/>
        <v>1909.5238095238094</v>
      </c>
      <c r="Q395" s="68">
        <f t="shared" si="291"/>
        <v>763809.52380952379</v>
      </c>
      <c r="R395" s="68">
        <f t="shared" si="284"/>
        <v>444.21195733405148</v>
      </c>
      <c r="S395" s="69">
        <f t="shared" si="285"/>
        <v>0.23262970334202199</v>
      </c>
      <c r="T395" s="68">
        <f t="shared" si="286"/>
        <v>1800</v>
      </c>
      <c r="U395" s="68">
        <f t="shared" si="287"/>
        <v>720000</v>
      </c>
      <c r="V395" s="69">
        <f t="shared" si="288"/>
        <v>0.24678442074113971</v>
      </c>
      <c r="W395" s="47" t="s">
        <v>252</v>
      </c>
      <c r="X395" s="48" t="s">
        <v>253</v>
      </c>
      <c r="Y395" s="48" t="s">
        <v>251</v>
      </c>
      <c r="Z395" s="28"/>
      <c r="AA395" s="28"/>
      <c r="AB395" s="28"/>
      <c r="AC395" s="28"/>
      <c r="AD395" s="28"/>
      <c r="AE395" s="28"/>
      <c r="AF395" s="28"/>
      <c r="AG395" s="28"/>
      <c r="AH395" s="28"/>
      <c r="AI395" s="28"/>
      <c r="AJ395" s="28"/>
      <c r="AK395" s="28"/>
    </row>
    <row r="396" spans="1:37" ht="48.6" customHeight="1" x14ac:dyDescent="0.25">
      <c r="A396" s="13">
        <f t="shared" si="250"/>
        <v>3</v>
      </c>
      <c r="B396" s="675">
        <v>374</v>
      </c>
      <c r="C396" s="470">
        <v>379</v>
      </c>
      <c r="D396" s="61" t="s">
        <v>288</v>
      </c>
      <c r="E396" s="152" t="s">
        <v>499</v>
      </c>
      <c r="F396" s="32">
        <v>20</v>
      </c>
      <c r="G396" s="32" t="s">
        <v>24</v>
      </c>
      <c r="H396" s="33">
        <v>1</v>
      </c>
      <c r="I396" s="33" t="s">
        <v>29</v>
      </c>
      <c r="J396" s="43">
        <f>+(22900*100)/119</f>
        <v>19243.697478991595</v>
      </c>
      <c r="K396" s="40">
        <f t="shared" si="239"/>
        <v>384873.94957983191</v>
      </c>
      <c r="L396" s="35">
        <f>+(15000*100)/119</f>
        <v>12605.042016806723</v>
      </c>
      <c r="M396" s="35">
        <f t="shared" si="289"/>
        <v>252100.84033613445</v>
      </c>
      <c r="N396" s="80">
        <v>12605</v>
      </c>
      <c r="O396" s="41">
        <f t="shared" si="245"/>
        <v>252100</v>
      </c>
      <c r="P396" s="68">
        <f t="shared" si="290"/>
        <v>14817.913165266107</v>
      </c>
      <c r="Q396" s="68">
        <f t="shared" si="291"/>
        <v>296358.26330532215</v>
      </c>
      <c r="R396" s="68">
        <f t="shared" si="284"/>
        <v>3129.5021003513461</v>
      </c>
      <c r="S396" s="69">
        <f t="shared" si="285"/>
        <v>0.21119722227061283</v>
      </c>
      <c r="T396" s="68">
        <f t="shared" si="286"/>
        <v>12605.042016806723</v>
      </c>
      <c r="U396" s="68">
        <f t="shared" si="287"/>
        <v>252100.84033613445</v>
      </c>
      <c r="V396" s="69">
        <f t="shared" si="288"/>
        <v>0.24827383329454011</v>
      </c>
      <c r="W396" s="27" t="s">
        <v>253</v>
      </c>
      <c r="X396" s="27" t="s">
        <v>771</v>
      </c>
      <c r="Y396" s="271" t="s">
        <v>138</v>
      </c>
      <c r="Z396" s="28"/>
      <c r="AA396" s="28"/>
      <c r="AB396" s="28"/>
      <c r="AC396" s="28"/>
      <c r="AD396" s="28"/>
      <c r="AE396" s="28"/>
      <c r="AF396" s="28"/>
      <c r="AG396" s="28"/>
      <c r="AH396" s="28"/>
      <c r="AI396" s="28"/>
      <c r="AJ396" s="28"/>
      <c r="AK396" s="28"/>
    </row>
    <row r="397" spans="1:37" ht="18.75" customHeight="1" x14ac:dyDescent="0.25">
      <c r="A397" s="13">
        <f t="shared" si="250"/>
        <v>3</v>
      </c>
      <c r="B397" s="675">
        <v>375</v>
      </c>
      <c r="C397" s="470">
        <v>380</v>
      </c>
      <c r="D397" s="61" t="s">
        <v>500</v>
      </c>
      <c r="E397" s="152" t="s">
        <v>772</v>
      </c>
      <c r="F397" s="32">
        <v>1</v>
      </c>
      <c r="G397" s="32" t="s">
        <v>24</v>
      </c>
      <c r="H397" s="33">
        <v>1</v>
      </c>
      <c r="I397" s="33" t="s">
        <v>29</v>
      </c>
      <c r="J397" s="43">
        <f>+(32000*100)/119</f>
        <v>26890.756302521007</v>
      </c>
      <c r="K397" s="40">
        <f t="shared" si="239"/>
        <v>26890.756302521007</v>
      </c>
      <c r="L397" s="482">
        <f>+(37815*5.35%)+37815</f>
        <v>39838.102500000001</v>
      </c>
      <c r="M397" s="196">
        <f t="shared" si="289"/>
        <v>39838.102500000001</v>
      </c>
      <c r="N397" s="482">
        <f>+(25882*5.35%)+25882</f>
        <v>27266.686999999998</v>
      </c>
      <c r="O397" s="41">
        <f t="shared" si="245"/>
        <v>27266.686999999998</v>
      </c>
      <c r="P397" s="68">
        <f t="shared" si="290"/>
        <v>31331.848600840331</v>
      </c>
      <c r="Q397" s="68">
        <f t="shared" si="291"/>
        <v>31331.848600840331</v>
      </c>
      <c r="R397" s="68">
        <f t="shared" si="284"/>
        <v>6016.7874883558843</v>
      </c>
      <c r="S397" s="69">
        <f t="shared" si="285"/>
        <v>0.1920342321644728</v>
      </c>
      <c r="T397" s="68">
        <f t="shared" si="286"/>
        <v>27266.686999999998</v>
      </c>
      <c r="U397" s="68">
        <f t="shared" si="287"/>
        <v>27266.686999999998</v>
      </c>
      <c r="V397" s="69">
        <f t="shared" si="288"/>
        <v>0.22066441325841621</v>
      </c>
      <c r="W397" s="89" t="s">
        <v>138</v>
      </c>
      <c r="X397" s="89" t="s">
        <v>501</v>
      </c>
      <c r="Y397" s="89" t="s">
        <v>155</v>
      </c>
      <c r="Z397" s="28"/>
      <c r="AA397" s="28"/>
      <c r="AB397" s="28"/>
      <c r="AC397" s="28"/>
      <c r="AD397" s="28"/>
      <c r="AE397" s="28"/>
      <c r="AF397" s="28"/>
      <c r="AG397" s="28"/>
      <c r="AH397" s="28"/>
      <c r="AI397" s="28"/>
      <c r="AJ397" s="28"/>
      <c r="AK397" s="28"/>
    </row>
    <row r="398" spans="1:37" ht="123" customHeight="1" x14ac:dyDescent="0.25">
      <c r="A398" s="13">
        <f t="shared" si="250"/>
        <v>3</v>
      </c>
      <c r="B398" s="675">
        <v>376</v>
      </c>
      <c r="C398" s="470">
        <v>381</v>
      </c>
      <c r="D398" s="61" t="s">
        <v>291</v>
      </c>
      <c r="E398" s="152" t="s">
        <v>773</v>
      </c>
      <c r="F398" s="32">
        <v>1</v>
      </c>
      <c r="G398" s="32" t="s">
        <v>24</v>
      </c>
      <c r="H398" s="33">
        <v>1</v>
      </c>
      <c r="I398" s="33" t="s">
        <v>29</v>
      </c>
      <c r="J398" s="43">
        <f>+(6307000*100)/119</f>
        <v>5300000</v>
      </c>
      <c r="K398" s="40">
        <f t="shared" si="239"/>
        <v>5300000</v>
      </c>
      <c r="L398" s="35">
        <f>+(4998000*100)/119</f>
        <v>4200000</v>
      </c>
      <c r="M398" s="35">
        <f t="shared" si="289"/>
        <v>4200000</v>
      </c>
      <c r="N398" s="35">
        <v>5000000</v>
      </c>
      <c r="O398" s="41">
        <f t="shared" si="245"/>
        <v>5000000</v>
      </c>
      <c r="P398" s="68">
        <f t="shared" si="290"/>
        <v>4833333.333333333</v>
      </c>
      <c r="Q398" s="68">
        <f t="shared" si="291"/>
        <v>4833333.333333333</v>
      </c>
      <c r="R398" s="68">
        <f t="shared" si="284"/>
        <v>464279.60923947062</v>
      </c>
      <c r="S398" s="69">
        <f t="shared" si="285"/>
        <v>9.6057850187476687E-2</v>
      </c>
      <c r="T398" s="68">
        <f t="shared" si="286"/>
        <v>5000000</v>
      </c>
      <c r="U398" s="68">
        <f t="shared" si="287"/>
        <v>5000000</v>
      </c>
      <c r="V398" s="69">
        <f t="shared" si="288"/>
        <v>9.2855921847894124E-2</v>
      </c>
      <c r="W398" s="127" t="s">
        <v>143</v>
      </c>
      <c r="X398" s="25" t="s">
        <v>144</v>
      </c>
      <c r="Y398" s="27" t="s">
        <v>248</v>
      </c>
      <c r="Z398" s="28"/>
      <c r="AA398" s="28"/>
      <c r="AB398" s="28"/>
      <c r="AC398" s="28"/>
      <c r="AD398" s="28"/>
      <c r="AE398" s="28"/>
      <c r="AF398" s="28"/>
      <c r="AG398" s="28"/>
      <c r="AH398" s="28"/>
      <c r="AI398" s="28"/>
      <c r="AJ398" s="28"/>
      <c r="AK398" s="28"/>
    </row>
    <row r="399" spans="1:37" ht="67.5" customHeight="1" x14ac:dyDescent="0.25">
      <c r="A399" s="13">
        <f t="shared" si="250"/>
        <v>3</v>
      </c>
      <c r="B399" s="675">
        <v>377</v>
      </c>
      <c r="C399" s="470">
        <v>382</v>
      </c>
      <c r="D399" s="61" t="s">
        <v>495</v>
      </c>
      <c r="E399" s="152" t="s">
        <v>774</v>
      </c>
      <c r="F399" s="32">
        <v>1</v>
      </c>
      <c r="G399" s="32" t="s">
        <v>24</v>
      </c>
      <c r="H399" s="33">
        <v>1</v>
      </c>
      <c r="I399" s="33" t="s">
        <v>29</v>
      </c>
      <c r="J399" s="282">
        <f>+(3500000*5.35%)+3500000</f>
        <v>3687250</v>
      </c>
      <c r="K399" s="40">
        <f>+J399*H399*F399</f>
        <v>3687250</v>
      </c>
      <c r="L399" s="483">
        <f>+(4000000*5.35%)+4000000</f>
        <v>4214000</v>
      </c>
      <c r="M399" s="432">
        <f t="shared" si="289"/>
        <v>4214000</v>
      </c>
      <c r="N399" s="483">
        <f>+(3795000*5.35%)+3795000</f>
        <v>3998032.5</v>
      </c>
      <c r="O399" s="41">
        <f t="shared" si="245"/>
        <v>3998032.5</v>
      </c>
      <c r="P399" s="68">
        <f t="shared" si="290"/>
        <v>3966427.5</v>
      </c>
      <c r="Q399" s="68">
        <f t="shared" si="291"/>
        <v>3966427.5</v>
      </c>
      <c r="R399" s="68">
        <f t="shared" si="284"/>
        <v>216202.91031613489</v>
      </c>
      <c r="S399" s="69">
        <f t="shared" si="285"/>
        <v>5.4508221898959423E-2</v>
      </c>
      <c r="T399" s="68">
        <f t="shared" si="286"/>
        <v>3998032.5</v>
      </c>
      <c r="U399" s="68">
        <f t="shared" si="287"/>
        <v>3998032.5</v>
      </c>
      <c r="V399" s="69">
        <f t="shared" si="288"/>
        <v>5.4077326864185045E-2</v>
      </c>
      <c r="W399" s="78" t="s">
        <v>138</v>
      </c>
      <c r="X399" s="78" t="s">
        <v>354</v>
      </c>
      <c r="Y399" s="79" t="s">
        <v>155</v>
      </c>
      <c r="Z399" s="28"/>
      <c r="AA399" s="28"/>
      <c r="AB399" s="28"/>
      <c r="AC399" s="28"/>
      <c r="AD399" s="28"/>
      <c r="AE399" s="28"/>
      <c r="AF399" s="28"/>
      <c r="AG399" s="28"/>
      <c r="AH399" s="28"/>
      <c r="AI399" s="28"/>
      <c r="AJ399" s="28"/>
      <c r="AK399" s="28"/>
    </row>
    <row r="400" spans="1:37" ht="88.15" customHeight="1" x14ac:dyDescent="0.25">
      <c r="A400" s="90">
        <f t="shared" si="250"/>
        <v>3</v>
      </c>
      <c r="B400" s="675">
        <v>378</v>
      </c>
      <c r="C400" s="470">
        <v>383</v>
      </c>
      <c r="D400" s="61" t="s">
        <v>775</v>
      </c>
      <c r="E400" s="152" t="s">
        <v>776</v>
      </c>
      <c r="F400" s="33">
        <v>8</v>
      </c>
      <c r="G400" s="33" t="s">
        <v>24</v>
      </c>
      <c r="H400" s="33">
        <v>1</v>
      </c>
      <c r="I400" s="52" t="s">
        <v>29</v>
      </c>
      <c r="J400" s="43">
        <f>+(428400*100)/119</f>
        <v>360000</v>
      </c>
      <c r="K400" s="40">
        <f t="shared" si="239"/>
        <v>2880000</v>
      </c>
      <c r="L400" s="35">
        <v>356000</v>
      </c>
      <c r="M400" s="35">
        <f t="shared" si="289"/>
        <v>2848000</v>
      </c>
      <c r="N400" s="35">
        <v>450000</v>
      </c>
      <c r="O400" s="41">
        <f t="shared" si="245"/>
        <v>3600000</v>
      </c>
      <c r="P400" s="68">
        <f t="shared" si="290"/>
        <v>388666.66666666669</v>
      </c>
      <c r="Q400" s="68">
        <f t="shared" si="291"/>
        <v>3109333.3333333335</v>
      </c>
      <c r="R400" s="68">
        <f t="shared" si="284"/>
        <v>43399.948796692785</v>
      </c>
      <c r="S400" s="290">
        <f t="shared" si="285"/>
        <v>0.11166367614929533</v>
      </c>
      <c r="T400" s="68">
        <f t="shared" si="286"/>
        <v>360000</v>
      </c>
      <c r="U400" s="68">
        <f t="shared" si="287"/>
        <v>2880000</v>
      </c>
      <c r="V400" s="290">
        <f t="shared" si="288"/>
        <v>0.12055541332414663</v>
      </c>
      <c r="W400" s="340" t="s">
        <v>143</v>
      </c>
      <c r="X400" s="27" t="s">
        <v>248</v>
      </c>
      <c r="Y400" s="27" t="s">
        <v>41</v>
      </c>
      <c r="Z400" s="28"/>
      <c r="AA400" s="28"/>
      <c r="AB400" s="28"/>
      <c r="AC400" s="28"/>
      <c r="AD400" s="28"/>
      <c r="AE400" s="28"/>
      <c r="AF400" s="28"/>
      <c r="AG400" s="28"/>
      <c r="AH400" s="28"/>
      <c r="AI400" s="28"/>
      <c r="AJ400" s="28"/>
      <c r="AK400" s="28"/>
    </row>
    <row r="401" spans="1:37" ht="116.1" customHeight="1" x14ac:dyDescent="0.25">
      <c r="A401" s="13">
        <f t="shared" si="250"/>
        <v>3</v>
      </c>
      <c r="B401" s="675">
        <v>379</v>
      </c>
      <c r="C401" s="470">
        <v>384</v>
      </c>
      <c r="D401" s="61" t="s">
        <v>497</v>
      </c>
      <c r="E401" s="152" t="s">
        <v>777</v>
      </c>
      <c r="F401" s="32">
        <v>6</v>
      </c>
      <c r="G401" s="32" t="s">
        <v>24</v>
      </c>
      <c r="H401" s="33">
        <v>1</v>
      </c>
      <c r="I401" s="52" t="s">
        <v>29</v>
      </c>
      <c r="J401" s="43">
        <v>700000</v>
      </c>
      <c r="K401" s="40">
        <f t="shared" si="239"/>
        <v>4200000</v>
      </c>
      <c r="L401" s="35">
        <v>784000</v>
      </c>
      <c r="M401" s="35">
        <f t="shared" si="289"/>
        <v>4704000</v>
      </c>
      <c r="N401" s="35">
        <v>826000</v>
      </c>
      <c r="O401" s="41">
        <f t="shared" si="245"/>
        <v>4956000</v>
      </c>
      <c r="P401" s="68">
        <f t="shared" si="290"/>
        <v>770000</v>
      </c>
      <c r="Q401" s="68">
        <f t="shared" si="291"/>
        <v>4620000</v>
      </c>
      <c r="R401" s="68">
        <f t="shared" si="284"/>
        <v>52383.203414835181</v>
      </c>
      <c r="S401" s="69">
        <f t="shared" si="285"/>
        <v>6.8030134304980755E-2</v>
      </c>
      <c r="T401" s="68">
        <f t="shared" si="286"/>
        <v>784000</v>
      </c>
      <c r="U401" s="68">
        <f t="shared" si="287"/>
        <v>4704000</v>
      </c>
      <c r="V401" s="69">
        <f t="shared" si="288"/>
        <v>6.6815310478106099E-2</v>
      </c>
      <c r="W401" s="127" t="s">
        <v>41</v>
      </c>
      <c r="X401" s="25" t="s">
        <v>42</v>
      </c>
      <c r="Y401" s="27" t="s">
        <v>43</v>
      </c>
      <c r="Z401" s="28"/>
      <c r="AA401" s="28"/>
      <c r="AB401" s="28"/>
      <c r="AC401" s="28"/>
      <c r="AD401" s="28"/>
      <c r="AE401" s="28"/>
      <c r="AF401" s="28"/>
      <c r="AG401" s="28"/>
      <c r="AH401" s="28"/>
      <c r="AI401" s="28"/>
      <c r="AJ401" s="28"/>
      <c r="AK401" s="28"/>
    </row>
    <row r="402" spans="1:37" ht="121.15" customHeight="1" x14ac:dyDescent="0.25">
      <c r="A402" s="13">
        <f t="shared" si="250"/>
        <v>3</v>
      </c>
      <c r="B402" s="675">
        <v>380</v>
      </c>
      <c r="C402" s="470">
        <v>385</v>
      </c>
      <c r="D402" s="181" t="s">
        <v>778</v>
      </c>
      <c r="E402" s="475" t="s">
        <v>779</v>
      </c>
      <c r="F402" s="51">
        <v>1</v>
      </c>
      <c r="G402" s="51" t="s">
        <v>24</v>
      </c>
      <c r="H402" s="52">
        <v>1</v>
      </c>
      <c r="I402" s="52" t="s">
        <v>29</v>
      </c>
      <c r="J402" s="80">
        <v>1983787</v>
      </c>
      <c r="K402" s="40">
        <f t="shared" ref="K402:K437" si="292">+J402*F402*H402</f>
        <v>1983787</v>
      </c>
      <c r="L402" s="80">
        <v>2042811</v>
      </c>
      <c r="M402" s="107">
        <f t="shared" si="289"/>
        <v>2042811</v>
      </c>
      <c r="N402" s="80">
        <v>2450192</v>
      </c>
      <c r="O402" s="41">
        <f t="shared" si="245"/>
        <v>2450192</v>
      </c>
      <c r="P402" s="68">
        <f t="shared" si="290"/>
        <v>2158930</v>
      </c>
      <c r="Q402" s="68">
        <f t="shared" si="291"/>
        <v>2158930</v>
      </c>
      <c r="R402" s="68">
        <f t="shared" si="284"/>
        <v>207358.18065527742</v>
      </c>
      <c r="S402" s="69">
        <f t="shared" si="285"/>
        <v>9.6046736418168924E-2</v>
      </c>
      <c r="T402" s="68">
        <f t="shared" si="286"/>
        <v>2042811</v>
      </c>
      <c r="U402" s="68">
        <f t="shared" si="287"/>
        <v>2042811</v>
      </c>
      <c r="V402" s="69">
        <f t="shared" si="288"/>
        <v>0.10150629728118628</v>
      </c>
      <c r="W402" s="295" t="s">
        <v>492</v>
      </c>
      <c r="X402" s="295" t="s">
        <v>367</v>
      </c>
      <c r="Y402" s="269" t="s">
        <v>368</v>
      </c>
      <c r="Z402" s="28"/>
      <c r="AA402" s="28"/>
      <c r="AB402" s="28"/>
      <c r="AC402" s="28"/>
      <c r="AD402" s="28"/>
      <c r="AE402" s="28"/>
      <c r="AF402" s="28"/>
      <c r="AG402" s="28"/>
      <c r="AH402" s="28"/>
      <c r="AI402" s="28"/>
      <c r="AJ402" s="28"/>
      <c r="AK402" s="28"/>
    </row>
    <row r="403" spans="1:37" ht="71.25" customHeight="1" x14ac:dyDescent="0.25">
      <c r="A403" s="13">
        <f t="shared" si="250"/>
        <v>3</v>
      </c>
      <c r="B403" s="675">
        <v>381</v>
      </c>
      <c r="C403" s="470">
        <v>386</v>
      </c>
      <c r="D403" s="181" t="s">
        <v>780</v>
      </c>
      <c r="E403" s="475" t="s">
        <v>781</v>
      </c>
      <c r="F403" s="51">
        <v>300</v>
      </c>
      <c r="G403" s="51" t="s">
        <v>24</v>
      </c>
      <c r="H403" s="52">
        <v>1</v>
      </c>
      <c r="I403" s="52" t="s">
        <v>29</v>
      </c>
      <c r="J403" s="80">
        <v>11765</v>
      </c>
      <c r="K403" s="40">
        <f t="shared" si="292"/>
        <v>3529500</v>
      </c>
      <c r="L403" s="80">
        <v>13571</v>
      </c>
      <c r="M403" s="35">
        <f t="shared" si="289"/>
        <v>4071300</v>
      </c>
      <c r="N403" s="80">
        <v>13992</v>
      </c>
      <c r="O403" s="41">
        <f t="shared" si="245"/>
        <v>4197600</v>
      </c>
      <c r="P403" s="68">
        <f t="shared" si="290"/>
        <v>13109.333333333334</v>
      </c>
      <c r="Q403" s="68">
        <f t="shared" si="291"/>
        <v>3932800</v>
      </c>
      <c r="R403" s="68">
        <f t="shared" si="284"/>
        <v>966.00011502184725</v>
      </c>
      <c r="S403" s="69">
        <f t="shared" si="285"/>
        <v>7.368796646322065E-2</v>
      </c>
      <c r="T403" s="68">
        <f t="shared" si="286"/>
        <v>13571</v>
      </c>
      <c r="U403" s="68">
        <f t="shared" si="287"/>
        <v>4071300</v>
      </c>
      <c r="V403" s="69">
        <f t="shared" si="288"/>
        <v>7.1181203671199414E-2</v>
      </c>
      <c r="W403" s="256" t="s">
        <v>782</v>
      </c>
      <c r="X403" s="333" t="s">
        <v>783</v>
      </c>
      <c r="Y403" s="256" t="s">
        <v>784</v>
      </c>
      <c r="Z403" s="28"/>
      <c r="AA403" s="28"/>
      <c r="AB403" s="28"/>
      <c r="AC403" s="28"/>
      <c r="AD403" s="28"/>
      <c r="AE403" s="28"/>
      <c r="AF403" s="28"/>
      <c r="AG403" s="28"/>
      <c r="AH403" s="28"/>
      <c r="AI403" s="28"/>
      <c r="AJ403" s="28"/>
      <c r="AK403" s="28"/>
    </row>
    <row r="404" spans="1:37" ht="18.75" customHeight="1" x14ac:dyDescent="0.25">
      <c r="A404" s="13">
        <f t="shared" si="250"/>
        <v>3</v>
      </c>
      <c r="B404" s="675">
        <v>382</v>
      </c>
      <c r="C404" s="470">
        <v>387</v>
      </c>
      <c r="D404" s="181" t="s">
        <v>785</v>
      </c>
      <c r="E404" s="456" t="s">
        <v>786</v>
      </c>
      <c r="F404" s="32">
        <v>10</v>
      </c>
      <c r="G404" s="32" t="s">
        <v>24</v>
      </c>
      <c r="H404" s="33">
        <v>1</v>
      </c>
      <c r="I404" s="52" t="s">
        <v>29</v>
      </c>
      <c r="J404" s="80">
        <v>3000</v>
      </c>
      <c r="K404" s="40">
        <f t="shared" si="292"/>
        <v>30000</v>
      </c>
      <c r="L404" s="83">
        <v>3000</v>
      </c>
      <c r="M404" s="35">
        <f t="shared" si="289"/>
        <v>30000</v>
      </c>
      <c r="N404" s="410">
        <v>4000</v>
      </c>
      <c r="O404" s="41">
        <f t="shared" si="245"/>
        <v>40000</v>
      </c>
      <c r="P404" s="68">
        <f t="shared" si="290"/>
        <v>3333.3333333333335</v>
      </c>
      <c r="Q404" s="68">
        <f t="shared" si="291"/>
        <v>33333.333333333336</v>
      </c>
      <c r="R404" s="68">
        <f t="shared" si="284"/>
        <v>471.4045207910317</v>
      </c>
      <c r="S404" s="69">
        <f t="shared" si="285"/>
        <v>0.1414213562373095</v>
      </c>
      <c r="T404" s="68">
        <f t="shared" si="286"/>
        <v>3000</v>
      </c>
      <c r="U404" s="68">
        <f t="shared" si="287"/>
        <v>30000</v>
      </c>
      <c r="V404" s="69">
        <f t="shared" si="288"/>
        <v>0.15713484026367724</v>
      </c>
      <c r="W404" s="127" t="s">
        <v>41</v>
      </c>
      <c r="X404" s="25" t="s">
        <v>42</v>
      </c>
      <c r="Y404" s="27" t="s">
        <v>43</v>
      </c>
      <c r="Z404" s="28"/>
      <c r="AA404" s="28"/>
      <c r="AB404" s="28"/>
      <c r="AC404" s="28"/>
      <c r="AD404" s="28"/>
      <c r="AE404" s="28"/>
      <c r="AF404" s="28"/>
      <c r="AG404" s="28"/>
      <c r="AH404" s="28"/>
      <c r="AI404" s="28"/>
      <c r="AJ404" s="28"/>
      <c r="AK404" s="28"/>
    </row>
    <row r="405" spans="1:37" ht="62.65" customHeight="1" x14ac:dyDescent="0.25">
      <c r="A405" s="13">
        <f t="shared" si="250"/>
        <v>3</v>
      </c>
      <c r="B405" s="675">
        <v>383</v>
      </c>
      <c r="C405" s="470">
        <v>388</v>
      </c>
      <c r="D405" s="442" t="s">
        <v>787</v>
      </c>
      <c r="E405" s="152" t="s">
        <v>788</v>
      </c>
      <c r="F405" s="32">
        <v>200</v>
      </c>
      <c r="G405" s="32" t="s">
        <v>24</v>
      </c>
      <c r="H405" s="33">
        <v>1</v>
      </c>
      <c r="I405" s="52" t="s">
        <v>29</v>
      </c>
      <c r="J405" s="43">
        <f>+(7800*100)/119</f>
        <v>6554.6218487394954</v>
      </c>
      <c r="K405" s="40">
        <f t="shared" si="292"/>
        <v>1310924.369747899</v>
      </c>
      <c r="L405" s="196">
        <f>+(8166*100)/119</f>
        <v>6862.1848739495799</v>
      </c>
      <c r="M405" s="196">
        <f t="shared" si="289"/>
        <v>1372436.9747899161</v>
      </c>
      <c r="N405" s="196">
        <f>+(7140*100)/119</f>
        <v>6000</v>
      </c>
      <c r="O405" s="41">
        <f t="shared" si="245"/>
        <v>1200000</v>
      </c>
      <c r="P405" s="68">
        <f t="shared" si="290"/>
        <v>6472.2689075630251</v>
      </c>
      <c r="Q405" s="68">
        <f t="shared" si="291"/>
        <v>1294453.781512605</v>
      </c>
      <c r="R405" s="68">
        <f t="shared" si="284"/>
        <v>356.76994866643372</v>
      </c>
      <c r="S405" s="69">
        <f t="shared" si="285"/>
        <v>5.5122856259809935E-2</v>
      </c>
      <c r="T405" s="68">
        <f t="shared" si="286"/>
        <v>6554.6218487394954</v>
      </c>
      <c r="U405" s="68">
        <f t="shared" si="287"/>
        <v>1310924.369747899</v>
      </c>
      <c r="V405" s="69">
        <f t="shared" si="288"/>
        <v>5.4430287040135403E-2</v>
      </c>
      <c r="W405" s="79" t="s">
        <v>789</v>
      </c>
      <c r="X405" s="79" t="s">
        <v>790</v>
      </c>
      <c r="Y405" s="484" t="s">
        <v>791</v>
      </c>
      <c r="Z405" s="28"/>
      <c r="AA405" s="28"/>
      <c r="AB405" s="28"/>
      <c r="AC405" s="28"/>
      <c r="AD405" s="28"/>
      <c r="AE405" s="28"/>
      <c r="AF405" s="28"/>
      <c r="AG405" s="28"/>
      <c r="AH405" s="28"/>
      <c r="AI405" s="28"/>
      <c r="AJ405" s="28"/>
      <c r="AK405" s="28"/>
    </row>
    <row r="406" spans="1:37" ht="116.65" customHeight="1" x14ac:dyDescent="0.25">
      <c r="A406" s="90">
        <f t="shared" si="250"/>
        <v>1</v>
      </c>
      <c r="B406" s="675">
        <v>384</v>
      </c>
      <c r="C406" s="470">
        <v>389</v>
      </c>
      <c r="D406" s="61" t="s">
        <v>792</v>
      </c>
      <c r="E406" s="152" t="s">
        <v>793</v>
      </c>
      <c r="F406" s="33">
        <v>1</v>
      </c>
      <c r="G406" s="33" t="s">
        <v>24</v>
      </c>
      <c r="H406" s="33">
        <v>1</v>
      </c>
      <c r="I406" s="52" t="s">
        <v>159</v>
      </c>
      <c r="J406" s="43">
        <v>8000000</v>
      </c>
      <c r="K406" s="40">
        <f t="shared" si="292"/>
        <v>8000000</v>
      </c>
      <c r="L406" s="35"/>
      <c r="M406" s="35"/>
      <c r="N406" s="35"/>
      <c r="O406" s="41"/>
      <c r="P406" s="68">
        <f t="shared" si="290"/>
        <v>8000000</v>
      </c>
      <c r="Q406" s="68">
        <f t="shared" si="291"/>
        <v>8000000</v>
      </c>
      <c r="R406" s="68">
        <f t="shared" si="284"/>
        <v>0</v>
      </c>
      <c r="S406" s="290">
        <f t="shared" si="285"/>
        <v>0</v>
      </c>
      <c r="T406" s="68">
        <f t="shared" si="286"/>
        <v>8000000</v>
      </c>
      <c r="U406" s="68">
        <f t="shared" si="287"/>
        <v>8000000</v>
      </c>
      <c r="V406" s="290">
        <f t="shared" si="288"/>
        <v>0</v>
      </c>
      <c r="W406" s="340" t="s">
        <v>41</v>
      </c>
      <c r="X406" s="27" t="s">
        <v>42</v>
      </c>
      <c r="Y406" s="27" t="s">
        <v>43</v>
      </c>
      <c r="Z406" s="28"/>
      <c r="AA406" s="28"/>
      <c r="AB406" s="28"/>
      <c r="AC406" s="28"/>
      <c r="AD406" s="28"/>
      <c r="AE406" s="28"/>
      <c r="AF406" s="28"/>
      <c r="AG406" s="28"/>
      <c r="AH406" s="28"/>
      <c r="AI406" s="28"/>
      <c r="AJ406" s="28"/>
      <c r="AK406" s="28"/>
    </row>
    <row r="407" spans="1:37" ht="226.5" customHeight="1" x14ac:dyDescent="0.25">
      <c r="A407" s="13">
        <f t="shared" si="250"/>
        <v>3</v>
      </c>
      <c r="B407" s="675">
        <v>385</v>
      </c>
      <c r="C407" s="470">
        <v>390</v>
      </c>
      <c r="D407" s="181" t="s">
        <v>794</v>
      </c>
      <c r="E407" s="485" t="s">
        <v>795</v>
      </c>
      <c r="F407" s="33">
        <v>1</v>
      </c>
      <c r="G407" s="33" t="s">
        <v>24</v>
      </c>
      <c r="H407" s="33"/>
      <c r="I407" s="33"/>
      <c r="J407" s="228">
        <v>1052632</v>
      </c>
      <c r="K407" s="64">
        <f t="shared" ref="K407:K412" si="293">+J407*F407</f>
        <v>1052632</v>
      </c>
      <c r="L407" s="228">
        <v>1052632</v>
      </c>
      <c r="M407" s="217">
        <f t="shared" ref="M407:M412" si="294">+L407*F407</f>
        <v>1052632</v>
      </c>
      <c r="N407" s="228">
        <v>1052632</v>
      </c>
      <c r="O407" s="35">
        <f t="shared" ref="O407:O412" si="295">+N407*F407</f>
        <v>1052632</v>
      </c>
      <c r="P407" s="68">
        <f t="shared" si="290"/>
        <v>1052632</v>
      </c>
      <c r="Q407" s="163">
        <f t="shared" ref="Q407:Q412" si="296">+P407*F407</f>
        <v>1052632</v>
      </c>
      <c r="R407" s="68">
        <f t="shared" si="284"/>
        <v>0</v>
      </c>
      <c r="S407" s="69">
        <f t="shared" si="285"/>
        <v>0</v>
      </c>
      <c r="T407" s="68">
        <f t="shared" si="286"/>
        <v>1052632</v>
      </c>
      <c r="U407" s="163">
        <f t="shared" ref="U407:U412" si="297">+T407*F407</f>
        <v>1052632</v>
      </c>
      <c r="V407" s="69">
        <f t="shared" si="288"/>
        <v>0</v>
      </c>
      <c r="W407" s="127" t="s">
        <v>41</v>
      </c>
      <c r="X407" s="25" t="s">
        <v>42</v>
      </c>
      <c r="Y407" s="25" t="s">
        <v>43</v>
      </c>
      <c r="Z407" s="28"/>
      <c r="AA407" s="28"/>
      <c r="AB407" s="28"/>
      <c r="AC407" s="28"/>
      <c r="AD407" s="28"/>
      <c r="AE407" s="28"/>
      <c r="AF407" s="28"/>
      <c r="AG407" s="28"/>
      <c r="AH407" s="28"/>
      <c r="AI407" s="28"/>
      <c r="AJ407" s="28"/>
      <c r="AK407" s="28"/>
    </row>
    <row r="408" spans="1:37" ht="224.1" customHeight="1" x14ac:dyDescent="0.25">
      <c r="A408" s="13">
        <f t="shared" si="250"/>
        <v>3</v>
      </c>
      <c r="B408" s="675">
        <v>386</v>
      </c>
      <c r="C408" s="470">
        <v>391</v>
      </c>
      <c r="D408" s="181" t="s">
        <v>794</v>
      </c>
      <c r="E408" s="485" t="s">
        <v>796</v>
      </c>
      <c r="F408" s="33">
        <v>1</v>
      </c>
      <c r="G408" s="33" t="s">
        <v>24</v>
      </c>
      <c r="H408" s="33"/>
      <c r="I408" s="33"/>
      <c r="J408" s="228">
        <v>1052632</v>
      </c>
      <c r="K408" s="64">
        <f t="shared" si="293"/>
        <v>1052632</v>
      </c>
      <c r="L408" s="228">
        <v>1052632</v>
      </c>
      <c r="M408" s="217">
        <f t="shared" si="294"/>
        <v>1052632</v>
      </c>
      <c r="N408" s="228">
        <v>1052632</v>
      </c>
      <c r="O408" s="35">
        <f t="shared" si="295"/>
        <v>1052632</v>
      </c>
      <c r="P408" s="68">
        <f t="shared" si="290"/>
        <v>1052632</v>
      </c>
      <c r="Q408" s="163">
        <f t="shared" si="296"/>
        <v>1052632</v>
      </c>
      <c r="R408" s="68">
        <f t="shared" si="284"/>
        <v>0</v>
      </c>
      <c r="S408" s="69">
        <f t="shared" si="285"/>
        <v>0</v>
      </c>
      <c r="T408" s="68">
        <f t="shared" si="286"/>
        <v>1052632</v>
      </c>
      <c r="U408" s="163">
        <f t="shared" si="297"/>
        <v>1052632</v>
      </c>
      <c r="V408" s="69">
        <f t="shared" si="288"/>
        <v>0</v>
      </c>
      <c r="W408" s="127" t="s">
        <v>41</v>
      </c>
      <c r="X408" s="25" t="s">
        <v>42</v>
      </c>
      <c r="Y408" s="25" t="s">
        <v>43</v>
      </c>
      <c r="Z408" s="28"/>
      <c r="AA408" s="28"/>
      <c r="AB408" s="28"/>
      <c r="AC408" s="28"/>
      <c r="AD408" s="28"/>
      <c r="AE408" s="28"/>
      <c r="AF408" s="28"/>
      <c r="AG408" s="28"/>
      <c r="AH408" s="28"/>
      <c r="AI408" s="28"/>
      <c r="AJ408" s="28"/>
      <c r="AK408" s="28"/>
    </row>
    <row r="409" spans="1:37" ht="223.15" customHeight="1" x14ac:dyDescent="0.25">
      <c r="A409" s="13">
        <f t="shared" si="250"/>
        <v>3</v>
      </c>
      <c r="B409" s="675">
        <v>387</v>
      </c>
      <c r="C409" s="470">
        <v>392</v>
      </c>
      <c r="D409" s="61" t="s">
        <v>797</v>
      </c>
      <c r="E409" s="485" t="s">
        <v>798</v>
      </c>
      <c r="F409" s="33">
        <v>1</v>
      </c>
      <c r="G409" s="33" t="s">
        <v>24</v>
      </c>
      <c r="H409" s="33"/>
      <c r="I409" s="33"/>
      <c r="J409" s="228">
        <v>1052632</v>
      </c>
      <c r="K409" s="64">
        <f t="shared" si="293"/>
        <v>1052632</v>
      </c>
      <c r="L409" s="228">
        <v>1052632</v>
      </c>
      <c r="M409" s="217">
        <f t="shared" si="294"/>
        <v>1052632</v>
      </c>
      <c r="N409" s="228">
        <v>1052632</v>
      </c>
      <c r="O409" s="35">
        <f t="shared" si="295"/>
        <v>1052632</v>
      </c>
      <c r="P409" s="68">
        <f t="shared" si="290"/>
        <v>1052632</v>
      </c>
      <c r="Q409" s="163">
        <f t="shared" si="296"/>
        <v>1052632</v>
      </c>
      <c r="R409" s="68">
        <f t="shared" si="284"/>
        <v>0</v>
      </c>
      <c r="S409" s="69">
        <f t="shared" si="285"/>
        <v>0</v>
      </c>
      <c r="T409" s="68">
        <f t="shared" si="286"/>
        <v>1052632</v>
      </c>
      <c r="U409" s="163">
        <f t="shared" si="297"/>
        <v>1052632</v>
      </c>
      <c r="V409" s="69">
        <f t="shared" si="288"/>
        <v>0</v>
      </c>
      <c r="W409" s="127" t="s">
        <v>41</v>
      </c>
      <c r="X409" s="25" t="s">
        <v>42</v>
      </c>
      <c r="Y409" s="25" t="s">
        <v>43</v>
      </c>
      <c r="Z409" s="28"/>
      <c r="AA409" s="28"/>
      <c r="AB409" s="28"/>
      <c r="AC409" s="28"/>
      <c r="AD409" s="28"/>
      <c r="AE409" s="28"/>
      <c r="AF409" s="28"/>
      <c r="AG409" s="28"/>
      <c r="AH409" s="28"/>
      <c r="AI409" s="28"/>
      <c r="AJ409" s="28"/>
      <c r="AK409" s="28"/>
    </row>
    <row r="410" spans="1:37" ht="221.65" customHeight="1" x14ac:dyDescent="0.25">
      <c r="A410" s="90">
        <f t="shared" si="250"/>
        <v>3</v>
      </c>
      <c r="B410" s="675">
        <v>388</v>
      </c>
      <c r="C410" s="470">
        <v>393</v>
      </c>
      <c r="D410" s="61" t="s">
        <v>797</v>
      </c>
      <c r="E410" s="437" t="s">
        <v>799</v>
      </c>
      <c r="F410" s="33">
        <v>1</v>
      </c>
      <c r="G410" s="33" t="s">
        <v>24</v>
      </c>
      <c r="H410" s="33"/>
      <c r="I410" s="33"/>
      <c r="J410" s="228">
        <v>1052632</v>
      </c>
      <c r="K410" s="64">
        <f t="shared" si="293"/>
        <v>1052632</v>
      </c>
      <c r="L410" s="228">
        <v>1052632</v>
      </c>
      <c r="M410" s="217">
        <f t="shared" si="294"/>
        <v>1052632</v>
      </c>
      <c r="N410" s="228">
        <v>1052632</v>
      </c>
      <c r="O410" s="35">
        <f t="shared" si="295"/>
        <v>1052632</v>
      </c>
      <c r="P410" s="68">
        <f t="shared" si="290"/>
        <v>1052632</v>
      </c>
      <c r="Q410" s="163">
        <f t="shared" si="296"/>
        <v>1052632</v>
      </c>
      <c r="R410" s="68">
        <f t="shared" si="284"/>
        <v>0</v>
      </c>
      <c r="S410" s="290">
        <f t="shared" si="285"/>
        <v>0</v>
      </c>
      <c r="T410" s="68">
        <f t="shared" si="286"/>
        <v>1052632</v>
      </c>
      <c r="U410" s="163">
        <f t="shared" si="297"/>
        <v>1052632</v>
      </c>
      <c r="V410" s="290">
        <f t="shared" si="288"/>
        <v>0</v>
      </c>
      <c r="W410" s="340" t="s">
        <v>41</v>
      </c>
      <c r="X410" s="25" t="s">
        <v>42</v>
      </c>
      <c r="Y410" s="25" t="s">
        <v>43</v>
      </c>
      <c r="Z410" s="28"/>
      <c r="AA410" s="28"/>
      <c r="AB410" s="28"/>
      <c r="AC410" s="28"/>
      <c r="AD410" s="28"/>
      <c r="AE410" s="28"/>
      <c r="AF410" s="28"/>
      <c r="AG410" s="28"/>
      <c r="AH410" s="28"/>
      <c r="AI410" s="28"/>
      <c r="AJ410" s="28"/>
      <c r="AK410" s="28"/>
    </row>
    <row r="411" spans="1:37" ht="228.6" customHeight="1" x14ac:dyDescent="0.25">
      <c r="A411" s="13">
        <f t="shared" si="250"/>
        <v>3</v>
      </c>
      <c r="B411" s="675">
        <v>389</v>
      </c>
      <c r="C411" s="470">
        <v>394</v>
      </c>
      <c r="D411" s="61" t="s">
        <v>800</v>
      </c>
      <c r="E411" s="485" t="s">
        <v>801</v>
      </c>
      <c r="F411" s="33">
        <v>1</v>
      </c>
      <c r="G411" s="33" t="s">
        <v>24</v>
      </c>
      <c r="H411" s="33"/>
      <c r="I411" s="33"/>
      <c r="J411" s="228">
        <v>1052632</v>
      </c>
      <c r="K411" s="64">
        <f t="shared" si="293"/>
        <v>1052632</v>
      </c>
      <c r="L411" s="228">
        <v>1052632</v>
      </c>
      <c r="M411" s="217">
        <f t="shared" si="294"/>
        <v>1052632</v>
      </c>
      <c r="N411" s="228">
        <v>1052632</v>
      </c>
      <c r="O411" s="35">
        <f t="shared" si="295"/>
        <v>1052632</v>
      </c>
      <c r="P411" s="68">
        <f t="shared" si="290"/>
        <v>1052632</v>
      </c>
      <c r="Q411" s="163">
        <f t="shared" si="296"/>
        <v>1052632</v>
      </c>
      <c r="R411" s="68">
        <f t="shared" si="284"/>
        <v>0</v>
      </c>
      <c r="S411" s="69">
        <f t="shared" si="285"/>
        <v>0</v>
      </c>
      <c r="T411" s="68">
        <f t="shared" si="286"/>
        <v>1052632</v>
      </c>
      <c r="U411" s="163">
        <f t="shared" si="297"/>
        <v>1052632</v>
      </c>
      <c r="V411" s="69">
        <f t="shared" si="288"/>
        <v>0</v>
      </c>
      <c r="W411" s="127" t="s">
        <v>41</v>
      </c>
      <c r="X411" s="25" t="s">
        <v>42</v>
      </c>
      <c r="Y411" s="25" t="s">
        <v>43</v>
      </c>
      <c r="Z411" s="28"/>
      <c r="AA411" s="28"/>
      <c r="AB411" s="28"/>
      <c r="AC411" s="28"/>
      <c r="AD411" s="28"/>
      <c r="AE411" s="28"/>
      <c r="AF411" s="28"/>
      <c r="AG411" s="28"/>
      <c r="AH411" s="28"/>
      <c r="AI411" s="28"/>
      <c r="AJ411" s="28"/>
      <c r="AK411" s="28"/>
    </row>
    <row r="412" spans="1:37" ht="246" customHeight="1" x14ac:dyDescent="0.25">
      <c r="A412" s="90">
        <f t="shared" si="250"/>
        <v>3</v>
      </c>
      <c r="B412" s="675">
        <v>390</v>
      </c>
      <c r="C412" s="470">
        <v>395</v>
      </c>
      <c r="D412" s="61" t="s">
        <v>381</v>
      </c>
      <c r="E412" s="437" t="s">
        <v>802</v>
      </c>
      <c r="F412" s="33">
        <v>15</v>
      </c>
      <c r="G412" s="33" t="s">
        <v>24</v>
      </c>
      <c r="H412" s="33"/>
      <c r="I412" s="33"/>
      <c r="J412" s="228">
        <v>105263</v>
      </c>
      <c r="K412" s="64">
        <f t="shared" si="293"/>
        <v>1578945</v>
      </c>
      <c r="L412" s="228">
        <v>105263</v>
      </c>
      <c r="M412" s="217">
        <f t="shared" si="294"/>
        <v>1578945</v>
      </c>
      <c r="N412" s="228">
        <v>105263</v>
      </c>
      <c r="O412" s="35">
        <f t="shared" si="295"/>
        <v>1578945</v>
      </c>
      <c r="P412" s="68">
        <f t="shared" si="290"/>
        <v>105263</v>
      </c>
      <c r="Q412" s="163">
        <f t="shared" si="296"/>
        <v>1578945</v>
      </c>
      <c r="R412" s="68">
        <f t="shared" si="284"/>
        <v>0</v>
      </c>
      <c r="S412" s="290">
        <f t="shared" si="285"/>
        <v>0</v>
      </c>
      <c r="T412" s="68">
        <f t="shared" si="286"/>
        <v>105263</v>
      </c>
      <c r="U412" s="163">
        <f t="shared" si="297"/>
        <v>1578945</v>
      </c>
      <c r="V412" s="290">
        <f t="shared" si="288"/>
        <v>0</v>
      </c>
      <c r="W412" s="340" t="s">
        <v>41</v>
      </c>
      <c r="X412" s="25" t="s">
        <v>42</v>
      </c>
      <c r="Y412" s="25" t="s">
        <v>43</v>
      </c>
      <c r="Z412" s="28"/>
      <c r="AA412" s="28"/>
      <c r="AB412" s="28"/>
      <c r="AC412" s="28"/>
      <c r="AD412" s="28"/>
      <c r="AE412" s="28"/>
      <c r="AF412" s="28"/>
      <c r="AG412" s="28"/>
      <c r="AH412" s="28"/>
      <c r="AI412" s="28"/>
      <c r="AJ412" s="28"/>
      <c r="AK412" s="28"/>
    </row>
    <row r="413" spans="1:37" ht="267.75" customHeight="1" x14ac:dyDescent="0.25">
      <c r="A413" s="13">
        <f t="shared" si="250"/>
        <v>3</v>
      </c>
      <c r="B413" s="675">
        <v>391</v>
      </c>
      <c r="C413" s="470">
        <v>396</v>
      </c>
      <c r="D413" s="350" t="s">
        <v>604</v>
      </c>
      <c r="E413" s="117" t="s">
        <v>742</v>
      </c>
      <c r="F413" s="32">
        <v>4</v>
      </c>
      <c r="G413" s="32" t="s">
        <v>24</v>
      </c>
      <c r="H413" s="118">
        <v>1</v>
      </c>
      <c r="I413" s="118" t="s">
        <v>29</v>
      </c>
      <c r="J413" s="282">
        <f>+(513000*5.35%)+513000</f>
        <v>540445.5</v>
      </c>
      <c r="K413" s="40">
        <f t="shared" ref="K413" si="298">+J413*F413*H413</f>
        <v>2161782</v>
      </c>
      <c r="L413" s="282">
        <f>+(523800*5.35%)+523800</f>
        <v>551823.30000000005</v>
      </c>
      <c r="M413" s="35">
        <f t="shared" ref="M413" si="299">+L413*H413*F413</f>
        <v>2207293.2000000002</v>
      </c>
      <c r="N413" s="282">
        <f>+(583200*5.35%)+583200</f>
        <v>614401.19999999995</v>
      </c>
      <c r="O413" s="41">
        <f t="shared" si="245"/>
        <v>2457604.7999999998</v>
      </c>
      <c r="P413" s="68">
        <f t="shared" si="290"/>
        <v>568890</v>
      </c>
      <c r="Q413" s="68">
        <f t="shared" si="291"/>
        <v>2275560</v>
      </c>
      <c r="R413" s="68">
        <f t="shared" si="284"/>
        <v>32514.771794678156</v>
      </c>
      <c r="S413" s="69">
        <f t="shared" si="285"/>
        <v>5.7154760664940775E-2</v>
      </c>
      <c r="T413" s="68">
        <f t="shared" si="286"/>
        <v>551823.30000000005</v>
      </c>
      <c r="U413" s="68">
        <f t="shared" si="287"/>
        <v>2207293.2000000002</v>
      </c>
      <c r="V413" s="69">
        <f t="shared" si="288"/>
        <v>5.8922433675196666E-2</v>
      </c>
      <c r="W413" s="25" t="s">
        <v>310</v>
      </c>
      <c r="X413" s="25" t="s">
        <v>311</v>
      </c>
      <c r="Y413" s="27" t="s">
        <v>42</v>
      </c>
      <c r="Z413" s="28"/>
      <c r="AA413" s="28"/>
      <c r="AB413" s="28"/>
      <c r="AC413" s="28"/>
      <c r="AD413" s="28"/>
      <c r="AE413" s="28"/>
      <c r="AF413" s="28"/>
      <c r="AG413" s="28"/>
      <c r="AH413" s="28"/>
      <c r="AI413" s="28"/>
      <c r="AJ413" s="28"/>
      <c r="AK413" s="28"/>
    </row>
    <row r="414" spans="1:37" ht="96.6" customHeight="1" x14ac:dyDescent="0.25">
      <c r="A414" s="13">
        <f t="shared" si="250"/>
        <v>3</v>
      </c>
      <c r="B414" s="675">
        <v>392</v>
      </c>
      <c r="C414" s="470">
        <v>397</v>
      </c>
      <c r="D414" s="61" t="s">
        <v>207</v>
      </c>
      <c r="E414" s="31" t="s">
        <v>208</v>
      </c>
      <c r="F414" s="32">
        <v>500</v>
      </c>
      <c r="G414" s="32" t="s">
        <v>24</v>
      </c>
      <c r="H414" s="118">
        <v>1</v>
      </c>
      <c r="I414" s="118" t="s">
        <v>29</v>
      </c>
      <c r="J414" s="43">
        <f>+(10756*100)/119</f>
        <v>9038.6554621848736</v>
      </c>
      <c r="K414" s="40">
        <f t="shared" si="292"/>
        <v>4519327.7310924372</v>
      </c>
      <c r="L414" s="35">
        <f>+(12017*100)/119</f>
        <v>10098.319327731093</v>
      </c>
      <c r="M414" s="35">
        <f t="shared" si="289"/>
        <v>5049159.6638655467</v>
      </c>
      <c r="N414" s="35">
        <f>+(10900*100)/119</f>
        <v>9159.6638655462193</v>
      </c>
      <c r="O414" s="41">
        <f t="shared" si="245"/>
        <v>4579831.9327731095</v>
      </c>
      <c r="P414" s="68">
        <f t="shared" si="290"/>
        <v>9432.212885154062</v>
      </c>
      <c r="Q414" s="68">
        <f t="shared" si="291"/>
        <v>4716106.4425770305</v>
      </c>
      <c r="R414" s="68">
        <f t="shared" si="284"/>
        <v>473.59202066264169</v>
      </c>
      <c r="S414" s="69">
        <f t="shared" si="285"/>
        <v>5.0210064852125764E-2</v>
      </c>
      <c r="T414" s="68">
        <f t="shared" si="286"/>
        <v>9159.6638655462193</v>
      </c>
      <c r="U414" s="68">
        <f t="shared" si="287"/>
        <v>4579831.9327731095</v>
      </c>
      <c r="V414" s="69">
        <f t="shared" si="288"/>
        <v>5.1704082989774636E-2</v>
      </c>
      <c r="W414" s="25" t="s">
        <v>209</v>
      </c>
      <c r="X414" s="25" t="s">
        <v>210</v>
      </c>
      <c r="Y414" s="27" t="s">
        <v>211</v>
      </c>
      <c r="Z414" s="28"/>
      <c r="AA414" s="28"/>
      <c r="AB414" s="28"/>
      <c r="AC414" s="28"/>
      <c r="AD414" s="28"/>
      <c r="AE414" s="28"/>
      <c r="AF414" s="28"/>
      <c r="AG414" s="28"/>
      <c r="AH414" s="28"/>
      <c r="AI414" s="28"/>
      <c r="AJ414" s="28"/>
      <c r="AK414" s="28"/>
    </row>
    <row r="415" spans="1:37" ht="31.5" customHeight="1" x14ac:dyDescent="0.25">
      <c r="A415" s="13">
        <f t="shared" si="250"/>
        <v>3</v>
      </c>
      <c r="B415" s="675">
        <v>393</v>
      </c>
      <c r="C415" s="470">
        <v>398</v>
      </c>
      <c r="D415" s="61" t="s">
        <v>200</v>
      </c>
      <c r="E415" s="152" t="s">
        <v>803</v>
      </c>
      <c r="F415" s="32">
        <v>5</v>
      </c>
      <c r="G415" s="32" t="s">
        <v>24</v>
      </c>
      <c r="H415" s="118">
        <v>1</v>
      </c>
      <c r="I415" s="118" t="s">
        <v>29</v>
      </c>
      <c r="J415" s="43">
        <f>+(19500*100)/119</f>
        <v>16386.55462184874</v>
      </c>
      <c r="K415" s="40">
        <f t="shared" si="292"/>
        <v>81932.773109243702</v>
      </c>
      <c r="L415" s="35">
        <f>+(17407*100)/119</f>
        <v>14627.731092436974</v>
      </c>
      <c r="M415" s="35">
        <f t="shared" si="289"/>
        <v>73138.655462184863</v>
      </c>
      <c r="N415" s="115">
        <f>+(16650*100)/119</f>
        <v>13991.596638655463</v>
      </c>
      <c r="O415" s="41">
        <f t="shared" si="245"/>
        <v>69957.983193277309</v>
      </c>
      <c r="P415" s="68">
        <f t="shared" si="290"/>
        <v>15001.960784313726</v>
      </c>
      <c r="Q415" s="68">
        <f t="shared" si="291"/>
        <v>75009.803921568629</v>
      </c>
      <c r="R415" s="68">
        <f t="shared" si="284"/>
        <v>1012.913893025769</v>
      </c>
      <c r="S415" s="69">
        <f t="shared" si="285"/>
        <v>6.7518766885785148E-2</v>
      </c>
      <c r="T415" s="68">
        <f t="shared" si="286"/>
        <v>14627.731092436974</v>
      </c>
      <c r="U415" s="68">
        <f t="shared" si="287"/>
        <v>73138.655462184863</v>
      </c>
      <c r="V415" s="69">
        <f t="shared" si="288"/>
        <v>6.9246138490300743E-2</v>
      </c>
      <c r="W415" s="27" t="s">
        <v>202</v>
      </c>
      <c r="X415" s="27" t="s">
        <v>203</v>
      </c>
      <c r="Y415" s="27" t="s">
        <v>204</v>
      </c>
      <c r="Z415" s="28"/>
      <c r="AA415" s="28"/>
      <c r="AB415" s="28"/>
      <c r="AC415" s="28"/>
      <c r="AD415" s="28"/>
      <c r="AE415" s="28"/>
      <c r="AF415" s="28"/>
      <c r="AG415" s="28"/>
      <c r="AH415" s="28"/>
      <c r="AI415" s="28"/>
      <c r="AJ415" s="28"/>
      <c r="AK415" s="28"/>
    </row>
    <row r="416" spans="1:37" ht="31.5" x14ac:dyDescent="0.25">
      <c r="A416" s="13">
        <f t="shared" si="250"/>
        <v>3</v>
      </c>
      <c r="B416" s="675">
        <v>394</v>
      </c>
      <c r="C416" s="470">
        <v>399</v>
      </c>
      <c r="D416" s="61" t="s">
        <v>804</v>
      </c>
      <c r="E416" s="152" t="s">
        <v>805</v>
      </c>
      <c r="F416" s="32">
        <v>1</v>
      </c>
      <c r="G416" s="32" t="s">
        <v>24</v>
      </c>
      <c r="H416" s="118">
        <v>1</v>
      </c>
      <c r="I416" s="118" t="s">
        <v>29</v>
      </c>
      <c r="J416" s="43">
        <f>+(36900*100)/119</f>
        <v>31008.403361344539</v>
      </c>
      <c r="K416" s="44">
        <f t="shared" si="292"/>
        <v>31008.403361344539</v>
      </c>
      <c r="L416" s="486">
        <f>+(29970*100)/119</f>
        <v>25184.873949579833</v>
      </c>
      <c r="M416" s="196">
        <f t="shared" si="289"/>
        <v>25184.873949579833</v>
      </c>
      <c r="N416" s="487">
        <f>+(27900*100)/119</f>
        <v>23445.378151260506</v>
      </c>
      <c r="O416" s="41">
        <f t="shared" ref="O416:O446" si="300">+N416*H416*F416</f>
        <v>23445.378151260506</v>
      </c>
      <c r="P416" s="68">
        <f t="shared" si="290"/>
        <v>26546.218487394959</v>
      </c>
      <c r="Q416" s="68">
        <f t="shared" si="291"/>
        <v>26546.218487394959</v>
      </c>
      <c r="R416" s="68">
        <f t="shared" si="284"/>
        <v>3234.1698363022483</v>
      </c>
      <c r="S416" s="69">
        <f t="shared" si="285"/>
        <v>0.12183165891736863</v>
      </c>
      <c r="T416" s="68">
        <f t="shared" si="286"/>
        <v>25184.873949579833</v>
      </c>
      <c r="U416" s="68">
        <f t="shared" si="287"/>
        <v>25184.873949579833</v>
      </c>
      <c r="V416" s="69">
        <f t="shared" si="288"/>
        <v>0.12841715399398315</v>
      </c>
      <c r="W416" s="488" t="s">
        <v>243</v>
      </c>
      <c r="X416" s="488" t="s">
        <v>390</v>
      </c>
      <c r="Y416" s="489" t="s">
        <v>391</v>
      </c>
      <c r="Z416" s="28" t="s">
        <v>205</v>
      </c>
      <c r="AA416" s="28" t="s">
        <v>206</v>
      </c>
      <c r="AB416" s="28"/>
      <c r="AC416" s="28"/>
      <c r="AD416" s="28"/>
      <c r="AE416" s="28"/>
      <c r="AF416" s="28"/>
      <c r="AG416" s="28"/>
      <c r="AH416" s="28"/>
      <c r="AI416" s="28"/>
      <c r="AJ416" s="28"/>
      <c r="AK416" s="28"/>
    </row>
    <row r="417" spans="1:37" ht="47.25" customHeight="1" x14ac:dyDescent="0.25">
      <c r="A417" s="13">
        <f t="shared" si="250"/>
        <v>3</v>
      </c>
      <c r="B417" s="675">
        <v>395</v>
      </c>
      <c r="C417" s="470">
        <v>400</v>
      </c>
      <c r="D417" s="61" t="s">
        <v>502</v>
      </c>
      <c r="E417" s="150" t="s">
        <v>806</v>
      </c>
      <c r="F417" s="32">
        <v>200</v>
      </c>
      <c r="G417" s="32" t="s">
        <v>24</v>
      </c>
      <c r="H417" s="33">
        <v>1</v>
      </c>
      <c r="I417" s="254" t="s">
        <v>29</v>
      </c>
      <c r="J417" s="35">
        <f>+(9410*100)/119</f>
        <v>7907.5630252100837</v>
      </c>
      <c r="K417" s="35">
        <f t="shared" si="292"/>
        <v>1581512.6050420168</v>
      </c>
      <c r="L417" s="122">
        <f>+(9000*5.35%)+9000</f>
        <v>9481.5</v>
      </c>
      <c r="M417" s="35">
        <f t="shared" si="289"/>
        <v>1896300</v>
      </c>
      <c r="N417" s="35">
        <f>+(11900*100)/119</f>
        <v>10000</v>
      </c>
      <c r="O417" s="41">
        <f t="shared" si="300"/>
        <v>2000000</v>
      </c>
      <c r="P417" s="68">
        <f t="shared" si="290"/>
        <v>9129.6876750700267</v>
      </c>
      <c r="Q417" s="68">
        <f t="shared" si="291"/>
        <v>1825937.5350140054</v>
      </c>
      <c r="R417" s="68">
        <f t="shared" si="284"/>
        <v>889.71982756613454</v>
      </c>
      <c r="S417" s="69">
        <f t="shared" si="285"/>
        <v>9.7453479158509132E-2</v>
      </c>
      <c r="T417" s="68">
        <f t="shared" si="286"/>
        <v>9481.5</v>
      </c>
      <c r="U417" s="68">
        <f t="shared" si="287"/>
        <v>1896300</v>
      </c>
      <c r="V417" s="69">
        <f t="shared" si="288"/>
        <v>9.3837454787336877E-2</v>
      </c>
      <c r="W417" s="48" t="s">
        <v>446</v>
      </c>
      <c r="X417" s="48" t="s">
        <v>517</v>
      </c>
      <c r="Y417" s="48" t="s">
        <v>447</v>
      </c>
      <c r="Z417" s="237">
        <f>SUM(Q388:Q417)</f>
        <v>62895074.502362743</v>
      </c>
      <c r="AA417" s="237">
        <f>SUM(U388:U417)</f>
        <v>63032957.447358549</v>
      </c>
      <c r="AB417" s="28"/>
      <c r="AC417" s="28"/>
      <c r="AD417" s="28"/>
      <c r="AE417" s="28"/>
      <c r="AF417" s="28"/>
      <c r="AG417" s="28"/>
      <c r="AH417" s="28"/>
      <c r="AI417" s="28"/>
      <c r="AJ417" s="28"/>
      <c r="AK417" s="28"/>
    </row>
    <row r="418" spans="1:37" ht="73.5" customHeight="1" x14ac:dyDescent="0.25">
      <c r="A418" s="388"/>
      <c r="B418" s="388"/>
      <c r="C418" s="388"/>
      <c r="D418" s="415"/>
      <c r="E418" s="468" t="s">
        <v>1083</v>
      </c>
      <c r="F418" s="448"/>
      <c r="G418" s="448"/>
      <c r="H418" s="448"/>
      <c r="I418" s="448"/>
      <c r="J418" s="448"/>
      <c r="K418" s="448"/>
      <c r="L418" s="448"/>
      <c r="M418" s="448"/>
      <c r="N418" s="448"/>
      <c r="O418" s="448"/>
      <c r="P418" s="448"/>
      <c r="Q418" s="448"/>
      <c r="R418" s="448"/>
      <c r="S418" s="448"/>
      <c r="T418" s="448"/>
      <c r="U418" s="448"/>
      <c r="V418" s="448"/>
      <c r="W418" s="449"/>
      <c r="X418" s="449"/>
      <c r="Y418" s="490"/>
      <c r="Z418" s="28"/>
      <c r="AA418" s="28"/>
      <c r="AB418" s="28"/>
      <c r="AC418" s="28"/>
      <c r="AD418" s="28"/>
      <c r="AE418" s="28"/>
      <c r="AF418" s="28"/>
      <c r="AG418" s="28"/>
      <c r="AH418" s="28"/>
      <c r="AI418" s="28"/>
      <c r="AJ418" s="28"/>
      <c r="AK418" s="28"/>
    </row>
    <row r="419" spans="1:37" ht="120.6" customHeight="1" x14ac:dyDescent="0.25">
      <c r="A419" s="13">
        <f t="shared" si="250"/>
        <v>3</v>
      </c>
      <c r="B419" s="675">
        <v>396</v>
      </c>
      <c r="C419" s="151">
        <v>401</v>
      </c>
      <c r="D419" s="61" t="s">
        <v>807</v>
      </c>
      <c r="E419" s="152" t="s">
        <v>773</v>
      </c>
      <c r="F419" s="32">
        <v>1</v>
      </c>
      <c r="G419" s="32" t="s">
        <v>24</v>
      </c>
      <c r="H419" s="33">
        <v>2</v>
      </c>
      <c r="I419" s="33" t="s">
        <v>129</v>
      </c>
      <c r="J419" s="43">
        <f>+(6307000*100)/119</f>
        <v>5300000</v>
      </c>
      <c r="K419" s="40">
        <f t="shared" si="292"/>
        <v>10600000</v>
      </c>
      <c r="L419" s="35">
        <f>+(4998000*100)/119</f>
        <v>4200000</v>
      </c>
      <c r="M419" s="35">
        <f t="shared" si="289"/>
        <v>8400000</v>
      </c>
      <c r="N419" s="35">
        <v>5000000</v>
      </c>
      <c r="O419" s="41">
        <f t="shared" si="300"/>
        <v>10000000</v>
      </c>
      <c r="P419" s="68">
        <f t="shared" si="290"/>
        <v>4833333.333333333</v>
      </c>
      <c r="Q419" s="68">
        <f t="shared" si="291"/>
        <v>9666666.666666666</v>
      </c>
      <c r="R419" s="68">
        <f t="shared" si="284"/>
        <v>464279.60923947062</v>
      </c>
      <c r="S419" s="69">
        <f t="shared" si="285"/>
        <v>9.6057850187476687E-2</v>
      </c>
      <c r="T419" s="68">
        <f t="shared" si="286"/>
        <v>5000000</v>
      </c>
      <c r="U419" s="68">
        <f t="shared" si="287"/>
        <v>10000000</v>
      </c>
      <c r="V419" s="69">
        <f t="shared" si="288"/>
        <v>9.2855921847894124E-2</v>
      </c>
      <c r="W419" s="127" t="s">
        <v>143</v>
      </c>
      <c r="X419" s="25" t="s">
        <v>144</v>
      </c>
      <c r="Y419" s="27" t="s">
        <v>41</v>
      </c>
      <c r="Z419" s="28"/>
      <c r="AA419" s="28"/>
      <c r="AB419" s="28"/>
      <c r="AC419" s="28"/>
      <c r="AD419" s="28"/>
      <c r="AE419" s="28"/>
      <c r="AF419" s="28"/>
      <c r="AG419" s="28"/>
      <c r="AH419" s="28"/>
      <c r="AI419" s="28"/>
      <c r="AJ419" s="28"/>
      <c r="AK419" s="28"/>
    </row>
    <row r="420" spans="1:37" ht="82.15" customHeight="1" x14ac:dyDescent="0.25">
      <c r="A420" s="13">
        <f t="shared" si="250"/>
        <v>3</v>
      </c>
      <c r="B420" s="675">
        <v>397</v>
      </c>
      <c r="C420" s="151">
        <v>402</v>
      </c>
      <c r="D420" s="61" t="s">
        <v>808</v>
      </c>
      <c r="E420" s="152" t="s">
        <v>774</v>
      </c>
      <c r="F420" s="32">
        <v>1</v>
      </c>
      <c r="G420" s="32" t="s">
        <v>24</v>
      </c>
      <c r="H420" s="33">
        <v>2</v>
      </c>
      <c r="I420" s="33" t="s">
        <v>809</v>
      </c>
      <c r="J420" s="43">
        <f>+(4165000*100)/119</f>
        <v>3500000</v>
      </c>
      <c r="K420" s="40">
        <f t="shared" si="292"/>
        <v>7000000</v>
      </c>
      <c r="L420" s="479">
        <f>+(4000000*5.35%)+4000000</f>
        <v>4214000</v>
      </c>
      <c r="M420" s="107">
        <f t="shared" si="289"/>
        <v>8428000</v>
      </c>
      <c r="N420" s="479">
        <f>+(3795000*5.35%)+3795000</f>
        <v>3998032.5</v>
      </c>
      <c r="O420" s="41">
        <f t="shared" si="300"/>
        <v>7996065</v>
      </c>
      <c r="P420" s="68">
        <f t="shared" si="290"/>
        <v>3904010.8333333335</v>
      </c>
      <c r="Q420" s="68">
        <f t="shared" si="291"/>
        <v>7808021.666666667</v>
      </c>
      <c r="R420" s="68">
        <f t="shared" si="284"/>
        <v>298974.97704889765</v>
      </c>
      <c r="S420" s="69">
        <f t="shared" si="285"/>
        <v>7.658149267829413E-2</v>
      </c>
      <c r="T420" s="68">
        <f t="shared" si="286"/>
        <v>3998032.5</v>
      </c>
      <c r="U420" s="68">
        <f t="shared" si="287"/>
        <v>7996065</v>
      </c>
      <c r="V420" s="69">
        <f t="shared" si="288"/>
        <v>7.4780526933910033E-2</v>
      </c>
      <c r="W420" s="47" t="s">
        <v>138</v>
      </c>
      <c r="X420" s="47" t="s">
        <v>354</v>
      </c>
      <c r="Y420" s="48" t="s">
        <v>155</v>
      </c>
      <c r="Z420" s="28"/>
      <c r="AA420" s="28"/>
      <c r="AB420" s="28"/>
      <c r="AC420" s="28"/>
      <c r="AD420" s="28"/>
      <c r="AE420" s="28"/>
      <c r="AF420" s="28"/>
      <c r="AG420" s="28"/>
      <c r="AH420" s="28"/>
      <c r="AI420" s="28"/>
      <c r="AJ420" s="28"/>
      <c r="AK420" s="28"/>
    </row>
    <row r="421" spans="1:37" ht="47.25" customHeight="1" x14ac:dyDescent="0.25">
      <c r="A421" s="13">
        <f t="shared" ref="A421:A486" si="301">+COUNT(J421,L421,N421)</f>
        <v>3</v>
      </c>
      <c r="B421" s="675">
        <v>398</v>
      </c>
      <c r="C421" s="151">
        <v>403</v>
      </c>
      <c r="D421" s="61" t="s">
        <v>810</v>
      </c>
      <c r="E421" s="152" t="s">
        <v>811</v>
      </c>
      <c r="F421" s="32">
        <v>1</v>
      </c>
      <c r="G421" s="32" t="s">
        <v>24</v>
      </c>
      <c r="H421" s="33">
        <v>2</v>
      </c>
      <c r="I421" s="33" t="s">
        <v>809</v>
      </c>
      <c r="J421" s="43">
        <v>1300000</v>
      </c>
      <c r="K421" s="40">
        <f t="shared" si="292"/>
        <v>2600000</v>
      </c>
      <c r="L421" s="132">
        <v>1500000</v>
      </c>
      <c r="M421" s="35">
        <f t="shared" si="289"/>
        <v>3000000</v>
      </c>
      <c r="N421" s="132">
        <v>1500000</v>
      </c>
      <c r="O421" s="41">
        <f t="shared" si="300"/>
        <v>3000000</v>
      </c>
      <c r="P421" s="68">
        <f t="shared" si="290"/>
        <v>1433333.3333333333</v>
      </c>
      <c r="Q421" s="68">
        <f t="shared" si="291"/>
        <v>2866666.6666666665</v>
      </c>
      <c r="R421" s="68">
        <f t="shared" si="284"/>
        <v>94280.904158206322</v>
      </c>
      <c r="S421" s="69">
        <f t="shared" si="285"/>
        <v>6.5777374994097443E-2</v>
      </c>
      <c r="T421" s="68">
        <f t="shared" si="286"/>
        <v>1500000</v>
      </c>
      <c r="U421" s="68">
        <f t="shared" si="287"/>
        <v>3000000</v>
      </c>
      <c r="V421" s="69">
        <f t="shared" si="288"/>
        <v>6.2853936105470881E-2</v>
      </c>
      <c r="W421" s="25" t="s">
        <v>172</v>
      </c>
      <c r="X421" s="25" t="s">
        <v>42</v>
      </c>
      <c r="Y421" s="27" t="s">
        <v>43</v>
      </c>
      <c r="Z421" s="28"/>
      <c r="AA421" s="28"/>
      <c r="AB421" s="28"/>
      <c r="AC421" s="28"/>
      <c r="AD421" s="28"/>
      <c r="AE421" s="28"/>
      <c r="AF421" s="28"/>
      <c r="AG421" s="28"/>
      <c r="AH421" s="28"/>
      <c r="AI421" s="28"/>
      <c r="AJ421" s="28"/>
      <c r="AK421" s="28"/>
    </row>
    <row r="422" spans="1:37" ht="147" customHeight="1" x14ac:dyDescent="0.25">
      <c r="A422" s="13">
        <f t="shared" si="301"/>
        <v>3</v>
      </c>
      <c r="B422" s="675">
        <v>399</v>
      </c>
      <c r="C422" s="151">
        <v>404</v>
      </c>
      <c r="D422" s="181" t="s">
        <v>812</v>
      </c>
      <c r="E422" s="475" t="s">
        <v>813</v>
      </c>
      <c r="F422" s="32">
        <v>1</v>
      </c>
      <c r="G422" s="32" t="s">
        <v>24</v>
      </c>
      <c r="H422" s="33">
        <v>15</v>
      </c>
      <c r="I422" s="77" t="s">
        <v>809</v>
      </c>
      <c r="J422" s="43">
        <v>7800000</v>
      </c>
      <c r="K422" s="44">
        <f>+F422*J422*H422</f>
        <v>117000000</v>
      </c>
      <c r="L422" s="196">
        <v>8700000</v>
      </c>
      <c r="M422" s="196">
        <f>+L422*F422*H422</f>
        <v>130500000</v>
      </c>
      <c r="N422" s="196">
        <v>9200000</v>
      </c>
      <c r="O422" s="156">
        <f t="shared" si="300"/>
        <v>138000000</v>
      </c>
      <c r="P422" s="197">
        <f t="shared" si="290"/>
        <v>8566666.666666666</v>
      </c>
      <c r="Q422" s="197">
        <f>+P422*F422*H422</f>
        <v>128499999.99999999</v>
      </c>
      <c r="R422" s="197">
        <f t="shared" si="284"/>
        <v>579271.57323275891</v>
      </c>
      <c r="S422" s="198">
        <f t="shared" si="285"/>
        <v>6.7619249793707273E-2</v>
      </c>
      <c r="T422" s="197">
        <f t="shared" si="286"/>
        <v>8700000</v>
      </c>
      <c r="U422" s="68">
        <f>+T422*F422*H422</f>
        <v>130500000</v>
      </c>
      <c r="V422" s="69">
        <f t="shared" si="288"/>
        <v>6.6582939452041259E-2</v>
      </c>
      <c r="W422" s="89" t="s">
        <v>41</v>
      </c>
      <c r="X422" s="89" t="s">
        <v>42</v>
      </c>
      <c r="Y422" s="89" t="s">
        <v>43</v>
      </c>
      <c r="Z422" s="28"/>
      <c r="AA422" s="28"/>
      <c r="AB422" s="28"/>
      <c r="AC422" s="28"/>
      <c r="AD422" s="28"/>
      <c r="AE422" s="28"/>
      <c r="AF422" s="28"/>
      <c r="AG422" s="28"/>
      <c r="AH422" s="28"/>
      <c r="AI422" s="28"/>
      <c r="AJ422" s="28"/>
      <c r="AK422" s="28"/>
    </row>
    <row r="423" spans="1:37" s="303" customFormat="1" ht="111.6" customHeight="1" x14ac:dyDescent="0.25">
      <c r="A423" s="13">
        <f>+COUNT(J423,L423,N423)</f>
        <v>1</v>
      </c>
      <c r="B423" s="675">
        <v>400</v>
      </c>
      <c r="C423" s="151">
        <v>405</v>
      </c>
      <c r="D423" s="159" t="s">
        <v>375</v>
      </c>
      <c r="E423" s="81" t="s">
        <v>376</v>
      </c>
      <c r="F423" s="298">
        <v>1</v>
      </c>
      <c r="G423" s="299" t="s">
        <v>24</v>
      </c>
      <c r="H423" s="301">
        <v>1</v>
      </c>
      <c r="I423" s="166" t="s">
        <v>29</v>
      </c>
      <c r="J423" s="35">
        <v>80000000</v>
      </c>
      <c r="K423" s="35">
        <f>+J423*F423*H423</f>
        <v>80000000</v>
      </c>
      <c r="L423" s="35"/>
      <c r="M423" s="35"/>
      <c r="N423" s="35"/>
      <c r="O423" s="35"/>
      <c r="P423" s="163">
        <f>+AVERAGE(J423,L423,N423)</f>
        <v>80000000</v>
      </c>
      <c r="Q423" s="163">
        <f>+P423*H423*F423</f>
        <v>80000000</v>
      </c>
      <c r="R423" s="163">
        <f>+_xlfn.STDEV.P(J423,L423,N423)</f>
        <v>0</v>
      </c>
      <c r="S423" s="183">
        <f>+R423/P423</f>
        <v>0</v>
      </c>
      <c r="T423" s="163">
        <f>+MEDIAN(J423,L423,N423)</f>
        <v>80000000</v>
      </c>
      <c r="U423" s="163">
        <f>+T423*F423*H423</f>
        <v>80000000</v>
      </c>
      <c r="V423" s="183">
        <f>+R423/T423</f>
        <v>0</v>
      </c>
      <c r="W423" s="177"/>
      <c r="X423" s="166"/>
      <c r="Y423" s="81"/>
      <c r="Z423" s="179"/>
      <c r="AA423" s="179"/>
      <c r="AB423" s="179"/>
      <c r="AC423" s="179"/>
      <c r="AD423" s="179"/>
      <c r="AE423" s="179"/>
      <c r="AF423" s="179"/>
      <c r="AG423" s="179"/>
      <c r="AH423" s="179"/>
      <c r="AI423" s="179"/>
      <c r="AJ423" s="179"/>
      <c r="AK423" s="179"/>
    </row>
    <row r="424" spans="1:37" s="303" customFormat="1" ht="111.6" customHeight="1" x14ac:dyDescent="0.25">
      <c r="A424" s="13"/>
      <c r="B424" s="675">
        <v>401</v>
      </c>
      <c r="C424" s="151">
        <v>406</v>
      </c>
      <c r="D424" s="656" t="s">
        <v>1073</v>
      </c>
      <c r="E424" s="81" t="s">
        <v>1074</v>
      </c>
      <c r="F424" s="298">
        <v>1</v>
      </c>
      <c r="G424" s="299" t="s">
        <v>159</v>
      </c>
      <c r="H424" s="301"/>
      <c r="I424" s="166"/>
      <c r="J424" s="35">
        <v>90728720</v>
      </c>
      <c r="K424" s="35">
        <f>+J424*F424</f>
        <v>90728720</v>
      </c>
      <c r="L424" s="35"/>
      <c r="M424" s="35"/>
      <c r="N424" s="35"/>
      <c r="O424" s="35"/>
      <c r="P424" s="163">
        <f>+AVERAGE(J424,L424,N424)</f>
        <v>90728720</v>
      </c>
      <c r="Q424" s="163">
        <f>+P424*F424</f>
        <v>90728720</v>
      </c>
      <c r="R424" s="163">
        <f>+_xlfn.STDEV.P(J424,L424,N424)</f>
        <v>0</v>
      </c>
      <c r="S424" s="183">
        <f>+R424/P424</f>
        <v>0</v>
      </c>
      <c r="T424" s="163">
        <f>+MEDIAN(J424,L424,N424)</f>
        <v>90728720</v>
      </c>
      <c r="U424" s="163">
        <f>+T424*F424</f>
        <v>90728720</v>
      </c>
      <c r="V424" s="183">
        <f>+R424/T424</f>
        <v>0</v>
      </c>
      <c r="W424" s="597"/>
      <c r="X424" s="166"/>
      <c r="Y424" s="81"/>
      <c r="Z424" s="179"/>
      <c r="AA424" s="179"/>
      <c r="AB424" s="179"/>
      <c r="AC424" s="179"/>
      <c r="AD424" s="179"/>
      <c r="AE424" s="179"/>
      <c r="AF424" s="179"/>
      <c r="AG424" s="179"/>
      <c r="AH424" s="179"/>
      <c r="AI424" s="179"/>
      <c r="AJ424" s="179"/>
      <c r="AK424" s="179"/>
    </row>
    <row r="425" spans="1:37" ht="186" customHeight="1" x14ac:dyDescent="0.25">
      <c r="A425" s="13">
        <f t="shared" si="301"/>
        <v>3</v>
      </c>
      <c r="B425" s="675">
        <v>402</v>
      </c>
      <c r="C425" s="151">
        <v>407</v>
      </c>
      <c r="D425" s="181" t="s">
        <v>814</v>
      </c>
      <c r="E425" s="437" t="s">
        <v>815</v>
      </c>
      <c r="F425" s="33">
        <v>1</v>
      </c>
      <c r="G425" s="33" t="s">
        <v>24</v>
      </c>
      <c r="H425" s="254"/>
      <c r="I425" s="25"/>
      <c r="J425" s="228">
        <v>1052632</v>
      </c>
      <c r="K425" s="41">
        <f t="shared" ref="K425:K428" si="302">+J425*F425</f>
        <v>1052632</v>
      </c>
      <c r="L425" s="228">
        <v>1052632</v>
      </c>
      <c r="M425" s="41">
        <f t="shared" ref="M425:M428" si="303">+L425*F425</f>
        <v>1052632</v>
      </c>
      <c r="N425" s="228">
        <v>1052632</v>
      </c>
      <c r="O425" s="35">
        <f t="shared" ref="O425:O428" si="304">+N425*F425</f>
        <v>1052632</v>
      </c>
      <c r="P425" s="68">
        <f t="shared" si="290"/>
        <v>1052632</v>
      </c>
      <c r="Q425" s="175">
        <f t="shared" ref="Q425:Q428" si="305">+P425*F425</f>
        <v>1052632</v>
      </c>
      <c r="R425" s="209">
        <f t="shared" si="284"/>
        <v>0</v>
      </c>
      <c r="S425" s="210">
        <f t="shared" si="285"/>
        <v>0</v>
      </c>
      <c r="T425" s="209">
        <f t="shared" si="286"/>
        <v>1052632</v>
      </c>
      <c r="U425" s="163">
        <f t="shared" ref="U425:U428" si="306">+T425*F425</f>
        <v>1052632</v>
      </c>
      <c r="V425" s="69">
        <f t="shared" si="288"/>
        <v>0</v>
      </c>
      <c r="W425" s="25" t="s">
        <v>41</v>
      </c>
      <c r="X425" s="491" t="s">
        <v>42</v>
      </c>
      <c r="Y425" s="27" t="s">
        <v>43</v>
      </c>
      <c r="Z425" s="28"/>
      <c r="AA425" s="28"/>
      <c r="AB425" s="28"/>
      <c r="AC425" s="28"/>
      <c r="AD425" s="28"/>
      <c r="AE425" s="28"/>
      <c r="AF425" s="28"/>
      <c r="AG425" s="28"/>
      <c r="AH425" s="28"/>
      <c r="AI425" s="28"/>
      <c r="AJ425" s="28"/>
      <c r="AK425" s="28"/>
    </row>
    <row r="426" spans="1:37" ht="245.65" customHeight="1" x14ac:dyDescent="0.25">
      <c r="A426" s="13">
        <f t="shared" si="301"/>
        <v>3</v>
      </c>
      <c r="B426" s="675">
        <v>403</v>
      </c>
      <c r="C426" s="151">
        <v>408</v>
      </c>
      <c r="D426" s="181" t="s">
        <v>816</v>
      </c>
      <c r="E426" s="437" t="s">
        <v>817</v>
      </c>
      <c r="F426" s="33">
        <v>1</v>
      </c>
      <c r="G426" s="33" t="s">
        <v>24</v>
      </c>
      <c r="H426" s="254"/>
      <c r="I426" s="25"/>
      <c r="J426" s="228">
        <v>2105263</v>
      </c>
      <c r="K426" s="41">
        <f t="shared" si="302"/>
        <v>2105263</v>
      </c>
      <c r="L426" s="228">
        <v>2105263</v>
      </c>
      <c r="M426" s="41">
        <f t="shared" si="303"/>
        <v>2105263</v>
      </c>
      <c r="N426" s="228">
        <v>2105263</v>
      </c>
      <c r="O426" s="35">
        <f t="shared" si="304"/>
        <v>2105263</v>
      </c>
      <c r="P426" s="68">
        <f t="shared" si="290"/>
        <v>2105263</v>
      </c>
      <c r="Q426" s="163">
        <f t="shared" si="305"/>
        <v>2105263</v>
      </c>
      <c r="R426" s="68">
        <f t="shared" si="284"/>
        <v>0</v>
      </c>
      <c r="S426" s="69">
        <f t="shared" si="285"/>
        <v>0</v>
      </c>
      <c r="T426" s="68">
        <f t="shared" si="286"/>
        <v>2105263</v>
      </c>
      <c r="U426" s="163">
        <f t="shared" si="306"/>
        <v>2105263</v>
      </c>
      <c r="V426" s="69">
        <f t="shared" si="288"/>
        <v>0</v>
      </c>
      <c r="W426" s="25" t="s">
        <v>41</v>
      </c>
      <c r="X426" s="491" t="s">
        <v>42</v>
      </c>
      <c r="Y426" s="27" t="s">
        <v>43</v>
      </c>
      <c r="Z426" s="28"/>
      <c r="AA426" s="28"/>
      <c r="AB426" s="28"/>
      <c r="AC426" s="28"/>
      <c r="AD426" s="28"/>
      <c r="AE426" s="28"/>
      <c r="AF426" s="28"/>
      <c r="AG426" s="28"/>
      <c r="AH426" s="28"/>
      <c r="AI426" s="28"/>
      <c r="AJ426" s="28"/>
      <c r="AK426" s="28"/>
    </row>
    <row r="427" spans="1:37" ht="231.6" customHeight="1" x14ac:dyDescent="0.25">
      <c r="A427" s="13">
        <f t="shared" si="301"/>
        <v>3</v>
      </c>
      <c r="B427" s="675">
        <v>404</v>
      </c>
      <c r="C427" s="151">
        <v>409</v>
      </c>
      <c r="D427" s="181" t="s">
        <v>818</v>
      </c>
      <c r="E427" s="437" t="s">
        <v>819</v>
      </c>
      <c r="F427" s="33">
        <v>1</v>
      </c>
      <c r="G427" s="33" t="s">
        <v>24</v>
      </c>
      <c r="H427" s="254"/>
      <c r="I427" s="25"/>
      <c r="J427" s="228">
        <v>1052632</v>
      </c>
      <c r="K427" s="41">
        <f t="shared" si="302"/>
        <v>1052632</v>
      </c>
      <c r="L427" s="228">
        <v>1052632</v>
      </c>
      <c r="M427" s="41">
        <f t="shared" si="303"/>
        <v>1052632</v>
      </c>
      <c r="N427" s="228">
        <v>1052632</v>
      </c>
      <c r="O427" s="35">
        <f t="shared" si="304"/>
        <v>1052632</v>
      </c>
      <c r="P427" s="68">
        <f t="shared" si="290"/>
        <v>1052632</v>
      </c>
      <c r="Q427" s="163">
        <f t="shared" si="305"/>
        <v>1052632</v>
      </c>
      <c r="R427" s="68">
        <f t="shared" si="284"/>
        <v>0</v>
      </c>
      <c r="S427" s="69">
        <f t="shared" si="285"/>
        <v>0</v>
      </c>
      <c r="T427" s="68">
        <f t="shared" si="286"/>
        <v>1052632</v>
      </c>
      <c r="U427" s="163">
        <f t="shared" si="306"/>
        <v>1052632</v>
      </c>
      <c r="V427" s="69">
        <f t="shared" si="288"/>
        <v>0</v>
      </c>
      <c r="W427" s="25" t="s">
        <v>41</v>
      </c>
      <c r="X427" s="491" t="s">
        <v>42</v>
      </c>
      <c r="Y427" s="27" t="s">
        <v>43</v>
      </c>
      <c r="Z427" s="28"/>
      <c r="AA427" s="28"/>
      <c r="AB427" s="28"/>
      <c r="AC427" s="28"/>
      <c r="AD427" s="28"/>
      <c r="AE427" s="28"/>
      <c r="AF427" s="28"/>
      <c r="AG427" s="28"/>
      <c r="AH427" s="28"/>
      <c r="AI427" s="28"/>
      <c r="AJ427" s="28"/>
      <c r="AK427" s="28"/>
    </row>
    <row r="428" spans="1:37" ht="268.5" customHeight="1" x14ac:dyDescent="0.25">
      <c r="A428" s="13">
        <f t="shared" si="301"/>
        <v>3</v>
      </c>
      <c r="B428" s="675">
        <v>405</v>
      </c>
      <c r="C428" s="151">
        <v>410</v>
      </c>
      <c r="D428" s="181" t="s">
        <v>820</v>
      </c>
      <c r="E428" s="407" t="s">
        <v>821</v>
      </c>
      <c r="F428" s="32">
        <v>80</v>
      </c>
      <c r="G428" s="32" t="s">
        <v>24</v>
      </c>
      <c r="H428" s="33"/>
      <c r="I428" s="57"/>
      <c r="J428" s="657">
        <v>105263</v>
      </c>
      <c r="K428" s="217">
        <f t="shared" si="302"/>
        <v>8421040</v>
      </c>
      <c r="L428" s="657">
        <v>105263</v>
      </c>
      <c r="M428" s="217">
        <f t="shared" si="303"/>
        <v>8421040</v>
      </c>
      <c r="N428" s="657">
        <v>105263</v>
      </c>
      <c r="O428" s="107">
        <f t="shared" si="304"/>
        <v>8421040</v>
      </c>
      <c r="P428" s="209">
        <f t="shared" si="290"/>
        <v>105263</v>
      </c>
      <c r="Q428" s="163">
        <f t="shared" si="305"/>
        <v>8421040</v>
      </c>
      <c r="R428" s="68">
        <f t="shared" si="284"/>
        <v>0</v>
      </c>
      <c r="S428" s="69">
        <f t="shared" si="285"/>
        <v>0</v>
      </c>
      <c r="T428" s="68">
        <f t="shared" si="286"/>
        <v>105263</v>
      </c>
      <c r="U428" s="163">
        <f t="shared" si="306"/>
        <v>8421040</v>
      </c>
      <c r="V428" s="69">
        <f t="shared" si="288"/>
        <v>0</v>
      </c>
      <c r="W428" s="25" t="s">
        <v>41</v>
      </c>
      <c r="X428" s="491" t="s">
        <v>42</v>
      </c>
      <c r="Y428" s="27" t="s">
        <v>43</v>
      </c>
      <c r="Z428" s="28"/>
      <c r="AA428" s="28"/>
      <c r="AB428" s="28"/>
      <c r="AC428" s="28"/>
      <c r="AD428" s="28"/>
      <c r="AE428" s="28"/>
      <c r="AF428" s="28"/>
      <c r="AG428" s="28"/>
      <c r="AH428" s="28"/>
      <c r="AI428" s="28"/>
      <c r="AJ428" s="28"/>
      <c r="AK428" s="28"/>
    </row>
    <row r="429" spans="1:37" ht="31.5" customHeight="1" x14ac:dyDescent="0.25">
      <c r="A429" s="90">
        <f t="shared" si="301"/>
        <v>3</v>
      </c>
      <c r="B429" s="675">
        <v>406</v>
      </c>
      <c r="C429" s="151">
        <v>411</v>
      </c>
      <c r="D429" s="181" t="s">
        <v>822</v>
      </c>
      <c r="E429" s="152" t="s">
        <v>823</v>
      </c>
      <c r="F429" s="33">
        <v>15</v>
      </c>
      <c r="G429" s="33" t="s">
        <v>24</v>
      </c>
      <c r="H429" s="33">
        <v>8</v>
      </c>
      <c r="I429" s="33" t="s">
        <v>127</v>
      </c>
      <c r="J429" s="454">
        <f>+(428400*100)/119</f>
        <v>360000</v>
      </c>
      <c r="K429" s="344">
        <f t="shared" si="292"/>
        <v>43200000</v>
      </c>
      <c r="L429" s="41">
        <f>+(535500*100)/119</f>
        <v>450000</v>
      </c>
      <c r="M429" s="41">
        <f t="shared" ref="M429:M437" si="307">+L429*H429*F429</f>
        <v>54000000</v>
      </c>
      <c r="N429" s="41">
        <v>450000</v>
      </c>
      <c r="O429" s="41">
        <f t="shared" si="300"/>
        <v>54000000</v>
      </c>
      <c r="P429" s="68">
        <f t="shared" si="290"/>
        <v>420000</v>
      </c>
      <c r="Q429" s="68">
        <f t="shared" ref="Q429:Q437" si="308">+P429*H429*F429</f>
        <v>50400000</v>
      </c>
      <c r="R429" s="68">
        <f t="shared" si="284"/>
        <v>42426.406871192848</v>
      </c>
      <c r="S429" s="290">
        <f t="shared" si="285"/>
        <v>0.10101525445522107</v>
      </c>
      <c r="T429" s="68">
        <f t="shared" si="286"/>
        <v>450000</v>
      </c>
      <c r="U429" s="68">
        <f t="shared" ref="U429:U437" si="309">+T429*F429*H429</f>
        <v>54000000</v>
      </c>
      <c r="V429" s="290">
        <f t="shared" si="288"/>
        <v>9.4280904158206336E-2</v>
      </c>
      <c r="W429" s="340" t="s">
        <v>143</v>
      </c>
      <c r="X429" s="492" t="s">
        <v>144</v>
      </c>
      <c r="Y429" s="27" t="s">
        <v>41</v>
      </c>
      <c r="Z429" s="28"/>
      <c r="AA429" s="28"/>
      <c r="AB429" s="28"/>
      <c r="AC429" s="28"/>
      <c r="AD429" s="28"/>
      <c r="AE429" s="28"/>
      <c r="AF429" s="28"/>
      <c r="AG429" s="28"/>
      <c r="AH429" s="28"/>
      <c r="AI429" s="28"/>
      <c r="AJ429" s="28"/>
      <c r="AK429" s="28"/>
    </row>
    <row r="430" spans="1:37" ht="47.25" customHeight="1" x14ac:dyDescent="0.25">
      <c r="A430" s="13">
        <f t="shared" si="301"/>
        <v>3</v>
      </c>
      <c r="B430" s="675">
        <v>407</v>
      </c>
      <c r="C430" s="151">
        <v>412</v>
      </c>
      <c r="D430" s="181" t="s">
        <v>497</v>
      </c>
      <c r="E430" s="152" t="s">
        <v>824</v>
      </c>
      <c r="F430" s="32">
        <v>2</v>
      </c>
      <c r="G430" s="32" t="s">
        <v>24</v>
      </c>
      <c r="H430" s="33">
        <v>8</v>
      </c>
      <c r="I430" s="33" t="s">
        <v>127</v>
      </c>
      <c r="J430" s="493">
        <v>700000</v>
      </c>
      <c r="K430" s="344">
        <f t="shared" si="292"/>
        <v>11200000</v>
      </c>
      <c r="L430" s="494">
        <v>784000</v>
      </c>
      <c r="M430" s="41">
        <f t="shared" si="307"/>
        <v>12544000</v>
      </c>
      <c r="N430" s="494">
        <v>826000</v>
      </c>
      <c r="O430" s="41">
        <f t="shared" si="300"/>
        <v>13216000</v>
      </c>
      <c r="P430" s="68">
        <f t="shared" si="290"/>
        <v>770000</v>
      </c>
      <c r="Q430" s="68">
        <f t="shared" si="308"/>
        <v>12320000</v>
      </c>
      <c r="R430" s="68">
        <f t="shared" si="284"/>
        <v>52383.203414835181</v>
      </c>
      <c r="S430" s="69">
        <f t="shared" si="285"/>
        <v>6.8030134304980755E-2</v>
      </c>
      <c r="T430" s="68">
        <f t="shared" si="286"/>
        <v>784000</v>
      </c>
      <c r="U430" s="68">
        <f t="shared" si="309"/>
        <v>12544000</v>
      </c>
      <c r="V430" s="69">
        <f t="shared" si="288"/>
        <v>6.6815310478106099E-2</v>
      </c>
      <c r="W430" s="25" t="s">
        <v>172</v>
      </c>
      <c r="X430" s="25" t="s">
        <v>42</v>
      </c>
      <c r="Y430" s="27" t="s">
        <v>43</v>
      </c>
      <c r="Z430" s="28"/>
      <c r="AA430" s="28"/>
      <c r="AB430" s="28"/>
      <c r="AC430" s="28"/>
      <c r="AD430" s="28"/>
      <c r="AE430" s="28"/>
      <c r="AF430" s="28"/>
      <c r="AG430" s="28"/>
      <c r="AH430" s="28"/>
      <c r="AI430" s="28"/>
      <c r="AJ430" s="28"/>
      <c r="AK430" s="28"/>
    </row>
    <row r="431" spans="1:37" ht="31.5" customHeight="1" x14ac:dyDescent="0.25">
      <c r="A431" s="13">
        <f t="shared" si="301"/>
        <v>3</v>
      </c>
      <c r="B431" s="675">
        <v>408</v>
      </c>
      <c r="C431" s="151">
        <v>413</v>
      </c>
      <c r="D431" s="181" t="s">
        <v>287</v>
      </c>
      <c r="E431" s="152" t="s">
        <v>498</v>
      </c>
      <c r="F431" s="32">
        <v>300</v>
      </c>
      <c r="G431" s="32" t="s">
        <v>24</v>
      </c>
      <c r="H431" s="33">
        <v>8</v>
      </c>
      <c r="I431" s="33" t="s">
        <v>127</v>
      </c>
      <c r="J431" s="493">
        <f>+(2975*100)/119</f>
        <v>2500</v>
      </c>
      <c r="K431" s="344">
        <f t="shared" si="292"/>
        <v>6000000</v>
      </c>
      <c r="L431" s="495">
        <f>+(1700*100)/119</f>
        <v>1428.5714285714287</v>
      </c>
      <c r="M431" s="330">
        <f t="shared" si="307"/>
        <v>3428571.4285714286</v>
      </c>
      <c r="N431" s="495">
        <f>+(2142*100)/119</f>
        <v>1800</v>
      </c>
      <c r="O431" s="41">
        <f t="shared" si="300"/>
        <v>4320000</v>
      </c>
      <c r="P431" s="68">
        <f t="shared" si="290"/>
        <v>1909.5238095238094</v>
      </c>
      <c r="Q431" s="68">
        <f t="shared" si="308"/>
        <v>4582857.1428571427</v>
      </c>
      <c r="R431" s="68">
        <f t="shared" si="284"/>
        <v>444.21195733405148</v>
      </c>
      <c r="S431" s="69">
        <f t="shared" si="285"/>
        <v>0.23262970334202199</v>
      </c>
      <c r="T431" s="68">
        <f t="shared" si="286"/>
        <v>1800</v>
      </c>
      <c r="U431" s="68">
        <f t="shared" si="309"/>
        <v>4320000</v>
      </c>
      <c r="V431" s="69">
        <f t="shared" si="288"/>
        <v>0.24678442074113971</v>
      </c>
      <c r="W431" s="47" t="s">
        <v>251</v>
      </c>
      <c r="X431" s="47" t="s">
        <v>252</v>
      </c>
      <c r="Y431" s="48" t="s">
        <v>253</v>
      </c>
      <c r="Z431" s="28"/>
      <c r="AA431" s="28"/>
      <c r="AB431" s="28"/>
      <c r="AC431" s="28"/>
      <c r="AD431" s="28"/>
      <c r="AE431" s="28"/>
      <c r="AF431" s="28"/>
      <c r="AG431" s="28"/>
      <c r="AH431" s="28"/>
      <c r="AI431" s="28"/>
      <c r="AJ431" s="28"/>
      <c r="AK431" s="28"/>
    </row>
    <row r="432" spans="1:37" ht="47.25" customHeight="1" x14ac:dyDescent="0.25">
      <c r="A432" s="13">
        <f t="shared" si="301"/>
        <v>3</v>
      </c>
      <c r="B432" s="675">
        <v>409</v>
      </c>
      <c r="C432" s="151">
        <v>414</v>
      </c>
      <c r="D432" s="181" t="s">
        <v>207</v>
      </c>
      <c r="E432" s="31" t="s">
        <v>825</v>
      </c>
      <c r="F432" s="32">
        <v>400</v>
      </c>
      <c r="G432" s="32" t="s">
        <v>24</v>
      </c>
      <c r="H432" s="33">
        <v>8</v>
      </c>
      <c r="I432" s="33" t="s">
        <v>127</v>
      </c>
      <c r="J432" s="496">
        <f>+(17575*5.35%)+17574</f>
        <v>18514.262500000001</v>
      </c>
      <c r="K432" s="120">
        <f t="shared" si="292"/>
        <v>59245640</v>
      </c>
      <c r="L432" s="497">
        <f>+(17945*5.35%)+17945</f>
        <v>18905.057499999999</v>
      </c>
      <c r="M432" s="122">
        <f t="shared" si="307"/>
        <v>60496184</v>
      </c>
      <c r="N432" s="497">
        <f>+(19980*5.35%)+19980</f>
        <v>21048.93</v>
      </c>
      <c r="O432" s="41">
        <f t="shared" si="300"/>
        <v>67356576</v>
      </c>
      <c r="P432" s="68">
        <f t="shared" si="290"/>
        <v>19489.416666666668</v>
      </c>
      <c r="Q432" s="68">
        <f t="shared" si="308"/>
        <v>62366133.333333336</v>
      </c>
      <c r="R432" s="68">
        <f t="shared" si="284"/>
        <v>1114.2236641535317</v>
      </c>
      <c r="S432" s="69">
        <f t="shared" si="285"/>
        <v>5.717070362907381E-2</v>
      </c>
      <c r="T432" s="68">
        <f t="shared" si="286"/>
        <v>18905.057499999999</v>
      </c>
      <c r="U432" s="68">
        <f t="shared" si="309"/>
        <v>60496184</v>
      </c>
      <c r="V432" s="69">
        <f t="shared" si="288"/>
        <v>5.8937861688785224E-2</v>
      </c>
      <c r="W432" s="25" t="s">
        <v>315</v>
      </c>
      <c r="X432" s="25" t="s">
        <v>316</v>
      </c>
      <c r="Y432" s="27" t="s">
        <v>42</v>
      </c>
      <c r="Z432" s="28"/>
      <c r="AA432" s="28"/>
      <c r="AB432" s="28"/>
      <c r="AC432" s="28"/>
      <c r="AD432" s="28"/>
      <c r="AE432" s="28"/>
      <c r="AF432" s="28"/>
      <c r="AG432" s="28"/>
      <c r="AH432" s="28"/>
      <c r="AI432" s="28"/>
      <c r="AJ432" s="28"/>
      <c r="AK432" s="28"/>
    </row>
    <row r="433" spans="1:37" ht="31.5" customHeight="1" x14ac:dyDescent="0.25">
      <c r="A433" s="13">
        <f t="shared" si="301"/>
        <v>3</v>
      </c>
      <c r="B433" s="675">
        <v>410</v>
      </c>
      <c r="C433" s="151">
        <v>415</v>
      </c>
      <c r="D433" s="181" t="s">
        <v>200</v>
      </c>
      <c r="E433" s="152" t="s">
        <v>826</v>
      </c>
      <c r="F433" s="32">
        <v>100</v>
      </c>
      <c r="G433" s="32" t="s">
        <v>24</v>
      </c>
      <c r="H433" s="33">
        <v>8</v>
      </c>
      <c r="I433" s="33" t="s">
        <v>127</v>
      </c>
      <c r="J433" s="498">
        <f>+(1600*100)/119</f>
        <v>1344.5378151260504</v>
      </c>
      <c r="K433" s="344">
        <f t="shared" si="292"/>
        <v>1075630.2521008404</v>
      </c>
      <c r="L433" s="494">
        <f>+(2300*100)/119</f>
        <v>1932.7731092436975</v>
      </c>
      <c r="M433" s="41">
        <f t="shared" si="307"/>
        <v>1546218.487394958</v>
      </c>
      <c r="N433" s="499">
        <f>+(2100*100)/119</f>
        <v>1764.7058823529412</v>
      </c>
      <c r="O433" s="41">
        <f t="shared" si="300"/>
        <v>1411764.705882353</v>
      </c>
      <c r="P433" s="68">
        <f t="shared" si="290"/>
        <v>1680.6722689075632</v>
      </c>
      <c r="Q433" s="68">
        <f t="shared" si="308"/>
        <v>1344537.8151260505</v>
      </c>
      <c r="R433" s="68">
        <f t="shared" si="284"/>
        <v>247.38825956100246</v>
      </c>
      <c r="S433" s="69">
        <f t="shared" si="285"/>
        <v>0.14719601443879646</v>
      </c>
      <c r="T433" s="68">
        <f t="shared" si="286"/>
        <v>1764.7058823529412</v>
      </c>
      <c r="U433" s="68">
        <f t="shared" si="309"/>
        <v>1411764.705882353</v>
      </c>
      <c r="V433" s="69">
        <f t="shared" si="288"/>
        <v>0.14018668041790139</v>
      </c>
      <c r="W433" s="27" t="s">
        <v>384</v>
      </c>
      <c r="X433" s="27" t="s">
        <v>385</v>
      </c>
      <c r="Y433" s="27" t="s">
        <v>386</v>
      </c>
      <c r="Z433" s="28"/>
      <c r="AA433" s="28"/>
      <c r="AB433" s="28"/>
      <c r="AC433" s="28"/>
      <c r="AD433" s="28"/>
      <c r="AE433" s="28"/>
      <c r="AF433" s="28"/>
      <c r="AG433" s="28"/>
      <c r="AH433" s="28"/>
      <c r="AI433" s="28"/>
      <c r="AJ433" s="28"/>
      <c r="AK433" s="28"/>
    </row>
    <row r="434" spans="1:37" s="180" customFormat="1" ht="153" customHeight="1" x14ac:dyDescent="0.25">
      <c r="A434" s="13">
        <f t="shared" si="301"/>
        <v>1</v>
      </c>
      <c r="B434" s="675">
        <v>411</v>
      </c>
      <c r="C434" s="151">
        <v>416</v>
      </c>
      <c r="D434" s="673" t="s">
        <v>827</v>
      </c>
      <c r="E434" s="500" t="s">
        <v>828</v>
      </c>
      <c r="F434" s="51">
        <v>1</v>
      </c>
      <c r="G434" s="51" t="s">
        <v>24</v>
      </c>
      <c r="H434" s="52">
        <v>1</v>
      </c>
      <c r="I434" s="52" t="s">
        <v>159</v>
      </c>
      <c r="J434" s="672">
        <v>12000000</v>
      </c>
      <c r="K434" s="44">
        <f t="shared" si="292"/>
        <v>12000000</v>
      </c>
      <c r="L434" s="35"/>
      <c r="M434" s="35"/>
      <c r="N434" s="35"/>
      <c r="O434" s="35">
        <f t="shared" si="300"/>
        <v>0</v>
      </c>
      <c r="P434" s="163">
        <f t="shared" si="290"/>
        <v>12000000</v>
      </c>
      <c r="Q434" s="585">
        <f t="shared" si="308"/>
        <v>12000000</v>
      </c>
      <c r="R434" s="163">
        <f t="shared" si="284"/>
        <v>0</v>
      </c>
      <c r="S434" s="183">
        <f t="shared" si="285"/>
        <v>0</v>
      </c>
      <c r="T434" s="163">
        <f t="shared" si="286"/>
        <v>12000000</v>
      </c>
      <c r="U434" s="585">
        <f t="shared" si="309"/>
        <v>12000000</v>
      </c>
      <c r="V434" s="183">
        <f t="shared" si="288"/>
        <v>0</v>
      </c>
      <c r="W434" s="501" t="s">
        <v>143</v>
      </c>
      <c r="X434" s="81"/>
      <c r="Y434" s="81"/>
      <c r="Z434" s="179"/>
      <c r="AA434" s="179"/>
      <c r="AB434" s="179"/>
      <c r="AC434" s="179"/>
      <c r="AD434" s="179"/>
      <c r="AE434" s="179"/>
      <c r="AF434" s="179"/>
      <c r="AG434" s="179"/>
      <c r="AH434" s="179"/>
      <c r="AI434" s="179"/>
      <c r="AJ434" s="179"/>
      <c r="AK434" s="179"/>
    </row>
    <row r="435" spans="1:37" ht="101.1" customHeight="1" x14ac:dyDescent="0.25">
      <c r="A435" s="13">
        <f t="shared" si="301"/>
        <v>3</v>
      </c>
      <c r="B435" s="675">
        <v>412</v>
      </c>
      <c r="C435" s="151">
        <v>417</v>
      </c>
      <c r="D435" s="181" t="s">
        <v>502</v>
      </c>
      <c r="E435" s="152" t="s">
        <v>829</v>
      </c>
      <c r="F435" s="32">
        <v>200</v>
      </c>
      <c r="G435" s="32" t="s">
        <v>24</v>
      </c>
      <c r="H435" s="33">
        <v>1</v>
      </c>
      <c r="I435" s="254" t="s">
        <v>830</v>
      </c>
      <c r="J435" s="35">
        <f>+(9401*100)/119</f>
        <v>7900</v>
      </c>
      <c r="K435" s="35">
        <f t="shared" si="292"/>
        <v>1580000</v>
      </c>
      <c r="L435" s="502">
        <f>+(9000*5.35%)+9000</f>
        <v>9481.5</v>
      </c>
      <c r="M435" s="107">
        <f t="shared" si="307"/>
        <v>1896300</v>
      </c>
      <c r="N435" s="107">
        <f>+(11900*100)/119</f>
        <v>10000</v>
      </c>
      <c r="O435" s="41">
        <f t="shared" si="300"/>
        <v>2000000</v>
      </c>
      <c r="P435" s="68">
        <f t="shared" si="290"/>
        <v>9127.1666666666661</v>
      </c>
      <c r="Q435" s="68">
        <f t="shared" si="308"/>
        <v>1825433.3333333333</v>
      </c>
      <c r="R435" s="68">
        <f t="shared" si="284"/>
        <v>893.18310303965973</v>
      </c>
      <c r="S435" s="69">
        <f t="shared" si="285"/>
        <v>9.7859843657906953E-2</v>
      </c>
      <c r="T435" s="68">
        <f t="shared" si="286"/>
        <v>9481.5</v>
      </c>
      <c r="U435" s="68">
        <f t="shared" si="309"/>
        <v>1896300</v>
      </c>
      <c r="V435" s="69">
        <f t="shared" si="288"/>
        <v>9.420272140902386E-2</v>
      </c>
      <c r="W435" s="48" t="s">
        <v>446</v>
      </c>
      <c r="X435" s="48" t="s">
        <v>517</v>
      </c>
      <c r="Y435" s="48" t="s">
        <v>447</v>
      </c>
      <c r="Z435" s="28"/>
      <c r="AA435" s="28"/>
      <c r="AB435" s="28"/>
      <c r="AC435" s="28"/>
      <c r="AD435" s="28"/>
      <c r="AE435" s="28"/>
      <c r="AF435" s="28"/>
      <c r="AG435" s="28"/>
      <c r="AH435" s="28"/>
      <c r="AI435" s="28"/>
      <c r="AJ435" s="28"/>
      <c r="AK435" s="28"/>
    </row>
    <row r="436" spans="1:37" ht="267.75" customHeight="1" x14ac:dyDescent="0.25">
      <c r="A436" s="13">
        <f t="shared" si="301"/>
        <v>3</v>
      </c>
      <c r="B436" s="675">
        <v>413</v>
      </c>
      <c r="C436" s="151">
        <v>418</v>
      </c>
      <c r="D436" s="289" t="s">
        <v>604</v>
      </c>
      <c r="E436" s="117" t="s">
        <v>831</v>
      </c>
      <c r="F436" s="32">
        <v>4</v>
      </c>
      <c r="G436" s="32" t="s">
        <v>24</v>
      </c>
      <c r="H436" s="33">
        <v>8</v>
      </c>
      <c r="I436" s="33" t="s">
        <v>127</v>
      </c>
      <c r="J436" s="282">
        <f>+(513000*5.35%)+513000</f>
        <v>540445.5</v>
      </c>
      <c r="K436" s="40">
        <f t="shared" si="292"/>
        <v>17294256</v>
      </c>
      <c r="L436" s="282">
        <f>+(523800*5.35%)+523800</f>
        <v>551823.30000000005</v>
      </c>
      <c r="M436" s="35">
        <f t="shared" si="307"/>
        <v>17658345.600000001</v>
      </c>
      <c r="N436" s="282">
        <f>+(583200*5.35%)+583200</f>
        <v>614401.19999999995</v>
      </c>
      <c r="O436" s="41">
        <f t="shared" si="300"/>
        <v>19660838.399999999</v>
      </c>
      <c r="P436" s="68">
        <f t="shared" si="290"/>
        <v>568890</v>
      </c>
      <c r="Q436" s="68">
        <f t="shared" si="308"/>
        <v>18204480</v>
      </c>
      <c r="R436" s="68">
        <f t="shared" si="284"/>
        <v>32514.771794678156</v>
      </c>
      <c r="S436" s="69">
        <f t="shared" si="285"/>
        <v>5.7154760664940775E-2</v>
      </c>
      <c r="T436" s="68">
        <f t="shared" si="286"/>
        <v>551823.30000000005</v>
      </c>
      <c r="U436" s="68">
        <f t="shared" si="309"/>
        <v>17658345.600000001</v>
      </c>
      <c r="V436" s="69">
        <f t="shared" si="288"/>
        <v>5.8922433675196666E-2</v>
      </c>
      <c r="W436" s="78" t="s">
        <v>310</v>
      </c>
      <c r="X436" s="78" t="s">
        <v>311</v>
      </c>
      <c r="Y436" s="79" t="s">
        <v>42</v>
      </c>
      <c r="Z436" s="28" t="s">
        <v>205</v>
      </c>
      <c r="AA436" s="28" t="s">
        <v>206</v>
      </c>
      <c r="AB436" s="28"/>
      <c r="AC436" s="28"/>
      <c r="AD436" s="28"/>
      <c r="AE436" s="28"/>
      <c r="AF436" s="28"/>
      <c r="AG436" s="28"/>
      <c r="AH436" s="28"/>
      <c r="AI436" s="28"/>
      <c r="AJ436" s="28"/>
      <c r="AK436" s="28"/>
    </row>
    <row r="437" spans="1:37" ht="47.25" x14ac:dyDescent="0.25">
      <c r="A437" s="13">
        <f t="shared" si="301"/>
        <v>3</v>
      </c>
      <c r="B437" s="675">
        <v>414</v>
      </c>
      <c r="C437" s="151">
        <v>419</v>
      </c>
      <c r="D437" s="442" t="s">
        <v>708</v>
      </c>
      <c r="E437" s="152" t="s">
        <v>832</v>
      </c>
      <c r="F437" s="32">
        <v>1</v>
      </c>
      <c r="G437" s="32" t="s">
        <v>24</v>
      </c>
      <c r="H437" s="33">
        <v>8</v>
      </c>
      <c r="I437" s="33" t="s">
        <v>127</v>
      </c>
      <c r="J437" s="119">
        <f>+(1302521*5.35%)+1302521</f>
        <v>1372205.8735</v>
      </c>
      <c r="K437" s="40">
        <f t="shared" si="292"/>
        <v>10977646.988</v>
      </c>
      <c r="L437" s="121">
        <f>+(1260504*5.35%)+1260504</f>
        <v>1327940.9639999999</v>
      </c>
      <c r="M437" s="35">
        <f t="shared" si="307"/>
        <v>10623527.711999999</v>
      </c>
      <c r="N437" s="121">
        <f>+(1344538*5.35%)+1344538</f>
        <v>1416470.7830000001</v>
      </c>
      <c r="O437" s="41">
        <f t="shared" si="300"/>
        <v>11331766.264</v>
      </c>
      <c r="P437" s="68">
        <f t="shared" si="290"/>
        <v>1372205.8735</v>
      </c>
      <c r="Q437" s="68">
        <f t="shared" si="308"/>
        <v>10977646.988</v>
      </c>
      <c r="R437" s="68">
        <f t="shared" si="284"/>
        <v>36142.147261825274</v>
      </c>
      <c r="S437" s="69">
        <f t="shared" si="285"/>
        <v>2.6338720712249797E-2</v>
      </c>
      <c r="T437" s="68">
        <f t="shared" si="286"/>
        <v>1372205.8735</v>
      </c>
      <c r="U437" s="68">
        <f t="shared" si="309"/>
        <v>10977646.988</v>
      </c>
      <c r="V437" s="69">
        <f t="shared" si="288"/>
        <v>2.6338720712249797E-2</v>
      </c>
      <c r="W437" s="27" t="s">
        <v>180</v>
      </c>
      <c r="X437" s="27" t="s">
        <v>262</v>
      </c>
      <c r="Y437" s="27" t="s">
        <v>263</v>
      </c>
      <c r="Z437" s="237">
        <f>SUM(Q419:Q437)</f>
        <v>506222730.6126498</v>
      </c>
      <c r="AA437" s="237">
        <f>SUM(U419:U437)</f>
        <v>510160593.29388237</v>
      </c>
      <c r="AB437" s="28"/>
      <c r="AC437" s="28" t="s">
        <v>833</v>
      </c>
      <c r="AD437" s="28" t="s">
        <v>834</v>
      </c>
      <c r="AE437" s="28"/>
      <c r="AF437" s="28"/>
      <c r="AG437" s="28"/>
      <c r="AH437" s="28"/>
      <c r="AI437" s="28"/>
      <c r="AJ437" s="28"/>
      <c r="AK437" s="28"/>
    </row>
    <row r="438" spans="1:37" ht="97.5" customHeight="1" x14ac:dyDescent="0.25">
      <c r="A438" s="448"/>
      <c r="B438" s="448"/>
      <c r="C438" s="448"/>
      <c r="D438" s="693" t="s">
        <v>835</v>
      </c>
      <c r="E438" s="693"/>
      <c r="F438" s="693"/>
      <c r="G438" s="693"/>
      <c r="H438" s="693"/>
      <c r="I438" s="693"/>
      <c r="J438" s="448"/>
      <c r="K438" s="448"/>
      <c r="L438" s="448"/>
      <c r="M438" s="448"/>
      <c r="N438" s="448"/>
      <c r="O438" s="448"/>
      <c r="P438" s="448"/>
      <c r="Q438" s="448"/>
      <c r="R438" s="448"/>
      <c r="S438" s="448"/>
      <c r="T438" s="448"/>
      <c r="U438" s="448"/>
      <c r="V438" s="448"/>
      <c r="W438" s="448"/>
      <c r="X438" s="503"/>
      <c r="Y438" s="490"/>
      <c r="Z438" s="28"/>
      <c r="AA438" s="28"/>
      <c r="AB438" s="28"/>
      <c r="AC438" s="28"/>
      <c r="AD438" s="28"/>
      <c r="AE438" s="28"/>
      <c r="AF438" s="28"/>
      <c r="AG438" s="28"/>
      <c r="AH438" s="28"/>
      <c r="AI438" s="28"/>
      <c r="AJ438" s="28"/>
      <c r="AK438" s="28"/>
    </row>
    <row r="439" spans="1:37" ht="94.5" x14ac:dyDescent="0.25">
      <c r="A439" s="90">
        <f t="shared" si="301"/>
        <v>3</v>
      </c>
      <c r="B439" s="676">
        <v>415</v>
      </c>
      <c r="C439" s="38">
        <v>420</v>
      </c>
      <c r="D439" s="442" t="s">
        <v>836</v>
      </c>
      <c r="E439" s="152" t="s">
        <v>837</v>
      </c>
      <c r="F439" s="33">
        <v>10</v>
      </c>
      <c r="G439" s="33" t="s">
        <v>24</v>
      </c>
      <c r="H439" s="33"/>
      <c r="I439" s="33"/>
      <c r="J439" s="504">
        <f>+(199900*100)/119</f>
        <v>167983.19327731093</v>
      </c>
      <c r="K439" s="344">
        <f>+J439*F439</f>
        <v>1679831.9327731093</v>
      </c>
      <c r="L439" s="505">
        <f>+(199900*100)/119</f>
        <v>167983.19327731093</v>
      </c>
      <c r="M439" s="41">
        <f>+L439*F439</f>
        <v>1679831.9327731093</v>
      </c>
      <c r="N439" s="505">
        <f>+(149900*100)/119</f>
        <v>125966.38655462184</v>
      </c>
      <c r="O439" s="41">
        <f>+N439*F439</f>
        <v>1259663.8655462184</v>
      </c>
      <c r="P439" s="68">
        <f t="shared" si="290"/>
        <v>153977.59103641458</v>
      </c>
      <c r="Q439" s="68">
        <f t="shared" ref="Q439:Q493" si="310">+P439*F439</f>
        <v>1539775.9103641459</v>
      </c>
      <c r="R439" s="68">
        <f t="shared" si="284"/>
        <v>19806.91263827858</v>
      </c>
      <c r="S439" s="290">
        <f t="shared" si="285"/>
        <v>0.12863503387057398</v>
      </c>
      <c r="T439" s="68">
        <f t="shared" si="286"/>
        <v>167983.19327731093</v>
      </c>
      <c r="U439" s="68">
        <f t="shared" ref="U439:U493" si="311">+T439*F439</f>
        <v>1679831.9327731093</v>
      </c>
      <c r="V439" s="290">
        <f t="shared" si="288"/>
        <v>0.11791008524037773</v>
      </c>
      <c r="W439" s="340" t="s">
        <v>838</v>
      </c>
      <c r="X439" s="340" t="s">
        <v>839</v>
      </c>
      <c r="Y439" s="340" t="s">
        <v>840</v>
      </c>
      <c r="Z439" s="28"/>
      <c r="AA439" s="28"/>
      <c r="AB439" s="28"/>
      <c r="AC439" s="28"/>
      <c r="AD439" s="28"/>
      <c r="AE439" s="28"/>
      <c r="AF439" s="28"/>
      <c r="AG439" s="28"/>
      <c r="AH439" s="28"/>
      <c r="AI439" s="28"/>
      <c r="AJ439" s="28"/>
      <c r="AK439" s="28"/>
    </row>
    <row r="440" spans="1:37" ht="47.25" x14ac:dyDescent="0.25">
      <c r="A440" s="13">
        <f t="shared" si="301"/>
        <v>3</v>
      </c>
      <c r="B440" s="675">
        <v>416</v>
      </c>
      <c r="C440" s="506">
        <v>421</v>
      </c>
      <c r="D440" s="116" t="s">
        <v>841</v>
      </c>
      <c r="E440" s="117" t="s">
        <v>842</v>
      </c>
      <c r="F440" s="32">
        <v>3</v>
      </c>
      <c r="G440" s="32" t="s">
        <v>24</v>
      </c>
      <c r="H440" s="118"/>
      <c r="I440" s="118"/>
      <c r="J440" s="507">
        <f>+(25000*100)/119</f>
        <v>21008.403361344539</v>
      </c>
      <c r="K440" s="344">
        <f t="shared" ref="K440:K493" si="312">+J440*F440</f>
        <v>63025.210084033621</v>
      </c>
      <c r="L440" s="508">
        <f>+(40000*100)/119</f>
        <v>33613.445378151264</v>
      </c>
      <c r="M440" s="41">
        <f t="shared" ref="M440:M493" si="313">+L440*F440</f>
        <v>100840.3361344538</v>
      </c>
      <c r="N440" s="508">
        <f>+(38675*100)/119</f>
        <v>32500</v>
      </c>
      <c r="O440" s="41">
        <f>+N440*F440</f>
        <v>97500</v>
      </c>
      <c r="P440" s="68">
        <f t="shared" si="290"/>
        <v>29040.616246498601</v>
      </c>
      <c r="Q440" s="68">
        <f t="shared" si="310"/>
        <v>87121.848739495807</v>
      </c>
      <c r="R440" s="68">
        <f t="shared" si="284"/>
        <v>5697.7933171160039</v>
      </c>
      <c r="S440" s="69">
        <f t="shared" si="285"/>
        <v>0.19620084053150841</v>
      </c>
      <c r="T440" s="68">
        <f t="shared" si="286"/>
        <v>32500</v>
      </c>
      <c r="U440" s="68">
        <f t="shared" si="311"/>
        <v>97500</v>
      </c>
      <c r="V440" s="69">
        <f t="shared" si="288"/>
        <v>0.17531671744972319</v>
      </c>
      <c r="W440" s="127" t="s">
        <v>843</v>
      </c>
      <c r="X440" s="127" t="s">
        <v>844</v>
      </c>
      <c r="Y440" s="27" t="s">
        <v>845</v>
      </c>
      <c r="Z440" s="28"/>
      <c r="AA440" s="28"/>
      <c r="AB440" s="28"/>
      <c r="AC440" s="28"/>
      <c r="AD440" s="28"/>
      <c r="AE440" s="28"/>
      <c r="AF440" s="28"/>
      <c r="AG440" s="28"/>
      <c r="AH440" s="28"/>
      <c r="AI440" s="28"/>
      <c r="AJ440" s="28"/>
      <c r="AK440" s="28"/>
    </row>
    <row r="441" spans="1:37" ht="63" x14ac:dyDescent="0.25">
      <c r="A441" s="13">
        <f t="shared" si="301"/>
        <v>3</v>
      </c>
      <c r="B441" s="676">
        <v>417</v>
      </c>
      <c r="C441" s="38">
        <v>422</v>
      </c>
      <c r="D441" s="116" t="s">
        <v>846</v>
      </c>
      <c r="E441" s="117" t="s">
        <v>847</v>
      </c>
      <c r="F441" s="32">
        <v>1</v>
      </c>
      <c r="G441" s="32" t="s">
        <v>24</v>
      </c>
      <c r="H441" s="118"/>
      <c r="I441" s="118"/>
      <c r="J441" s="507">
        <f>+(573580*100)/119</f>
        <v>482000</v>
      </c>
      <c r="K441" s="64">
        <f t="shared" si="312"/>
        <v>482000</v>
      </c>
      <c r="L441" s="507">
        <f>+(489900*100)/119</f>
        <v>411680.67226890754</v>
      </c>
      <c r="M441" s="217">
        <f t="shared" si="313"/>
        <v>411680.67226890754</v>
      </c>
      <c r="N441" s="507">
        <f>+(535500*100)/119</f>
        <v>450000</v>
      </c>
      <c r="O441" s="41">
        <f t="shared" si="300"/>
        <v>0</v>
      </c>
      <c r="P441" s="68">
        <f t="shared" si="290"/>
        <v>447893.5574229692</v>
      </c>
      <c r="Q441" s="68">
        <f t="shared" si="310"/>
        <v>447893.5574229692</v>
      </c>
      <c r="R441" s="68">
        <f t="shared" si="284"/>
        <v>28746.359634870216</v>
      </c>
      <c r="S441" s="69">
        <f t="shared" si="285"/>
        <v>6.4181230469728623E-2</v>
      </c>
      <c r="T441" s="68">
        <f t="shared" si="286"/>
        <v>450000</v>
      </c>
      <c r="U441" s="68">
        <f t="shared" si="311"/>
        <v>450000</v>
      </c>
      <c r="V441" s="69">
        <f t="shared" si="288"/>
        <v>6.3880799188600484E-2</v>
      </c>
      <c r="W441" s="412" t="s">
        <v>848</v>
      </c>
      <c r="X441" s="509" t="s">
        <v>243</v>
      </c>
      <c r="Y441" s="255" t="s">
        <v>849</v>
      </c>
      <c r="Z441" s="28"/>
      <c r="AA441" s="28"/>
      <c r="AB441" s="28"/>
      <c r="AC441" s="28"/>
      <c r="AD441" s="28"/>
      <c r="AE441" s="28"/>
      <c r="AF441" s="28"/>
      <c r="AG441" s="28"/>
      <c r="AH441" s="28"/>
      <c r="AI441" s="28"/>
      <c r="AJ441" s="28"/>
      <c r="AK441" s="28"/>
    </row>
    <row r="442" spans="1:37" ht="94.5" x14ac:dyDescent="0.25">
      <c r="A442" s="13">
        <f t="shared" si="301"/>
        <v>3</v>
      </c>
      <c r="B442" s="675">
        <v>418</v>
      </c>
      <c r="C442" s="506">
        <v>423</v>
      </c>
      <c r="D442" s="116" t="s">
        <v>850</v>
      </c>
      <c r="E442" s="152" t="s">
        <v>851</v>
      </c>
      <c r="F442" s="32">
        <v>2</v>
      </c>
      <c r="G442" s="32" t="s">
        <v>24</v>
      </c>
      <c r="H442" s="118"/>
      <c r="I442" s="118"/>
      <c r="J442" s="507">
        <v>180000</v>
      </c>
      <c r="K442" s="64">
        <f t="shared" si="312"/>
        <v>360000</v>
      </c>
      <c r="L442" s="510">
        <v>202000</v>
      </c>
      <c r="M442" s="307">
        <f t="shared" si="313"/>
        <v>404000</v>
      </c>
      <c r="N442" s="510">
        <v>212000</v>
      </c>
      <c r="O442" s="41">
        <f>+N442*F442</f>
        <v>424000</v>
      </c>
      <c r="P442" s="68">
        <f t="shared" si="290"/>
        <v>198000</v>
      </c>
      <c r="Q442" s="68">
        <f t="shared" si="310"/>
        <v>396000</v>
      </c>
      <c r="R442" s="68">
        <f t="shared" si="284"/>
        <v>13366.62510384228</v>
      </c>
      <c r="S442" s="69">
        <f t="shared" si="285"/>
        <v>6.7508207595163031E-2</v>
      </c>
      <c r="T442" s="68">
        <f t="shared" si="286"/>
        <v>202000</v>
      </c>
      <c r="U442" s="68">
        <f t="shared" si="311"/>
        <v>404000</v>
      </c>
      <c r="V442" s="69">
        <f t="shared" si="288"/>
        <v>6.6171411405159794E-2</v>
      </c>
      <c r="W442" s="25" t="s">
        <v>172</v>
      </c>
      <c r="X442" s="25" t="s">
        <v>42</v>
      </c>
      <c r="Y442" s="27" t="s">
        <v>43</v>
      </c>
      <c r="Z442" s="28"/>
      <c r="AA442" s="28"/>
      <c r="AB442" s="28"/>
      <c r="AC442" s="28"/>
      <c r="AD442" s="28"/>
      <c r="AE442" s="28"/>
      <c r="AF442" s="28"/>
      <c r="AG442" s="28"/>
      <c r="AH442" s="28"/>
      <c r="AI442" s="28"/>
      <c r="AJ442" s="28"/>
      <c r="AK442" s="28"/>
    </row>
    <row r="443" spans="1:37" ht="189" x14ac:dyDescent="0.25">
      <c r="A443" s="90">
        <f t="shared" si="301"/>
        <v>3</v>
      </c>
      <c r="B443" s="676">
        <v>419</v>
      </c>
      <c r="C443" s="38">
        <v>424</v>
      </c>
      <c r="D443" s="350" t="s">
        <v>852</v>
      </c>
      <c r="E443" s="152" t="s">
        <v>853</v>
      </c>
      <c r="F443" s="33">
        <v>2</v>
      </c>
      <c r="G443" s="33" t="s">
        <v>24</v>
      </c>
      <c r="H443" s="33"/>
      <c r="I443" s="33"/>
      <c r="J443" s="504">
        <f>+(329900*100)/119</f>
        <v>277226.89075630251</v>
      </c>
      <c r="K443" s="344">
        <f t="shared" si="312"/>
        <v>554453.78151260503</v>
      </c>
      <c r="L443" s="505">
        <f>+(299900*100)/119</f>
        <v>252016.80672268907</v>
      </c>
      <c r="M443" s="41">
        <f t="shared" si="313"/>
        <v>504033.61344537814</v>
      </c>
      <c r="N443" s="505">
        <f>+(349900*100)/119</f>
        <v>294033.61344537814</v>
      </c>
      <c r="O443" s="41">
        <f>+N443*F443</f>
        <v>588067.22689075628</v>
      </c>
      <c r="P443" s="68">
        <f t="shared" si="290"/>
        <v>274425.77030812326</v>
      </c>
      <c r="Q443" s="68">
        <f t="shared" si="310"/>
        <v>548851.54061624652</v>
      </c>
      <c r="R443" s="68">
        <f t="shared" si="284"/>
        <v>17267.266114759037</v>
      </c>
      <c r="S443" s="290">
        <f t="shared" si="285"/>
        <v>6.2921445370715284E-2</v>
      </c>
      <c r="T443" s="68">
        <f t="shared" si="286"/>
        <v>277226.89075630251</v>
      </c>
      <c r="U443" s="68">
        <f t="shared" si="311"/>
        <v>554453.78151260503</v>
      </c>
      <c r="V443" s="290">
        <f t="shared" si="288"/>
        <v>6.2285682560058363E-2</v>
      </c>
      <c r="W443" s="340" t="s">
        <v>854</v>
      </c>
      <c r="X443" s="340" t="s">
        <v>855</v>
      </c>
      <c r="Y443" s="27" t="s">
        <v>839</v>
      </c>
      <c r="Z443" s="28"/>
      <c r="AA443" s="28"/>
      <c r="AB443" s="28"/>
      <c r="AC443" s="28"/>
      <c r="AD443" s="28"/>
      <c r="AE443" s="28"/>
      <c r="AF443" s="28"/>
      <c r="AG443" s="28"/>
      <c r="AH443" s="28"/>
      <c r="AI443" s="28"/>
      <c r="AJ443" s="28"/>
      <c r="AK443" s="28"/>
    </row>
    <row r="444" spans="1:37" ht="64.150000000000006" customHeight="1" x14ac:dyDescent="0.25">
      <c r="A444" s="13">
        <f t="shared" si="301"/>
        <v>3</v>
      </c>
      <c r="B444" s="675">
        <v>420</v>
      </c>
      <c r="C444" s="506">
        <v>425</v>
      </c>
      <c r="D444" s="116" t="s">
        <v>856</v>
      </c>
      <c r="E444" s="117" t="s">
        <v>857</v>
      </c>
      <c r="F444" s="32">
        <v>30</v>
      </c>
      <c r="G444" s="32" t="s">
        <v>24</v>
      </c>
      <c r="H444" s="118"/>
      <c r="I444" s="118"/>
      <c r="J444" s="34">
        <v>60000</v>
      </c>
      <c r="K444" s="40">
        <f t="shared" si="312"/>
        <v>1800000</v>
      </c>
      <c r="L444" s="43">
        <v>67000</v>
      </c>
      <c r="M444" s="35">
        <f t="shared" si="313"/>
        <v>2010000</v>
      </c>
      <c r="N444" s="43">
        <v>71000</v>
      </c>
      <c r="O444" s="41">
        <f>+N444*F444</f>
        <v>2130000</v>
      </c>
      <c r="P444" s="68">
        <f t="shared" si="290"/>
        <v>66000</v>
      </c>
      <c r="Q444" s="68">
        <f t="shared" si="310"/>
        <v>1980000</v>
      </c>
      <c r="R444" s="68">
        <f t="shared" si="284"/>
        <v>4546.0605656619518</v>
      </c>
      <c r="S444" s="69">
        <f t="shared" si="285"/>
        <v>6.8879705540332598E-2</v>
      </c>
      <c r="T444" s="68">
        <f t="shared" si="286"/>
        <v>67000</v>
      </c>
      <c r="U444" s="68">
        <f t="shared" si="311"/>
        <v>2010000</v>
      </c>
      <c r="V444" s="69">
        <f t="shared" si="288"/>
        <v>6.7851650233760469E-2</v>
      </c>
      <c r="W444" s="25" t="s">
        <v>172</v>
      </c>
      <c r="X444" s="25" t="s">
        <v>42</v>
      </c>
      <c r="Y444" s="27" t="s">
        <v>43</v>
      </c>
      <c r="Z444" s="28"/>
      <c r="AA444" s="28"/>
      <c r="AB444" s="28"/>
      <c r="AC444" s="28"/>
      <c r="AD444" s="28"/>
      <c r="AE444" s="28"/>
      <c r="AF444" s="28"/>
      <c r="AG444" s="28"/>
      <c r="AH444" s="28"/>
      <c r="AI444" s="28"/>
      <c r="AJ444" s="28"/>
      <c r="AK444" s="28"/>
    </row>
    <row r="445" spans="1:37" ht="63" x14ac:dyDescent="0.25">
      <c r="A445" s="13">
        <f t="shared" si="301"/>
        <v>3</v>
      </c>
      <c r="B445" s="676">
        <v>421</v>
      </c>
      <c r="C445" s="38">
        <v>426</v>
      </c>
      <c r="D445" s="116" t="s">
        <v>858</v>
      </c>
      <c r="E445" s="117" t="s">
        <v>859</v>
      </c>
      <c r="F445" s="32">
        <v>1</v>
      </c>
      <c r="G445" s="32" t="s">
        <v>24</v>
      </c>
      <c r="H445" s="118"/>
      <c r="I445" s="118"/>
      <c r="J445" s="511">
        <f>+(494921*100)/119</f>
        <v>415900</v>
      </c>
      <c r="K445" s="40">
        <f t="shared" si="312"/>
        <v>415900</v>
      </c>
      <c r="L445" s="512">
        <f>+(430000*100)/119</f>
        <v>361344.53781512607</v>
      </c>
      <c r="M445" s="35">
        <f t="shared" si="313"/>
        <v>361344.53781512607</v>
      </c>
      <c r="N445" s="512">
        <f>+(410000*100)/119</f>
        <v>344537.81512605044</v>
      </c>
      <c r="O445" s="41">
        <f t="shared" si="300"/>
        <v>0</v>
      </c>
      <c r="P445" s="68">
        <f t="shared" si="290"/>
        <v>373927.45098039223</v>
      </c>
      <c r="Q445" s="68">
        <f t="shared" si="310"/>
        <v>373927.45098039223</v>
      </c>
      <c r="R445" s="68">
        <f t="shared" si="284"/>
        <v>30461.862881198507</v>
      </c>
      <c r="S445" s="69">
        <f t="shared" si="285"/>
        <v>8.1464633851650134E-2</v>
      </c>
      <c r="T445" s="68">
        <f t="shared" si="286"/>
        <v>361344.53781512607</v>
      </c>
      <c r="U445" s="68">
        <f t="shared" si="311"/>
        <v>361344.53781512607</v>
      </c>
      <c r="V445" s="69">
        <f t="shared" si="288"/>
        <v>8.4301434485177254E-2</v>
      </c>
      <c r="W445" s="127" t="s">
        <v>860</v>
      </c>
      <c r="X445" s="127" t="s">
        <v>861</v>
      </c>
      <c r="Y445" s="127" t="s">
        <v>862</v>
      </c>
      <c r="Z445" s="28"/>
      <c r="AA445" s="28"/>
      <c r="AB445" s="28"/>
      <c r="AC445" s="28"/>
      <c r="AD445" s="28"/>
      <c r="AE445" s="28"/>
      <c r="AF445" s="28"/>
      <c r="AG445" s="28"/>
      <c r="AH445" s="28"/>
      <c r="AI445" s="28"/>
      <c r="AJ445" s="28"/>
      <c r="AK445" s="28"/>
    </row>
    <row r="446" spans="1:37" ht="63" x14ac:dyDescent="0.25">
      <c r="A446" s="13">
        <f t="shared" si="301"/>
        <v>3</v>
      </c>
      <c r="B446" s="675">
        <v>422</v>
      </c>
      <c r="C446" s="506">
        <v>427</v>
      </c>
      <c r="D446" s="116" t="s">
        <v>863</v>
      </c>
      <c r="E446" s="117" t="s">
        <v>864</v>
      </c>
      <c r="F446" s="32">
        <v>1</v>
      </c>
      <c r="G446" s="32" t="s">
        <v>24</v>
      </c>
      <c r="H446" s="118"/>
      <c r="I446" s="118"/>
      <c r="J446" s="511">
        <f>+(95200*100)/119</f>
        <v>80000</v>
      </c>
      <c r="K446" s="40">
        <f t="shared" si="312"/>
        <v>80000</v>
      </c>
      <c r="L446" s="512">
        <f>+(120000*100)/119</f>
        <v>100840.33613445378</v>
      </c>
      <c r="M446" s="35">
        <f t="shared" si="313"/>
        <v>100840.33613445378</v>
      </c>
      <c r="N446" s="512">
        <f>+(75000*100)/119</f>
        <v>63025.210084033613</v>
      </c>
      <c r="O446" s="41">
        <f t="shared" si="300"/>
        <v>0</v>
      </c>
      <c r="P446" s="68">
        <f t="shared" si="290"/>
        <v>81288.515406162463</v>
      </c>
      <c r="Q446" s="68">
        <f t="shared" si="310"/>
        <v>81288.515406162463</v>
      </c>
      <c r="R446" s="68">
        <f t="shared" si="284"/>
        <v>15464.823385482137</v>
      </c>
      <c r="S446" s="69">
        <f t="shared" si="285"/>
        <v>0.19024610436309866</v>
      </c>
      <c r="T446" s="68">
        <f t="shared" si="286"/>
        <v>80000</v>
      </c>
      <c r="U446" s="68">
        <f t="shared" si="311"/>
        <v>80000</v>
      </c>
      <c r="V446" s="69">
        <f t="shared" si="288"/>
        <v>0.19331029231852673</v>
      </c>
      <c r="W446" s="127" t="s">
        <v>860</v>
      </c>
      <c r="X446" s="127" t="s">
        <v>865</v>
      </c>
      <c r="Y446" s="127" t="s">
        <v>862</v>
      </c>
      <c r="Z446" s="28"/>
      <c r="AA446" s="28"/>
      <c r="AB446" s="28"/>
      <c r="AC446" s="28"/>
      <c r="AD446" s="28"/>
      <c r="AE446" s="28"/>
      <c r="AF446" s="28"/>
      <c r="AG446" s="28"/>
      <c r="AH446" s="28"/>
      <c r="AI446" s="28"/>
      <c r="AJ446" s="28"/>
      <c r="AK446" s="28"/>
    </row>
    <row r="447" spans="1:37" ht="147" customHeight="1" x14ac:dyDescent="0.25">
      <c r="A447" s="90">
        <f t="shared" si="301"/>
        <v>3</v>
      </c>
      <c r="B447" s="676">
        <v>423</v>
      </c>
      <c r="C447" s="38">
        <v>428</v>
      </c>
      <c r="D447" s="350" t="s">
        <v>866</v>
      </c>
      <c r="E447" s="152" t="s">
        <v>867</v>
      </c>
      <c r="F447" s="33">
        <v>1</v>
      </c>
      <c r="G447" s="33" t="s">
        <v>24</v>
      </c>
      <c r="H447" s="33"/>
      <c r="I447" s="33"/>
      <c r="J447" s="349">
        <v>1072028</v>
      </c>
      <c r="K447" s="344">
        <f t="shared" si="312"/>
        <v>1072028</v>
      </c>
      <c r="L447" s="349">
        <v>1041636</v>
      </c>
      <c r="M447" s="41">
        <f t="shared" si="313"/>
        <v>1041636</v>
      </c>
      <c r="N447" s="349">
        <v>950000</v>
      </c>
      <c r="O447" s="41">
        <f>+N447*F447</f>
        <v>950000</v>
      </c>
      <c r="P447" s="68">
        <f t="shared" si="290"/>
        <v>1021221.3333333334</v>
      </c>
      <c r="Q447" s="68">
        <f t="shared" si="310"/>
        <v>1021221.3333333334</v>
      </c>
      <c r="R447" s="68">
        <f t="shared" si="284"/>
        <v>51866.991155797303</v>
      </c>
      <c r="S447" s="290">
        <f t="shared" si="285"/>
        <v>5.0789177098856761E-2</v>
      </c>
      <c r="T447" s="68">
        <f t="shared" si="286"/>
        <v>1041636</v>
      </c>
      <c r="U447" s="68">
        <f t="shared" si="311"/>
        <v>1041636</v>
      </c>
      <c r="V447" s="290">
        <f t="shared" si="288"/>
        <v>4.9793777438373196E-2</v>
      </c>
      <c r="W447" s="513" t="s">
        <v>868</v>
      </c>
      <c r="X447" s="513" t="s">
        <v>868</v>
      </c>
      <c r="Y447" s="513" t="s">
        <v>65</v>
      </c>
      <c r="Z447" s="28"/>
      <c r="AA447" s="28"/>
      <c r="AB447" s="28"/>
      <c r="AC447" s="28"/>
      <c r="AD447" s="28"/>
      <c r="AE447" s="28"/>
      <c r="AF447" s="28"/>
      <c r="AG447" s="28"/>
      <c r="AH447" s="28"/>
      <c r="AI447" s="28"/>
      <c r="AJ447" s="28"/>
      <c r="AK447" s="28"/>
    </row>
    <row r="448" spans="1:37" ht="31.5" x14ac:dyDescent="0.25">
      <c r="A448" s="13">
        <f t="shared" si="301"/>
        <v>3</v>
      </c>
      <c r="B448" s="675">
        <v>424</v>
      </c>
      <c r="C448" s="506">
        <v>429</v>
      </c>
      <c r="D448" s="65" t="s">
        <v>869</v>
      </c>
      <c r="E448" s="281" t="s">
        <v>870</v>
      </c>
      <c r="F448" s="32">
        <v>15</v>
      </c>
      <c r="G448" s="32" t="s">
        <v>24</v>
      </c>
      <c r="H448" s="118"/>
      <c r="I448" s="118"/>
      <c r="J448" s="34">
        <f>+(8990*100)/119</f>
        <v>7554.6218487394954</v>
      </c>
      <c r="K448" s="40">
        <f t="shared" si="312"/>
        <v>113319.32773109243</v>
      </c>
      <c r="L448" s="35">
        <f>+(8990*100)/119</f>
        <v>7554.6218487394954</v>
      </c>
      <c r="M448" s="35">
        <f t="shared" si="313"/>
        <v>113319.32773109243</v>
      </c>
      <c r="N448" s="35">
        <f>+(7200*100)/119</f>
        <v>6050.4201680672268</v>
      </c>
      <c r="O448" s="41">
        <f t="shared" ref="O448:O454" si="314">+N448*F448</f>
        <v>90756.302521008402</v>
      </c>
      <c r="P448" s="68">
        <f t="shared" si="290"/>
        <v>7053.2212885154049</v>
      </c>
      <c r="Q448" s="68">
        <f t="shared" si="310"/>
        <v>105798.31932773108</v>
      </c>
      <c r="R448" s="68">
        <f t="shared" si="284"/>
        <v>709.08747245037546</v>
      </c>
      <c r="S448" s="69">
        <f t="shared" si="285"/>
        <v>0.10053384736488645</v>
      </c>
      <c r="T448" s="68">
        <f t="shared" si="286"/>
        <v>7554.6218487394954</v>
      </c>
      <c r="U448" s="68">
        <f t="shared" si="311"/>
        <v>113319.32773109243</v>
      </c>
      <c r="V448" s="69">
        <f t="shared" si="288"/>
        <v>9.3861411814899542E-2</v>
      </c>
      <c r="W448" s="127" t="s">
        <v>871</v>
      </c>
      <c r="X448" s="127" t="s">
        <v>872</v>
      </c>
      <c r="Y448" s="127" t="s">
        <v>873</v>
      </c>
      <c r="Z448" s="28"/>
      <c r="AA448" s="28"/>
      <c r="AB448" s="28"/>
      <c r="AC448" s="28"/>
      <c r="AD448" s="28"/>
      <c r="AE448" s="28"/>
      <c r="AF448" s="28"/>
      <c r="AG448" s="28"/>
      <c r="AH448" s="28"/>
      <c r="AI448" s="28"/>
      <c r="AJ448" s="28"/>
      <c r="AK448" s="28"/>
    </row>
    <row r="449" spans="1:37" ht="31.5" x14ac:dyDescent="0.25">
      <c r="A449" s="13">
        <f t="shared" si="301"/>
        <v>3</v>
      </c>
      <c r="B449" s="676">
        <v>425</v>
      </c>
      <c r="C449" s="38">
        <v>430</v>
      </c>
      <c r="D449" s="65" t="s">
        <v>874</v>
      </c>
      <c r="E449" s="281" t="s">
        <v>875</v>
      </c>
      <c r="F449" s="32">
        <v>15</v>
      </c>
      <c r="G449" s="32" t="s">
        <v>24</v>
      </c>
      <c r="H449" s="118"/>
      <c r="I449" s="118"/>
      <c r="J449" s="34">
        <f>+(9600*100)/119</f>
        <v>8067.226890756303</v>
      </c>
      <c r="K449" s="40">
        <f t="shared" si="312"/>
        <v>121008.40336134455</v>
      </c>
      <c r="L449" s="35">
        <f>+(9600*100)/119</f>
        <v>8067.226890756303</v>
      </c>
      <c r="M449" s="35">
        <f t="shared" si="313"/>
        <v>121008.40336134455</v>
      </c>
      <c r="N449" s="35">
        <f>+(6800*100)/119</f>
        <v>5714.2857142857147</v>
      </c>
      <c r="O449" s="41">
        <f t="shared" si="314"/>
        <v>85714.285714285725</v>
      </c>
      <c r="P449" s="68">
        <f t="shared" si="290"/>
        <v>7282.9131652661063</v>
      </c>
      <c r="Q449" s="68">
        <f t="shared" si="310"/>
        <v>109243.6974789916</v>
      </c>
      <c r="R449" s="68">
        <f t="shared" si="284"/>
        <v>1109.1871077436051</v>
      </c>
      <c r="S449" s="69">
        <f t="shared" si="285"/>
        <v>0.15229992210171808</v>
      </c>
      <c r="T449" s="68">
        <f t="shared" si="286"/>
        <v>8067.226890756303</v>
      </c>
      <c r="U449" s="68">
        <f t="shared" si="311"/>
        <v>121008.40336134455</v>
      </c>
      <c r="V449" s="69">
        <f t="shared" si="288"/>
        <v>0.13749298523071771</v>
      </c>
      <c r="W449" s="127" t="s">
        <v>876</v>
      </c>
      <c r="X449" s="127" t="s">
        <v>877</v>
      </c>
      <c r="Y449" s="127" t="s">
        <v>878</v>
      </c>
      <c r="Z449" s="28"/>
      <c r="AA449" s="28"/>
      <c r="AB449" s="28"/>
      <c r="AC449" s="28"/>
      <c r="AD449" s="28"/>
      <c r="AE449" s="28"/>
      <c r="AF449" s="28"/>
      <c r="AG449" s="28"/>
      <c r="AH449" s="28"/>
      <c r="AI449" s="28"/>
      <c r="AJ449" s="28"/>
      <c r="AK449" s="28"/>
    </row>
    <row r="450" spans="1:37" ht="31.5" x14ac:dyDescent="0.25">
      <c r="A450" s="13">
        <f t="shared" si="301"/>
        <v>3</v>
      </c>
      <c r="B450" s="675">
        <v>426</v>
      </c>
      <c r="C450" s="506">
        <v>431</v>
      </c>
      <c r="D450" s="65" t="s">
        <v>879</v>
      </c>
      <c r="E450" s="281" t="s">
        <v>880</v>
      </c>
      <c r="F450" s="32">
        <v>15</v>
      </c>
      <c r="G450" s="32" t="s">
        <v>24</v>
      </c>
      <c r="H450" s="118"/>
      <c r="I450" s="118"/>
      <c r="J450" s="34">
        <f>+(3500*100)/119</f>
        <v>2941.1764705882351</v>
      </c>
      <c r="K450" s="40">
        <f t="shared" si="312"/>
        <v>44117.647058823524</v>
      </c>
      <c r="L450" s="35">
        <f>+(3500*100)/119</f>
        <v>2941.1764705882351</v>
      </c>
      <c r="M450" s="35">
        <f t="shared" si="313"/>
        <v>44117.647058823524</v>
      </c>
      <c r="N450" s="35">
        <f>+(3800*100)/119</f>
        <v>3193.2773109243699</v>
      </c>
      <c r="O450" s="41">
        <f t="shared" si="314"/>
        <v>47899.159663865546</v>
      </c>
      <c r="P450" s="68">
        <f t="shared" si="290"/>
        <v>3025.2100840336134</v>
      </c>
      <c r="Q450" s="68">
        <f t="shared" si="310"/>
        <v>45378.151260504201</v>
      </c>
      <c r="R450" s="68">
        <f t="shared" si="284"/>
        <v>118.84147582967199</v>
      </c>
      <c r="S450" s="69">
        <f t="shared" si="285"/>
        <v>3.9283710065919353E-2</v>
      </c>
      <c r="T450" s="68">
        <f t="shared" si="286"/>
        <v>2941.1764705882351</v>
      </c>
      <c r="U450" s="68">
        <f t="shared" si="311"/>
        <v>44117.647058823524</v>
      </c>
      <c r="V450" s="69">
        <f t="shared" si="288"/>
        <v>4.0406101782088477E-2</v>
      </c>
      <c r="W450" s="127" t="s">
        <v>881</v>
      </c>
      <c r="X450" s="127" t="s">
        <v>882</v>
      </c>
      <c r="Y450" s="127" t="s">
        <v>883</v>
      </c>
      <c r="Z450" s="28"/>
      <c r="AA450" s="28"/>
      <c r="AB450" s="28"/>
      <c r="AC450" s="28"/>
      <c r="AD450" s="28"/>
      <c r="AE450" s="28"/>
      <c r="AF450" s="28"/>
      <c r="AG450" s="28"/>
      <c r="AH450" s="28"/>
      <c r="AI450" s="28"/>
      <c r="AJ450" s="28"/>
      <c r="AK450" s="28"/>
    </row>
    <row r="451" spans="1:37" ht="31.5" x14ac:dyDescent="0.25">
      <c r="A451" s="13">
        <f t="shared" si="301"/>
        <v>3</v>
      </c>
      <c r="B451" s="676">
        <v>427</v>
      </c>
      <c r="C451" s="38">
        <v>432</v>
      </c>
      <c r="D451" s="65" t="s">
        <v>884</v>
      </c>
      <c r="E451" s="281" t="s">
        <v>885</v>
      </c>
      <c r="F451" s="32">
        <v>15</v>
      </c>
      <c r="G451" s="32" t="s">
        <v>24</v>
      </c>
      <c r="H451" s="118"/>
      <c r="I451" s="118"/>
      <c r="J451" s="34">
        <v>22000</v>
      </c>
      <c r="K451" s="40">
        <f t="shared" si="312"/>
        <v>330000</v>
      </c>
      <c r="L451" s="35">
        <v>29000</v>
      </c>
      <c r="M451" s="35">
        <f t="shared" si="313"/>
        <v>435000</v>
      </c>
      <c r="N451" s="35">
        <v>31000</v>
      </c>
      <c r="O451" s="41">
        <f t="shared" si="314"/>
        <v>465000</v>
      </c>
      <c r="P451" s="68">
        <f t="shared" si="290"/>
        <v>27333.333333333332</v>
      </c>
      <c r="Q451" s="68">
        <f t="shared" si="310"/>
        <v>410000</v>
      </c>
      <c r="R451" s="68">
        <f t="shared" si="284"/>
        <v>3858.612300930075</v>
      </c>
      <c r="S451" s="69">
        <f t="shared" si="285"/>
        <v>0.14116874271695398</v>
      </c>
      <c r="T451" s="68">
        <f t="shared" si="286"/>
        <v>29000</v>
      </c>
      <c r="U451" s="68">
        <f t="shared" si="311"/>
        <v>435000</v>
      </c>
      <c r="V451" s="69">
        <f t="shared" si="288"/>
        <v>0.13305559658379568</v>
      </c>
      <c r="W451" s="127" t="s">
        <v>886</v>
      </c>
      <c r="X451" s="127" t="s">
        <v>887</v>
      </c>
      <c r="Y451" s="127" t="s">
        <v>244</v>
      </c>
      <c r="Z451" s="28"/>
      <c r="AA451" s="28"/>
      <c r="AB451" s="28"/>
      <c r="AC451" s="28"/>
      <c r="AD451" s="28"/>
      <c r="AE451" s="28"/>
      <c r="AF451" s="28"/>
      <c r="AG451" s="28"/>
      <c r="AH451" s="28"/>
      <c r="AI451" s="28"/>
      <c r="AJ451" s="28"/>
      <c r="AK451" s="28"/>
    </row>
    <row r="452" spans="1:37" ht="31.5" x14ac:dyDescent="0.25">
      <c r="A452" s="13">
        <f t="shared" si="301"/>
        <v>3</v>
      </c>
      <c r="B452" s="675">
        <v>428</v>
      </c>
      <c r="C452" s="506">
        <v>433</v>
      </c>
      <c r="D452" s="65" t="s">
        <v>888</v>
      </c>
      <c r="E452" s="281" t="s">
        <v>889</v>
      </c>
      <c r="F452" s="32">
        <v>15</v>
      </c>
      <c r="G452" s="32" t="s">
        <v>24</v>
      </c>
      <c r="H452" s="118"/>
      <c r="I452" s="118"/>
      <c r="J452" s="34">
        <f>+(2200*100)/119</f>
        <v>1848.7394957983192</v>
      </c>
      <c r="K452" s="40">
        <f t="shared" si="312"/>
        <v>27731.092436974788</v>
      </c>
      <c r="L452" s="35">
        <f>+(2200*100)/119</f>
        <v>1848.7394957983192</v>
      </c>
      <c r="M452" s="35">
        <f t="shared" si="313"/>
        <v>27731.092436974788</v>
      </c>
      <c r="N452" s="35">
        <f>+(3518*100)/119</f>
        <v>2956.3025210084033</v>
      </c>
      <c r="O452" s="41">
        <f t="shared" si="314"/>
        <v>44344.537815126052</v>
      </c>
      <c r="P452" s="68">
        <f t="shared" si="290"/>
        <v>2217.9271708683473</v>
      </c>
      <c r="Q452" s="68">
        <f t="shared" si="310"/>
        <v>33268.907563025212</v>
      </c>
      <c r="R452" s="68">
        <f t="shared" si="284"/>
        <v>522.11021714502442</v>
      </c>
      <c r="S452" s="69">
        <f t="shared" si="285"/>
        <v>0.23540458135990619</v>
      </c>
      <c r="T452" s="68">
        <f t="shared" si="286"/>
        <v>1848.7394957983192</v>
      </c>
      <c r="U452" s="68">
        <f t="shared" si="311"/>
        <v>27731.092436974788</v>
      </c>
      <c r="V452" s="69">
        <f t="shared" si="288"/>
        <v>0.28241416291026322</v>
      </c>
      <c r="W452" s="127" t="s">
        <v>172</v>
      </c>
      <c r="X452" s="127" t="s">
        <v>42</v>
      </c>
      <c r="Y452" s="127" t="s">
        <v>43</v>
      </c>
      <c r="Z452" s="28"/>
      <c r="AA452" s="28"/>
      <c r="AB452" s="28"/>
      <c r="AC452" s="28"/>
      <c r="AD452" s="28"/>
      <c r="AE452" s="28"/>
      <c r="AF452" s="28"/>
      <c r="AG452" s="28"/>
      <c r="AH452" s="28"/>
      <c r="AI452" s="28"/>
      <c r="AJ452" s="28"/>
      <c r="AK452" s="28"/>
    </row>
    <row r="453" spans="1:37" ht="31.5" x14ac:dyDescent="0.25">
      <c r="A453" s="13">
        <f t="shared" si="301"/>
        <v>3</v>
      </c>
      <c r="B453" s="676">
        <v>429</v>
      </c>
      <c r="C453" s="38">
        <v>434</v>
      </c>
      <c r="D453" s="65" t="s">
        <v>890</v>
      </c>
      <c r="E453" s="281" t="s">
        <v>891</v>
      </c>
      <c r="F453" s="66">
        <v>15</v>
      </c>
      <c r="G453" s="32" t="s">
        <v>24</v>
      </c>
      <c r="H453" s="118"/>
      <c r="I453" s="118"/>
      <c r="J453" s="34">
        <f>+(6900*100)/119</f>
        <v>5798.319327731092</v>
      </c>
      <c r="K453" s="40">
        <f t="shared" si="312"/>
        <v>86974.789915966379</v>
      </c>
      <c r="L453" s="35">
        <f>+(6900*100)/119</f>
        <v>5798.319327731092</v>
      </c>
      <c r="M453" s="35">
        <f t="shared" si="313"/>
        <v>86974.789915966379</v>
      </c>
      <c r="N453" s="35">
        <f>+(7500*100)/119</f>
        <v>6302.5210084033615</v>
      </c>
      <c r="O453" s="41">
        <f t="shared" si="314"/>
        <v>94537.815126050424</v>
      </c>
      <c r="P453" s="68">
        <f t="shared" si="290"/>
        <v>5966.3865546218485</v>
      </c>
      <c r="Q453" s="68">
        <f t="shared" si="310"/>
        <v>89495.798319327732</v>
      </c>
      <c r="R453" s="68">
        <f t="shared" si="284"/>
        <v>237.68295165934398</v>
      </c>
      <c r="S453" s="69">
        <f t="shared" si="285"/>
        <v>3.9837001756988642E-2</v>
      </c>
      <c r="T453" s="68">
        <f t="shared" si="286"/>
        <v>5798.319327731092</v>
      </c>
      <c r="U453" s="68">
        <f t="shared" si="311"/>
        <v>86974.789915966379</v>
      </c>
      <c r="V453" s="69">
        <f t="shared" si="288"/>
        <v>4.0991697460089765E-2</v>
      </c>
      <c r="W453" s="127" t="s">
        <v>243</v>
      </c>
      <c r="X453" s="127" t="s">
        <v>892</v>
      </c>
      <c r="Y453" s="127" t="s">
        <v>893</v>
      </c>
      <c r="Z453" s="28"/>
      <c r="AA453" s="28"/>
      <c r="AB453" s="28"/>
      <c r="AC453" s="28"/>
      <c r="AD453" s="28"/>
      <c r="AE453" s="28"/>
      <c r="AF453" s="28"/>
      <c r="AG453" s="28"/>
      <c r="AH453" s="28"/>
      <c r="AI453" s="28"/>
      <c r="AJ453" s="28"/>
      <c r="AK453" s="28"/>
    </row>
    <row r="454" spans="1:37" ht="31.5" x14ac:dyDescent="0.25">
      <c r="A454" s="13">
        <f t="shared" si="301"/>
        <v>3</v>
      </c>
      <c r="B454" s="675">
        <v>430</v>
      </c>
      <c r="C454" s="506">
        <v>435</v>
      </c>
      <c r="D454" s="285" t="s">
        <v>894</v>
      </c>
      <c r="E454" s="514" t="s">
        <v>895</v>
      </c>
      <c r="F454" s="66">
        <v>15</v>
      </c>
      <c r="G454" s="32" t="s">
        <v>24</v>
      </c>
      <c r="H454" s="118"/>
      <c r="I454" s="118"/>
      <c r="J454" s="80">
        <v>12942</v>
      </c>
      <c r="K454" s="40">
        <f t="shared" si="312"/>
        <v>194130</v>
      </c>
      <c r="L454" s="80">
        <v>8824</v>
      </c>
      <c r="M454" s="35">
        <f t="shared" si="313"/>
        <v>132360</v>
      </c>
      <c r="N454" s="80">
        <v>18992</v>
      </c>
      <c r="O454" s="41">
        <f t="shared" si="314"/>
        <v>284880</v>
      </c>
      <c r="P454" s="68">
        <f t="shared" si="290"/>
        <v>13586</v>
      </c>
      <c r="Q454" s="68">
        <f t="shared" si="310"/>
        <v>203790</v>
      </c>
      <c r="R454" s="68">
        <f t="shared" si="284"/>
        <v>4175.9715835559355</v>
      </c>
      <c r="S454" s="69">
        <f t="shared" si="285"/>
        <v>0.30737314761930923</v>
      </c>
      <c r="T454" s="68">
        <f t="shared" si="286"/>
        <v>12942</v>
      </c>
      <c r="U454" s="68">
        <f t="shared" si="311"/>
        <v>194130</v>
      </c>
      <c r="V454" s="69">
        <f t="shared" si="288"/>
        <v>0.32266817984515034</v>
      </c>
      <c r="W454" s="515" t="s">
        <v>896</v>
      </c>
      <c r="X454" s="515" t="s">
        <v>897</v>
      </c>
      <c r="Y454" s="515" t="s">
        <v>898</v>
      </c>
      <c r="Z454" s="28"/>
      <c r="AA454" s="28"/>
      <c r="AB454" s="28"/>
      <c r="AC454" s="28"/>
      <c r="AD454" s="28"/>
      <c r="AE454" s="28"/>
      <c r="AF454" s="28"/>
      <c r="AG454" s="28"/>
      <c r="AH454" s="28"/>
      <c r="AI454" s="28"/>
      <c r="AJ454" s="28"/>
      <c r="AK454" s="28"/>
    </row>
    <row r="455" spans="1:37" ht="31.5" x14ac:dyDescent="0.25">
      <c r="A455" s="13">
        <f t="shared" si="301"/>
        <v>3</v>
      </c>
      <c r="B455" s="676">
        <v>431</v>
      </c>
      <c r="C455" s="38">
        <v>436</v>
      </c>
      <c r="D455" s="65" t="s">
        <v>899</v>
      </c>
      <c r="E455" s="281" t="s">
        <v>900</v>
      </c>
      <c r="F455" s="66">
        <v>15</v>
      </c>
      <c r="G455" s="32" t="s">
        <v>24</v>
      </c>
      <c r="H455" s="118"/>
      <c r="I455" s="118"/>
      <c r="J455" s="80">
        <v>20168</v>
      </c>
      <c r="K455" s="40">
        <f t="shared" si="312"/>
        <v>302520</v>
      </c>
      <c r="L455" s="83">
        <v>21681</v>
      </c>
      <c r="M455" s="35">
        <f t="shared" si="313"/>
        <v>325215</v>
      </c>
      <c r="N455" s="80">
        <v>16723</v>
      </c>
      <c r="O455" s="41">
        <f>+N455*F455</f>
        <v>250845</v>
      </c>
      <c r="P455" s="68">
        <f t="shared" si="290"/>
        <v>19524</v>
      </c>
      <c r="Q455" s="68">
        <f t="shared" si="310"/>
        <v>292860</v>
      </c>
      <c r="R455" s="68">
        <f t="shared" si="284"/>
        <v>2074.6876070065746</v>
      </c>
      <c r="S455" s="69">
        <f t="shared" si="285"/>
        <v>0.10626345047155165</v>
      </c>
      <c r="T455" s="68">
        <f t="shared" si="286"/>
        <v>20168</v>
      </c>
      <c r="U455" s="68">
        <f t="shared" si="311"/>
        <v>302520</v>
      </c>
      <c r="V455" s="69">
        <f t="shared" si="288"/>
        <v>0.10287027008164293</v>
      </c>
      <c r="W455" s="411" t="s">
        <v>901</v>
      </c>
      <c r="X455" s="411" t="s">
        <v>902</v>
      </c>
      <c r="Y455" s="515" t="s">
        <v>886</v>
      </c>
      <c r="Z455" s="28"/>
      <c r="AA455" s="28"/>
      <c r="AB455" s="28"/>
      <c r="AC455" s="28"/>
      <c r="AD455" s="28"/>
      <c r="AE455" s="28"/>
      <c r="AF455" s="28"/>
      <c r="AG455" s="28"/>
      <c r="AH455" s="28"/>
      <c r="AI455" s="28"/>
      <c r="AJ455" s="28"/>
      <c r="AK455" s="28"/>
    </row>
    <row r="456" spans="1:37" ht="31.5" x14ac:dyDescent="0.25">
      <c r="A456" s="13">
        <f t="shared" si="301"/>
        <v>3</v>
      </c>
      <c r="B456" s="675">
        <v>432</v>
      </c>
      <c r="C456" s="506">
        <v>437</v>
      </c>
      <c r="D456" s="65" t="s">
        <v>903</v>
      </c>
      <c r="E456" s="281" t="s">
        <v>904</v>
      </c>
      <c r="F456" s="66">
        <v>15</v>
      </c>
      <c r="G456" s="32" t="s">
        <v>24</v>
      </c>
      <c r="H456" s="118"/>
      <c r="I456" s="118"/>
      <c r="J456" s="80">
        <v>9995</v>
      </c>
      <c r="K456" s="40">
        <f t="shared" si="312"/>
        <v>149925</v>
      </c>
      <c r="L456" s="83">
        <v>8319</v>
      </c>
      <c r="M456" s="35">
        <f t="shared" si="313"/>
        <v>124785</v>
      </c>
      <c r="N456" s="83">
        <v>10000</v>
      </c>
      <c r="O456" s="41">
        <f t="shared" ref="O456:O463" si="315">+N456*F456</f>
        <v>150000</v>
      </c>
      <c r="P456" s="68">
        <f t="shared" si="290"/>
        <v>9438</v>
      </c>
      <c r="Q456" s="68">
        <f t="shared" si="310"/>
        <v>141570</v>
      </c>
      <c r="R456" s="68">
        <f t="shared" si="284"/>
        <v>791.25512109980468</v>
      </c>
      <c r="S456" s="69">
        <f t="shared" si="285"/>
        <v>8.3837160531871652E-2</v>
      </c>
      <c r="T456" s="68">
        <f t="shared" si="286"/>
        <v>9995</v>
      </c>
      <c r="U456" s="68">
        <f t="shared" si="311"/>
        <v>149925</v>
      </c>
      <c r="V456" s="69">
        <f t="shared" si="288"/>
        <v>7.9165094657309129E-2</v>
      </c>
      <c r="W456" s="411" t="s">
        <v>905</v>
      </c>
      <c r="X456" s="411" t="s">
        <v>906</v>
      </c>
      <c r="Y456" s="411" t="s">
        <v>907</v>
      </c>
      <c r="Z456" s="28"/>
      <c r="AA456" s="28"/>
      <c r="AB456" s="28"/>
      <c r="AC456" s="28"/>
      <c r="AD456" s="28"/>
      <c r="AE456" s="28"/>
      <c r="AF456" s="28"/>
      <c r="AG456" s="28"/>
      <c r="AH456" s="28"/>
      <c r="AI456" s="28"/>
      <c r="AJ456" s="28"/>
      <c r="AK456" s="28"/>
    </row>
    <row r="457" spans="1:37" ht="15.75" x14ac:dyDescent="0.25">
      <c r="A457" s="13">
        <f t="shared" si="301"/>
        <v>3</v>
      </c>
      <c r="B457" s="676">
        <v>433</v>
      </c>
      <c r="C457" s="38">
        <v>438</v>
      </c>
      <c r="D457" s="65" t="s">
        <v>908</v>
      </c>
      <c r="E457" s="281" t="s">
        <v>909</v>
      </c>
      <c r="F457" s="66">
        <v>5</v>
      </c>
      <c r="G457" s="32" t="s">
        <v>24</v>
      </c>
      <c r="H457" s="118"/>
      <c r="I457" s="118"/>
      <c r="J457" s="80">
        <v>58739</v>
      </c>
      <c r="K457" s="40">
        <f t="shared" si="312"/>
        <v>293695</v>
      </c>
      <c r="L457" s="83">
        <v>58739</v>
      </c>
      <c r="M457" s="35">
        <f t="shared" si="313"/>
        <v>293695</v>
      </c>
      <c r="N457" s="83">
        <v>54118</v>
      </c>
      <c r="O457" s="41">
        <f t="shared" si="315"/>
        <v>270590</v>
      </c>
      <c r="P457" s="68">
        <f t="shared" si="290"/>
        <v>57198.666666666664</v>
      </c>
      <c r="Q457" s="68">
        <f t="shared" si="310"/>
        <v>285993.33333333331</v>
      </c>
      <c r="R457" s="68">
        <f t="shared" si="284"/>
        <v>2178.3602905753573</v>
      </c>
      <c r="S457" s="69">
        <f t="shared" si="285"/>
        <v>3.8084109604688179E-2</v>
      </c>
      <c r="T457" s="68">
        <f t="shared" si="286"/>
        <v>58739</v>
      </c>
      <c r="U457" s="68">
        <f t="shared" si="311"/>
        <v>293695</v>
      </c>
      <c r="V457" s="69">
        <f t="shared" si="288"/>
        <v>3.7085416683555347E-2</v>
      </c>
      <c r="W457" s="411" t="s">
        <v>243</v>
      </c>
      <c r="X457" s="411" t="s">
        <v>244</v>
      </c>
      <c r="Y457" s="411" t="s">
        <v>910</v>
      </c>
      <c r="Z457" s="28"/>
      <c r="AA457" s="28"/>
      <c r="AB457" s="28"/>
      <c r="AC457" s="28"/>
      <c r="AD457" s="28"/>
      <c r="AE457" s="28"/>
      <c r="AF457" s="28"/>
      <c r="AG457" s="28"/>
      <c r="AH457" s="28"/>
      <c r="AI457" s="28"/>
      <c r="AJ457" s="28"/>
      <c r="AK457" s="28"/>
    </row>
    <row r="458" spans="1:37" ht="31.5" x14ac:dyDescent="0.25">
      <c r="A458" s="13">
        <f t="shared" si="301"/>
        <v>3</v>
      </c>
      <c r="B458" s="675">
        <v>434</v>
      </c>
      <c r="C458" s="506">
        <v>439</v>
      </c>
      <c r="D458" s="65" t="s">
        <v>911</v>
      </c>
      <c r="E458" s="281" t="s">
        <v>912</v>
      </c>
      <c r="F458" s="66">
        <v>5</v>
      </c>
      <c r="G458" s="32" t="s">
        <v>24</v>
      </c>
      <c r="H458" s="118"/>
      <c r="I458" s="118"/>
      <c r="J458" s="80">
        <v>34370</v>
      </c>
      <c r="K458" s="40">
        <f t="shared" si="312"/>
        <v>171850</v>
      </c>
      <c r="L458" s="80">
        <v>33361</v>
      </c>
      <c r="M458" s="35">
        <f t="shared" si="313"/>
        <v>166805</v>
      </c>
      <c r="N458" s="83">
        <v>25093</v>
      </c>
      <c r="O458" s="41">
        <f t="shared" si="315"/>
        <v>125465</v>
      </c>
      <c r="P458" s="68">
        <f t="shared" si="290"/>
        <v>30941.333333333332</v>
      </c>
      <c r="Q458" s="68">
        <f t="shared" si="310"/>
        <v>154706.66666666666</v>
      </c>
      <c r="R458" s="68">
        <f t="shared" ref="R458:R493" si="316">+_xlfn.STDEV.P(J458,L458,N458)</f>
        <v>4155.8611087902773</v>
      </c>
      <c r="S458" s="69">
        <f t="shared" ref="S458:S493" si="317">+R458/P458</f>
        <v>0.13431422182162839</v>
      </c>
      <c r="T458" s="68">
        <f t="shared" ref="T458:T493" si="318">+MEDIAN(J458,L458,N458)</f>
        <v>33361</v>
      </c>
      <c r="U458" s="68">
        <f t="shared" si="311"/>
        <v>166805</v>
      </c>
      <c r="V458" s="69">
        <f t="shared" ref="V458:V493" si="319">+R458/T458</f>
        <v>0.12457243814005207</v>
      </c>
      <c r="W458" s="411" t="s">
        <v>913</v>
      </c>
      <c r="X458" s="411" t="s">
        <v>886</v>
      </c>
      <c r="Y458" s="411" t="s">
        <v>914</v>
      </c>
      <c r="Z458" s="28"/>
      <c r="AA458" s="28"/>
      <c r="AB458" s="28"/>
      <c r="AC458" s="28"/>
      <c r="AD458" s="28"/>
      <c r="AE458" s="28"/>
      <c r="AF458" s="28"/>
      <c r="AG458" s="28"/>
      <c r="AH458" s="28"/>
      <c r="AI458" s="28"/>
      <c r="AJ458" s="28"/>
      <c r="AK458" s="28"/>
    </row>
    <row r="459" spans="1:37" ht="15.75" x14ac:dyDescent="0.25">
      <c r="A459" s="13">
        <f t="shared" si="301"/>
        <v>3</v>
      </c>
      <c r="B459" s="676">
        <v>435</v>
      </c>
      <c r="C459" s="38">
        <v>440</v>
      </c>
      <c r="D459" s="65" t="s">
        <v>915</v>
      </c>
      <c r="E459" s="281" t="s">
        <v>916</v>
      </c>
      <c r="F459" s="66">
        <v>15</v>
      </c>
      <c r="G459" s="32" t="s">
        <v>24</v>
      </c>
      <c r="H459" s="118"/>
      <c r="I459" s="118"/>
      <c r="J459" s="516">
        <f>+(6400*100)/119</f>
        <v>5378.1512605042017</v>
      </c>
      <c r="K459" s="40">
        <f t="shared" si="312"/>
        <v>80672.268907563019</v>
      </c>
      <c r="L459" s="83">
        <v>2773</v>
      </c>
      <c r="M459" s="35">
        <f t="shared" si="313"/>
        <v>41595</v>
      </c>
      <c r="N459" s="83">
        <v>5874</v>
      </c>
      <c r="O459" s="41">
        <f t="shared" si="315"/>
        <v>88110</v>
      </c>
      <c r="P459" s="68">
        <f t="shared" si="290"/>
        <v>4675.0504201680669</v>
      </c>
      <c r="Q459" s="68">
        <f t="shared" si="310"/>
        <v>70125.756302521011</v>
      </c>
      <c r="R459" s="68">
        <f t="shared" si="316"/>
        <v>1360.1013059722272</v>
      </c>
      <c r="S459" s="69">
        <f t="shared" si="317"/>
        <v>0.29092762296311919</v>
      </c>
      <c r="T459" s="68">
        <f t="shared" si="318"/>
        <v>5378.1512605042017</v>
      </c>
      <c r="U459" s="68">
        <f t="shared" si="311"/>
        <v>80672.268907563019</v>
      </c>
      <c r="V459" s="69">
        <f t="shared" si="319"/>
        <v>0.252893836579211</v>
      </c>
      <c r="W459" s="411" t="s">
        <v>917</v>
      </c>
      <c r="X459" s="411" t="s">
        <v>918</v>
      </c>
      <c r="Y459" s="411" t="s">
        <v>919</v>
      </c>
      <c r="Z459" s="28"/>
      <c r="AA459" s="28"/>
      <c r="AB459" s="28"/>
      <c r="AC459" s="28"/>
      <c r="AD459" s="28"/>
      <c r="AE459" s="28"/>
      <c r="AF459" s="28"/>
      <c r="AG459" s="28"/>
      <c r="AH459" s="28"/>
      <c r="AI459" s="28"/>
      <c r="AJ459" s="28"/>
      <c r="AK459" s="28"/>
    </row>
    <row r="460" spans="1:37" ht="31.5" x14ac:dyDescent="0.25">
      <c r="A460" s="13">
        <f t="shared" si="301"/>
        <v>3</v>
      </c>
      <c r="B460" s="675">
        <v>436</v>
      </c>
      <c r="C460" s="506">
        <v>441</v>
      </c>
      <c r="D460" s="65" t="s">
        <v>920</v>
      </c>
      <c r="E460" s="281" t="s">
        <v>921</v>
      </c>
      <c r="F460" s="66">
        <v>5</v>
      </c>
      <c r="G460" s="32" t="s">
        <v>24</v>
      </c>
      <c r="H460" s="118"/>
      <c r="I460" s="118"/>
      <c r="J460" s="516">
        <f>+(10500*100)/119</f>
        <v>8823.5294117647063</v>
      </c>
      <c r="K460" s="40">
        <f t="shared" si="312"/>
        <v>44117.647058823532</v>
      </c>
      <c r="L460" s="83">
        <v>9243</v>
      </c>
      <c r="M460" s="35">
        <f t="shared" si="313"/>
        <v>46215</v>
      </c>
      <c r="N460" s="83">
        <v>9664</v>
      </c>
      <c r="O460" s="41">
        <f t="shared" si="315"/>
        <v>48320</v>
      </c>
      <c r="P460" s="68">
        <f t="shared" ref="P460:P493" si="320">+AVERAGE(J460,L460,N460)</f>
        <v>9243.5098039215682</v>
      </c>
      <c r="Q460" s="68">
        <f t="shared" si="310"/>
        <v>46217.549019607839</v>
      </c>
      <c r="R460" s="68">
        <f t="shared" si="316"/>
        <v>343.12087019705268</v>
      </c>
      <c r="S460" s="69">
        <f t="shared" si="317"/>
        <v>3.7120193246453131E-2</v>
      </c>
      <c r="T460" s="68">
        <f t="shared" si="318"/>
        <v>9243</v>
      </c>
      <c r="U460" s="68">
        <f t="shared" si="311"/>
        <v>46215</v>
      </c>
      <c r="V460" s="69">
        <f t="shared" si="319"/>
        <v>3.7122240635838223E-2</v>
      </c>
      <c r="W460" s="517" t="s">
        <v>922</v>
      </c>
      <c r="X460" s="411" t="s">
        <v>244</v>
      </c>
      <c r="Y460" s="411" t="s">
        <v>923</v>
      </c>
      <c r="Z460" s="28"/>
      <c r="AA460" s="28"/>
      <c r="AB460" s="28"/>
      <c r="AC460" s="28"/>
      <c r="AD460" s="28"/>
      <c r="AE460" s="28"/>
      <c r="AF460" s="28"/>
      <c r="AG460" s="28"/>
      <c r="AH460" s="28"/>
      <c r="AI460" s="28"/>
      <c r="AJ460" s="28"/>
      <c r="AK460" s="28"/>
    </row>
    <row r="461" spans="1:37" ht="31.5" x14ac:dyDescent="0.25">
      <c r="A461" s="13">
        <f t="shared" si="301"/>
        <v>3</v>
      </c>
      <c r="B461" s="676">
        <v>437</v>
      </c>
      <c r="C461" s="38">
        <v>442</v>
      </c>
      <c r="D461" s="65" t="s">
        <v>924</v>
      </c>
      <c r="E461" s="281" t="s">
        <v>925</v>
      </c>
      <c r="F461" s="66">
        <v>5</v>
      </c>
      <c r="G461" s="32" t="s">
        <v>24</v>
      </c>
      <c r="H461" s="118"/>
      <c r="I461" s="118"/>
      <c r="J461" s="516">
        <f>+(17000*100)/119</f>
        <v>14285.714285714286</v>
      </c>
      <c r="K461" s="40">
        <f t="shared" si="312"/>
        <v>71428.571428571435</v>
      </c>
      <c r="L461" s="83">
        <v>12625</v>
      </c>
      <c r="M461" s="35">
        <f t="shared" si="313"/>
        <v>63125</v>
      </c>
      <c r="N461" s="83">
        <v>15230</v>
      </c>
      <c r="O461" s="41">
        <f t="shared" si="315"/>
        <v>76150</v>
      </c>
      <c r="P461" s="68">
        <f t="shared" si="320"/>
        <v>14046.904761904763</v>
      </c>
      <c r="Q461" s="68">
        <f t="shared" si="310"/>
        <v>70234.523809523816</v>
      </c>
      <c r="R461" s="68">
        <f t="shared" si="316"/>
        <v>1076.8097143867772</v>
      </c>
      <c r="S461" s="69">
        <f t="shared" si="317"/>
        <v>7.6658148726621078E-2</v>
      </c>
      <c r="T461" s="68">
        <f t="shared" si="318"/>
        <v>14285.714285714286</v>
      </c>
      <c r="U461" s="68">
        <f t="shared" si="311"/>
        <v>71428.571428571435</v>
      </c>
      <c r="V461" s="69">
        <f t="shared" si="319"/>
        <v>7.5376680007074398E-2</v>
      </c>
      <c r="W461" s="517" t="s">
        <v>922</v>
      </c>
      <c r="X461" s="411" t="s">
        <v>926</v>
      </c>
      <c r="Y461" s="411" t="s">
        <v>927</v>
      </c>
      <c r="Z461" s="28"/>
      <c r="AA461" s="28"/>
      <c r="AB461" s="28"/>
      <c r="AC461" s="28"/>
      <c r="AD461" s="28"/>
      <c r="AE461" s="28"/>
      <c r="AF461" s="28"/>
      <c r="AG461" s="28"/>
      <c r="AH461" s="28"/>
      <c r="AI461" s="28"/>
      <c r="AJ461" s="28"/>
      <c r="AK461" s="28"/>
    </row>
    <row r="462" spans="1:37" ht="31.5" x14ac:dyDescent="0.25">
      <c r="A462" s="13">
        <f t="shared" si="301"/>
        <v>3</v>
      </c>
      <c r="B462" s="675">
        <v>438</v>
      </c>
      <c r="C462" s="506">
        <v>443</v>
      </c>
      <c r="D462" s="285" t="s">
        <v>928</v>
      </c>
      <c r="E462" s="514" t="s">
        <v>929</v>
      </c>
      <c r="F462" s="66">
        <v>2</v>
      </c>
      <c r="G462" s="32" t="s">
        <v>930</v>
      </c>
      <c r="H462" s="118"/>
      <c r="I462" s="118"/>
      <c r="J462" s="518">
        <v>18000</v>
      </c>
      <c r="K462" s="40">
        <f>+J462*F462</f>
        <v>36000</v>
      </c>
      <c r="L462" s="519">
        <v>20000</v>
      </c>
      <c r="M462" s="35">
        <f t="shared" si="313"/>
        <v>40000</v>
      </c>
      <c r="N462" s="520">
        <v>21000</v>
      </c>
      <c r="O462" s="41">
        <f t="shared" si="315"/>
        <v>42000</v>
      </c>
      <c r="P462" s="68">
        <f t="shared" si="320"/>
        <v>19666.666666666668</v>
      </c>
      <c r="Q462" s="68">
        <f t="shared" si="310"/>
        <v>39333.333333333336</v>
      </c>
      <c r="R462" s="68">
        <f t="shared" si="316"/>
        <v>1247.2191289246471</v>
      </c>
      <c r="S462" s="69">
        <f t="shared" si="317"/>
        <v>6.3417921809727815E-2</v>
      </c>
      <c r="T462" s="68">
        <f t="shared" si="318"/>
        <v>20000</v>
      </c>
      <c r="U462" s="68">
        <f t="shared" si="311"/>
        <v>40000</v>
      </c>
      <c r="V462" s="69">
        <f t="shared" si="319"/>
        <v>6.2360956446232352E-2</v>
      </c>
      <c r="W462" s="521" t="s">
        <v>172</v>
      </c>
      <c r="X462" s="522" t="s">
        <v>42</v>
      </c>
      <c r="Y462" s="523" t="s">
        <v>43</v>
      </c>
      <c r="Z462" s="28"/>
      <c r="AA462" s="28"/>
      <c r="AB462" s="28"/>
      <c r="AC462" s="28"/>
      <c r="AD462" s="28"/>
      <c r="AE462" s="28"/>
      <c r="AF462" s="28"/>
      <c r="AG462" s="28"/>
      <c r="AH462" s="28"/>
      <c r="AI462" s="28"/>
      <c r="AJ462" s="28"/>
      <c r="AK462" s="28"/>
    </row>
    <row r="463" spans="1:37" ht="31.5" x14ac:dyDescent="0.25">
      <c r="A463" s="13">
        <f t="shared" si="301"/>
        <v>3</v>
      </c>
      <c r="B463" s="676">
        <v>439</v>
      </c>
      <c r="C463" s="38">
        <v>444</v>
      </c>
      <c r="D463" s="285" t="s">
        <v>931</v>
      </c>
      <c r="E463" s="514" t="s">
        <v>932</v>
      </c>
      <c r="F463" s="66">
        <v>100</v>
      </c>
      <c r="G463" s="32" t="s">
        <v>24</v>
      </c>
      <c r="H463" s="118"/>
      <c r="I463" s="118"/>
      <c r="J463" s="524">
        <v>1400</v>
      </c>
      <c r="K463" s="40">
        <f t="shared" si="312"/>
        <v>140000</v>
      </c>
      <c r="L463" s="525">
        <v>840</v>
      </c>
      <c r="M463" s="35">
        <f t="shared" si="313"/>
        <v>84000</v>
      </c>
      <c r="N463" s="526">
        <v>1800</v>
      </c>
      <c r="O463" s="41">
        <f t="shared" si="315"/>
        <v>180000</v>
      </c>
      <c r="P463" s="68">
        <f t="shared" si="320"/>
        <v>1346.6666666666667</v>
      </c>
      <c r="Q463" s="68">
        <f t="shared" si="310"/>
        <v>134666.66666666669</v>
      </c>
      <c r="R463" s="68">
        <f t="shared" si="316"/>
        <v>393.72861493955736</v>
      </c>
      <c r="S463" s="69">
        <f t="shared" si="317"/>
        <v>0.29237273386600793</v>
      </c>
      <c r="T463" s="68">
        <f t="shared" si="318"/>
        <v>1400</v>
      </c>
      <c r="U463" s="68">
        <f t="shared" si="311"/>
        <v>140000</v>
      </c>
      <c r="V463" s="69">
        <f t="shared" si="319"/>
        <v>0.28123472495682666</v>
      </c>
      <c r="W463" s="527" t="s">
        <v>933</v>
      </c>
      <c r="X463" s="528" t="s">
        <v>934</v>
      </c>
      <c r="Y463" s="529" t="s">
        <v>935</v>
      </c>
      <c r="Z463" s="28"/>
      <c r="AA463" s="28"/>
      <c r="AB463" s="28"/>
      <c r="AC463" s="28"/>
      <c r="AD463" s="28"/>
      <c r="AE463" s="28"/>
      <c r="AF463" s="28"/>
      <c r="AG463" s="28"/>
      <c r="AH463" s="28"/>
      <c r="AI463" s="28"/>
      <c r="AJ463" s="28"/>
      <c r="AK463" s="28"/>
    </row>
    <row r="464" spans="1:37" ht="31.5" x14ac:dyDescent="0.25">
      <c r="A464" s="13">
        <f t="shared" si="301"/>
        <v>3</v>
      </c>
      <c r="B464" s="675">
        <v>440</v>
      </c>
      <c r="C464" s="506">
        <v>445</v>
      </c>
      <c r="D464" s="65" t="s">
        <v>936</v>
      </c>
      <c r="E464" s="281" t="s">
        <v>937</v>
      </c>
      <c r="F464" s="66">
        <v>5</v>
      </c>
      <c r="G464" s="32" t="s">
        <v>24</v>
      </c>
      <c r="H464" s="118"/>
      <c r="I464" s="118"/>
      <c r="J464" s="516">
        <f>+(15000*100)/119</f>
        <v>12605.042016806723</v>
      </c>
      <c r="K464" s="40">
        <f t="shared" si="312"/>
        <v>63025.210084033613</v>
      </c>
      <c r="L464" s="530">
        <f>+(13600*100)/119</f>
        <v>11428.571428571429</v>
      </c>
      <c r="M464" s="35">
        <f t="shared" si="313"/>
        <v>57142.857142857145</v>
      </c>
      <c r="N464" s="530">
        <f>+(14801*100)/119</f>
        <v>12437.81512605042</v>
      </c>
      <c r="O464" s="41">
        <f>+N464*F464</f>
        <v>62189.075630252104</v>
      </c>
      <c r="P464" s="68">
        <f t="shared" si="320"/>
        <v>12157.142857142857</v>
      </c>
      <c r="Q464" s="68">
        <f t="shared" si="310"/>
        <v>60785.714285714283</v>
      </c>
      <c r="R464" s="68">
        <f t="shared" si="316"/>
        <v>519.68160325720191</v>
      </c>
      <c r="S464" s="69">
        <f t="shared" si="317"/>
        <v>4.2747017894246925E-2</v>
      </c>
      <c r="T464" s="68">
        <f t="shared" si="318"/>
        <v>12437.81512605042</v>
      </c>
      <c r="U464" s="68">
        <f t="shared" si="311"/>
        <v>62189.075630252104</v>
      </c>
      <c r="V464" s="69">
        <f t="shared" si="319"/>
        <v>4.1782386857379249E-2</v>
      </c>
      <c r="W464" s="127" t="s">
        <v>938</v>
      </c>
      <c r="X464" s="127" t="s">
        <v>939</v>
      </c>
      <c r="Y464" s="27" t="s">
        <v>940</v>
      </c>
      <c r="Z464" s="28"/>
      <c r="AA464" s="28"/>
      <c r="AB464" s="28"/>
      <c r="AC464" s="28"/>
      <c r="AD464" s="28"/>
      <c r="AE464" s="28"/>
      <c r="AF464" s="28"/>
      <c r="AG464" s="28"/>
      <c r="AH464" s="28"/>
      <c r="AI464" s="28"/>
      <c r="AJ464" s="28"/>
      <c r="AK464" s="28"/>
    </row>
    <row r="465" spans="1:37" ht="31.5" x14ac:dyDescent="0.25">
      <c r="A465" s="13">
        <f t="shared" si="301"/>
        <v>3</v>
      </c>
      <c r="B465" s="676">
        <v>441</v>
      </c>
      <c r="C465" s="38">
        <v>446</v>
      </c>
      <c r="D465" s="65" t="s">
        <v>941</v>
      </c>
      <c r="E465" s="281" t="s">
        <v>942</v>
      </c>
      <c r="F465" s="66">
        <v>2</v>
      </c>
      <c r="G465" s="32" t="s">
        <v>24</v>
      </c>
      <c r="H465" s="118"/>
      <c r="I465" s="118"/>
      <c r="J465" s="516">
        <f>+(128990*100)/119</f>
        <v>108394.95798319328</v>
      </c>
      <c r="K465" s="40">
        <f t="shared" si="312"/>
        <v>216789.91596638656</v>
      </c>
      <c r="L465" s="530">
        <f>+(159900*100)/119</f>
        <v>134369.74789915967</v>
      </c>
      <c r="M465" s="35">
        <f t="shared" si="313"/>
        <v>268739.49579831935</v>
      </c>
      <c r="N465" s="530">
        <f>+(125000*100)/119</f>
        <v>105042.01680672269</v>
      </c>
      <c r="O465" s="41">
        <f t="shared" ref="O465:O493" si="321">+N465*F465</f>
        <v>210084.03361344538</v>
      </c>
      <c r="P465" s="68">
        <f t="shared" si="320"/>
        <v>115935.57422969188</v>
      </c>
      <c r="Q465" s="68">
        <f t="shared" si="310"/>
        <v>231871.14845938375</v>
      </c>
      <c r="R465" s="68">
        <f t="shared" si="316"/>
        <v>13106.604513000202</v>
      </c>
      <c r="S465" s="69">
        <f t="shared" si="317"/>
        <v>0.11305075771681056</v>
      </c>
      <c r="T465" s="68">
        <f t="shared" si="318"/>
        <v>108394.95798319328</v>
      </c>
      <c r="U465" s="68">
        <f t="shared" si="311"/>
        <v>216789.91596638656</v>
      </c>
      <c r="V465" s="69">
        <f t="shared" si="319"/>
        <v>0.12091525986875137</v>
      </c>
      <c r="W465" s="531" t="s">
        <v>243</v>
      </c>
      <c r="X465" s="531" t="s">
        <v>244</v>
      </c>
      <c r="Y465" s="531" t="s">
        <v>943</v>
      </c>
      <c r="Z465" s="28"/>
      <c r="AA465" s="28"/>
      <c r="AB465" s="28"/>
      <c r="AC465" s="28"/>
      <c r="AD465" s="28"/>
      <c r="AE465" s="28"/>
      <c r="AF465" s="28"/>
      <c r="AG465" s="28"/>
      <c r="AH465" s="28"/>
      <c r="AI465" s="28"/>
      <c r="AJ465" s="28"/>
      <c r="AK465" s="28"/>
    </row>
    <row r="466" spans="1:37" ht="63" x14ac:dyDescent="0.25">
      <c r="A466" s="13">
        <f t="shared" si="301"/>
        <v>3</v>
      </c>
      <c r="B466" s="675">
        <v>442</v>
      </c>
      <c r="C466" s="506">
        <v>447</v>
      </c>
      <c r="D466" s="65" t="s">
        <v>944</v>
      </c>
      <c r="E466" s="281" t="s">
        <v>945</v>
      </c>
      <c r="F466" s="66">
        <v>1</v>
      </c>
      <c r="G466" s="32" t="s">
        <v>24</v>
      </c>
      <c r="H466" s="118"/>
      <c r="I466" s="118"/>
      <c r="J466" s="80">
        <v>605042</v>
      </c>
      <c r="K466" s="40">
        <f t="shared" si="312"/>
        <v>605042</v>
      </c>
      <c r="L466" s="83">
        <v>530410</v>
      </c>
      <c r="M466" s="35">
        <f t="shared" si="313"/>
        <v>530410</v>
      </c>
      <c r="N466" s="83">
        <v>897101</v>
      </c>
      <c r="O466" s="41">
        <f t="shared" si="321"/>
        <v>897101</v>
      </c>
      <c r="P466" s="68">
        <f t="shared" si="320"/>
        <v>677517.66666666663</v>
      </c>
      <c r="Q466" s="68">
        <f t="shared" si="310"/>
        <v>677517.66666666663</v>
      </c>
      <c r="R466" s="68">
        <f t="shared" si="316"/>
        <v>158230.03099777095</v>
      </c>
      <c r="S466" s="69">
        <f t="shared" si="317"/>
        <v>0.23354377130304246</v>
      </c>
      <c r="T466" s="68">
        <f t="shared" si="318"/>
        <v>605042</v>
      </c>
      <c r="U466" s="68">
        <f t="shared" si="311"/>
        <v>605042</v>
      </c>
      <c r="V466" s="69">
        <f t="shared" si="319"/>
        <v>0.26151908627462384</v>
      </c>
      <c r="W466" s="411" t="s">
        <v>946</v>
      </c>
      <c r="X466" s="411" t="s">
        <v>947</v>
      </c>
      <c r="Y466" s="411" t="s">
        <v>887</v>
      </c>
      <c r="Z466" s="28"/>
      <c r="AA466" s="28"/>
      <c r="AB466" s="28"/>
      <c r="AC466" s="28"/>
      <c r="AD466" s="28"/>
      <c r="AE466" s="28"/>
      <c r="AF466" s="28"/>
      <c r="AG466" s="28"/>
      <c r="AH466" s="28"/>
      <c r="AI466" s="28"/>
      <c r="AJ466" s="28"/>
      <c r="AK466" s="28"/>
    </row>
    <row r="467" spans="1:37" ht="78.75" x14ac:dyDescent="0.25">
      <c r="A467" s="13">
        <f t="shared" si="301"/>
        <v>3</v>
      </c>
      <c r="B467" s="676">
        <v>443</v>
      </c>
      <c r="C467" s="38">
        <v>448</v>
      </c>
      <c r="D467" s="65" t="s">
        <v>948</v>
      </c>
      <c r="E467" s="281" t="s">
        <v>949</v>
      </c>
      <c r="F467" s="66">
        <v>5</v>
      </c>
      <c r="G467" s="32" t="s">
        <v>24</v>
      </c>
      <c r="H467" s="118"/>
      <c r="I467" s="118"/>
      <c r="J467" s="80">
        <v>134370</v>
      </c>
      <c r="K467" s="40">
        <f t="shared" si="312"/>
        <v>671850</v>
      </c>
      <c r="L467" s="83">
        <v>95500</v>
      </c>
      <c r="M467" s="35">
        <f t="shared" si="313"/>
        <v>477500</v>
      </c>
      <c r="N467" s="83">
        <v>100840</v>
      </c>
      <c r="O467" s="41">
        <f t="shared" si="321"/>
        <v>504200</v>
      </c>
      <c r="P467" s="68">
        <f t="shared" si="320"/>
        <v>110236.66666666667</v>
      </c>
      <c r="Q467" s="68">
        <f t="shared" si="310"/>
        <v>551183.33333333337</v>
      </c>
      <c r="R467" s="68">
        <f t="shared" si="316"/>
        <v>17203.53129124625</v>
      </c>
      <c r="S467" s="69">
        <f t="shared" si="317"/>
        <v>0.15605997361355492</v>
      </c>
      <c r="T467" s="68">
        <f t="shared" si="318"/>
        <v>100840</v>
      </c>
      <c r="U467" s="68">
        <f t="shared" si="311"/>
        <v>504200</v>
      </c>
      <c r="V467" s="69">
        <f t="shared" si="319"/>
        <v>0.17060225397903858</v>
      </c>
      <c r="W467" s="411" t="s">
        <v>243</v>
      </c>
      <c r="X467" s="411" t="s">
        <v>950</v>
      </c>
      <c r="Y467" s="411" t="s">
        <v>943</v>
      </c>
      <c r="Z467" s="28"/>
      <c r="AA467" s="28"/>
      <c r="AB467" s="28"/>
      <c r="AC467" s="28"/>
      <c r="AD467" s="28"/>
      <c r="AE467" s="28"/>
      <c r="AF467" s="28"/>
      <c r="AG467" s="28"/>
      <c r="AH467" s="28"/>
      <c r="AI467" s="28"/>
      <c r="AJ467" s="28"/>
      <c r="AK467" s="28"/>
    </row>
    <row r="468" spans="1:37" ht="31.5" x14ac:dyDescent="0.25">
      <c r="A468" s="13">
        <f t="shared" si="301"/>
        <v>3</v>
      </c>
      <c r="B468" s="675">
        <v>444</v>
      </c>
      <c r="C468" s="506">
        <v>449</v>
      </c>
      <c r="D468" s="65" t="s">
        <v>951</v>
      </c>
      <c r="E468" s="281" t="s">
        <v>952</v>
      </c>
      <c r="F468" s="66">
        <v>1</v>
      </c>
      <c r="G468" s="32" t="s">
        <v>24</v>
      </c>
      <c r="H468" s="118"/>
      <c r="I468" s="118"/>
      <c r="J468" s="516">
        <f>+(78900*100)/119</f>
        <v>66302.521008403361</v>
      </c>
      <c r="K468" s="40">
        <f t="shared" si="312"/>
        <v>66302.521008403361</v>
      </c>
      <c r="L468" s="530">
        <f>+(73590*100)/119</f>
        <v>61840.336134453784</v>
      </c>
      <c r="M468" s="35">
        <f t="shared" si="313"/>
        <v>61840.336134453784</v>
      </c>
      <c r="N468" s="530">
        <f>+(99900*100)/119</f>
        <v>83949.579831932773</v>
      </c>
      <c r="O468" s="41">
        <f t="shared" si="321"/>
        <v>83949.579831932773</v>
      </c>
      <c r="P468" s="68">
        <f t="shared" si="320"/>
        <v>70697.478991596639</v>
      </c>
      <c r="Q468" s="68">
        <f t="shared" si="310"/>
        <v>70697.478991596639</v>
      </c>
      <c r="R468" s="68">
        <f t="shared" si="316"/>
        <v>9546.077937182863</v>
      </c>
      <c r="S468" s="69">
        <f t="shared" si="317"/>
        <v>0.13502713354626894</v>
      </c>
      <c r="T468" s="68">
        <f t="shared" si="318"/>
        <v>66302.521008403361</v>
      </c>
      <c r="U468" s="68">
        <f t="shared" si="311"/>
        <v>66302.521008403361</v>
      </c>
      <c r="V468" s="69">
        <f t="shared" si="319"/>
        <v>0.14397760133393672</v>
      </c>
      <c r="W468" s="532" t="s">
        <v>243</v>
      </c>
      <c r="X468" s="532" t="s">
        <v>887</v>
      </c>
      <c r="Y468" s="532" t="s">
        <v>244</v>
      </c>
      <c r="Z468" s="28"/>
      <c r="AA468" s="28"/>
      <c r="AB468" s="28"/>
      <c r="AC468" s="28"/>
      <c r="AD468" s="28"/>
      <c r="AE468" s="28"/>
      <c r="AF468" s="28"/>
      <c r="AG468" s="28"/>
      <c r="AH468" s="28"/>
      <c r="AI468" s="28"/>
      <c r="AJ468" s="28"/>
      <c r="AK468" s="28"/>
    </row>
    <row r="469" spans="1:37" ht="31.5" x14ac:dyDescent="0.25">
      <c r="A469" s="13">
        <f t="shared" si="301"/>
        <v>3</v>
      </c>
      <c r="B469" s="676">
        <v>445</v>
      </c>
      <c r="C469" s="38">
        <v>450</v>
      </c>
      <c r="D469" s="65" t="s">
        <v>953</v>
      </c>
      <c r="E469" s="281" t="s">
        <v>954</v>
      </c>
      <c r="F469" s="66">
        <v>5</v>
      </c>
      <c r="G469" s="32" t="s">
        <v>955</v>
      </c>
      <c r="H469" s="33"/>
      <c r="I469" s="33"/>
      <c r="J469" s="533">
        <v>93900</v>
      </c>
      <c r="K469" s="40">
        <f t="shared" si="312"/>
        <v>469500</v>
      </c>
      <c r="L469" s="534">
        <v>107900</v>
      </c>
      <c r="M469" s="35">
        <f t="shared" si="313"/>
        <v>539500</v>
      </c>
      <c r="N469" s="534">
        <v>134900</v>
      </c>
      <c r="O469" s="41">
        <f t="shared" si="321"/>
        <v>674500</v>
      </c>
      <c r="P469" s="68">
        <f t="shared" si="320"/>
        <v>112233.33333333333</v>
      </c>
      <c r="Q469" s="68">
        <f t="shared" si="310"/>
        <v>561166.66666666663</v>
      </c>
      <c r="R469" s="68">
        <f t="shared" si="316"/>
        <v>17016.332024133626</v>
      </c>
      <c r="S469" s="69">
        <f t="shared" si="317"/>
        <v>0.15161566995070055</v>
      </c>
      <c r="T469" s="68">
        <f t="shared" si="318"/>
        <v>107900</v>
      </c>
      <c r="U469" s="68">
        <f t="shared" si="311"/>
        <v>539500</v>
      </c>
      <c r="V469" s="69">
        <f t="shared" si="319"/>
        <v>0.15770465267964437</v>
      </c>
      <c r="W469" s="535" t="s">
        <v>243</v>
      </c>
      <c r="X469" s="535" t="s">
        <v>956</v>
      </c>
      <c r="Y469" s="535" t="s">
        <v>919</v>
      </c>
      <c r="Z469" s="28"/>
      <c r="AA469" s="28"/>
      <c r="AB469" s="28"/>
      <c r="AC469" s="28"/>
      <c r="AD469" s="28"/>
      <c r="AE469" s="28"/>
      <c r="AF469" s="28"/>
      <c r="AG469" s="28"/>
      <c r="AH469" s="28"/>
      <c r="AI469" s="28"/>
      <c r="AJ469" s="28"/>
      <c r="AK469" s="28"/>
    </row>
    <row r="470" spans="1:37" ht="31.5" x14ac:dyDescent="0.25">
      <c r="A470" s="13">
        <f t="shared" si="301"/>
        <v>3</v>
      </c>
      <c r="B470" s="675">
        <v>446</v>
      </c>
      <c r="C470" s="506">
        <v>451</v>
      </c>
      <c r="D470" s="65" t="s">
        <v>957</v>
      </c>
      <c r="E470" s="281" t="s">
        <v>958</v>
      </c>
      <c r="F470" s="66">
        <v>5</v>
      </c>
      <c r="G470" s="32" t="s">
        <v>24</v>
      </c>
      <c r="H470" s="33"/>
      <c r="I470" s="33"/>
      <c r="J470" s="516">
        <f>+(26900*100)/119</f>
        <v>22605.042016806721</v>
      </c>
      <c r="K470" s="40">
        <f t="shared" si="312"/>
        <v>113025.21008403361</v>
      </c>
      <c r="L470" s="530">
        <f>+(42900*100)/119</f>
        <v>36050.420168067227</v>
      </c>
      <c r="M470" s="35">
        <f t="shared" si="313"/>
        <v>180252.10084033612</v>
      </c>
      <c r="N470" s="530">
        <f>+(34900*100)/119</f>
        <v>29327.731092436974</v>
      </c>
      <c r="O470" s="41">
        <f t="shared" si="321"/>
        <v>146638.65546218486</v>
      </c>
      <c r="P470" s="68">
        <f t="shared" si="320"/>
        <v>29327.731092436978</v>
      </c>
      <c r="Q470" s="68">
        <f t="shared" si="310"/>
        <v>146638.65546218489</v>
      </c>
      <c r="R470" s="68">
        <f t="shared" si="316"/>
        <v>5489.0526448922756</v>
      </c>
      <c r="S470" s="69">
        <f t="shared" si="317"/>
        <v>0.18716254004073946</v>
      </c>
      <c r="T470" s="68">
        <f t="shared" si="318"/>
        <v>29327.731092436974</v>
      </c>
      <c r="U470" s="68">
        <f t="shared" si="311"/>
        <v>146638.65546218486</v>
      </c>
      <c r="V470" s="69">
        <f t="shared" si="319"/>
        <v>0.18716254004073948</v>
      </c>
      <c r="W470" s="532" t="s">
        <v>959</v>
      </c>
      <c r="X470" s="532" t="s">
        <v>244</v>
      </c>
      <c r="Y470" s="536" t="s">
        <v>960</v>
      </c>
      <c r="Z470" s="28"/>
      <c r="AA470" s="28"/>
      <c r="AB470" s="28"/>
      <c r="AC470" s="28"/>
      <c r="AD470" s="28"/>
      <c r="AE470" s="28"/>
      <c r="AF470" s="28"/>
      <c r="AG470" s="28"/>
      <c r="AH470" s="28"/>
      <c r="AI470" s="28"/>
      <c r="AJ470" s="28"/>
      <c r="AK470" s="28"/>
    </row>
    <row r="471" spans="1:37" ht="31.5" x14ac:dyDescent="0.25">
      <c r="A471" s="13">
        <f t="shared" si="301"/>
        <v>3</v>
      </c>
      <c r="B471" s="676">
        <v>447</v>
      </c>
      <c r="C471" s="38">
        <v>452</v>
      </c>
      <c r="D471" s="65" t="s">
        <v>961</v>
      </c>
      <c r="E471" s="281" t="s">
        <v>962</v>
      </c>
      <c r="F471" s="66">
        <v>15</v>
      </c>
      <c r="G471" s="32" t="s">
        <v>24</v>
      </c>
      <c r="H471" s="33"/>
      <c r="I471" s="33"/>
      <c r="J471" s="533">
        <v>39900</v>
      </c>
      <c r="K471" s="40">
        <f t="shared" si="312"/>
        <v>598500</v>
      </c>
      <c r="L471" s="534">
        <v>40799</v>
      </c>
      <c r="M471" s="35">
        <f t="shared" si="313"/>
        <v>611985</v>
      </c>
      <c r="N471" s="534">
        <v>40000</v>
      </c>
      <c r="O471" s="41">
        <f t="shared" si="321"/>
        <v>600000</v>
      </c>
      <c r="P471" s="68">
        <f t="shared" si="320"/>
        <v>40233</v>
      </c>
      <c r="Q471" s="68">
        <f t="shared" si="310"/>
        <v>603495</v>
      </c>
      <c r="R471" s="68">
        <f t="shared" si="316"/>
        <v>402.2992252871818</v>
      </c>
      <c r="S471" s="69">
        <f t="shared" si="317"/>
        <v>9.9992350877931499E-3</v>
      </c>
      <c r="T471" s="68">
        <f t="shared" si="318"/>
        <v>40000</v>
      </c>
      <c r="U471" s="68">
        <f t="shared" si="311"/>
        <v>600000</v>
      </c>
      <c r="V471" s="69">
        <f t="shared" si="319"/>
        <v>1.0057480632179545E-2</v>
      </c>
      <c r="W471" s="535" t="s">
        <v>963</v>
      </c>
      <c r="X471" s="535" t="s">
        <v>964</v>
      </c>
      <c r="Y471" s="535" t="s">
        <v>965</v>
      </c>
      <c r="Z471" s="28"/>
      <c r="AA471" s="28"/>
      <c r="AB471" s="28"/>
      <c r="AC471" s="28"/>
      <c r="AD471" s="28"/>
      <c r="AE471" s="28"/>
      <c r="AF471" s="28"/>
      <c r="AG471" s="28"/>
      <c r="AH471" s="28"/>
      <c r="AI471" s="28"/>
      <c r="AJ471" s="28"/>
      <c r="AK471" s="28"/>
    </row>
    <row r="472" spans="1:37" ht="31.5" x14ac:dyDescent="0.25">
      <c r="A472" s="13">
        <f t="shared" si="301"/>
        <v>3</v>
      </c>
      <c r="B472" s="675">
        <v>448</v>
      </c>
      <c r="C472" s="506">
        <v>453</v>
      </c>
      <c r="D472" s="65" t="s">
        <v>966</v>
      </c>
      <c r="E472" s="281" t="s">
        <v>967</v>
      </c>
      <c r="F472" s="66">
        <v>5</v>
      </c>
      <c r="G472" s="32" t="s">
        <v>24</v>
      </c>
      <c r="H472" s="33"/>
      <c r="I472" s="33"/>
      <c r="J472" s="516">
        <v>52000</v>
      </c>
      <c r="K472" s="40">
        <f t="shared" si="312"/>
        <v>260000</v>
      </c>
      <c r="L472" s="530">
        <v>58000</v>
      </c>
      <c r="M472" s="35">
        <f t="shared" si="313"/>
        <v>290000</v>
      </c>
      <c r="N472" s="530">
        <v>61000</v>
      </c>
      <c r="O472" s="41">
        <f t="shared" si="321"/>
        <v>305000</v>
      </c>
      <c r="P472" s="68">
        <f t="shared" si="320"/>
        <v>57000</v>
      </c>
      <c r="Q472" s="68">
        <f t="shared" si="310"/>
        <v>285000</v>
      </c>
      <c r="R472" s="68">
        <f t="shared" si="316"/>
        <v>3741.6573867739412</v>
      </c>
      <c r="S472" s="69">
        <f t="shared" si="317"/>
        <v>6.5643112048665631E-2</v>
      </c>
      <c r="T472" s="68">
        <f t="shared" si="318"/>
        <v>58000</v>
      </c>
      <c r="U472" s="68">
        <f t="shared" si="311"/>
        <v>290000</v>
      </c>
      <c r="V472" s="69">
        <f t="shared" si="319"/>
        <v>6.4511334254723121E-2</v>
      </c>
      <c r="W472" s="25" t="s">
        <v>172</v>
      </c>
      <c r="X472" s="25" t="s">
        <v>42</v>
      </c>
      <c r="Y472" s="27" t="s">
        <v>43</v>
      </c>
      <c r="Z472" s="28"/>
      <c r="AA472" s="28"/>
      <c r="AB472" s="28"/>
      <c r="AC472" s="28"/>
      <c r="AD472" s="28"/>
      <c r="AE472" s="28"/>
      <c r="AF472" s="28"/>
      <c r="AG472" s="28"/>
      <c r="AH472" s="28"/>
      <c r="AI472" s="28"/>
      <c r="AJ472" s="28"/>
      <c r="AK472" s="28"/>
    </row>
    <row r="473" spans="1:37" ht="31.5" x14ac:dyDescent="0.25">
      <c r="A473" s="13">
        <f t="shared" si="301"/>
        <v>3</v>
      </c>
      <c r="B473" s="676">
        <v>449</v>
      </c>
      <c r="C473" s="38">
        <v>454</v>
      </c>
      <c r="D473" s="65" t="s">
        <v>968</v>
      </c>
      <c r="E473" s="281" t="s">
        <v>969</v>
      </c>
      <c r="F473" s="66">
        <v>15</v>
      </c>
      <c r="G473" s="32" t="s">
        <v>24</v>
      </c>
      <c r="H473" s="33"/>
      <c r="I473" s="33"/>
      <c r="J473" s="516">
        <f>+(10770*100)/119</f>
        <v>9050.4201680672268</v>
      </c>
      <c r="K473" s="40">
        <f t="shared" si="312"/>
        <v>135756.30252100842</v>
      </c>
      <c r="L473" s="530">
        <f>+(8400*100)/119</f>
        <v>7058.8235294117649</v>
      </c>
      <c r="M473" s="35">
        <f t="shared" si="313"/>
        <v>105882.35294117648</v>
      </c>
      <c r="N473" s="530">
        <f>+(9900*100)/119</f>
        <v>8319.3277310924368</v>
      </c>
      <c r="O473" s="41">
        <f t="shared" si="321"/>
        <v>124789.91596638656</v>
      </c>
      <c r="P473" s="68">
        <f t="shared" si="320"/>
        <v>8142.8571428571422</v>
      </c>
      <c r="Q473" s="68">
        <f t="shared" si="310"/>
        <v>122142.85714285713</v>
      </c>
      <c r="R473" s="68">
        <f t="shared" si="316"/>
        <v>822.5856365388446</v>
      </c>
      <c r="S473" s="69">
        <f t="shared" si="317"/>
        <v>0.10101928869775285</v>
      </c>
      <c r="T473" s="68">
        <f t="shared" si="318"/>
        <v>8319.3277310924368</v>
      </c>
      <c r="U473" s="68">
        <f t="shared" si="311"/>
        <v>124789.91596638656</v>
      </c>
      <c r="V473" s="69">
        <f t="shared" si="319"/>
        <v>9.8876455301133842E-2</v>
      </c>
      <c r="W473" s="532" t="s">
        <v>964</v>
      </c>
      <c r="X473" s="532" t="s">
        <v>970</v>
      </c>
      <c r="Y473" s="532" t="s">
        <v>963</v>
      </c>
      <c r="Z473" s="28"/>
      <c r="AA473" s="28"/>
      <c r="AB473" s="28"/>
      <c r="AC473" s="28"/>
      <c r="AD473" s="28"/>
      <c r="AE473" s="28"/>
      <c r="AF473" s="28"/>
      <c r="AG473" s="28"/>
      <c r="AH473" s="28"/>
      <c r="AI473" s="28"/>
      <c r="AJ473" s="28"/>
      <c r="AK473" s="28"/>
    </row>
    <row r="474" spans="1:37" ht="15.75" x14ac:dyDescent="0.25">
      <c r="A474" s="13">
        <f t="shared" si="301"/>
        <v>3</v>
      </c>
      <c r="B474" s="675">
        <v>450</v>
      </c>
      <c r="C474" s="506">
        <v>455</v>
      </c>
      <c r="D474" s="65" t="s">
        <v>971</v>
      </c>
      <c r="E474" s="281" t="s">
        <v>972</v>
      </c>
      <c r="F474" s="66">
        <v>15</v>
      </c>
      <c r="G474" s="32" t="s">
        <v>24</v>
      </c>
      <c r="H474" s="33"/>
      <c r="I474" s="33"/>
      <c r="J474" s="516">
        <f>+(6500*100)/119</f>
        <v>5462.1848739495799</v>
      </c>
      <c r="K474" s="40">
        <f t="shared" si="312"/>
        <v>81932.773109243702</v>
      </c>
      <c r="L474" s="530">
        <f>+(9552*100)/119</f>
        <v>8026.8907563025214</v>
      </c>
      <c r="M474" s="35">
        <f t="shared" si="313"/>
        <v>120403.36134453781</v>
      </c>
      <c r="N474" s="530">
        <f>+(6500*100)/119</f>
        <v>5462.1848739495799</v>
      </c>
      <c r="O474" s="41">
        <f t="shared" si="321"/>
        <v>81932.773109243702</v>
      </c>
      <c r="P474" s="68">
        <f t="shared" si="320"/>
        <v>6317.0868347338937</v>
      </c>
      <c r="Q474" s="68">
        <f t="shared" si="310"/>
        <v>94756.302521008402</v>
      </c>
      <c r="R474" s="68">
        <f t="shared" si="316"/>
        <v>1209.0139474405314</v>
      </c>
      <c r="S474" s="69">
        <f t="shared" si="317"/>
        <v>0.19138789430483757</v>
      </c>
      <c r="T474" s="68">
        <f t="shared" si="318"/>
        <v>5462.1848739495799</v>
      </c>
      <c r="U474" s="68">
        <f t="shared" si="311"/>
        <v>81932.773109243702</v>
      </c>
      <c r="V474" s="69">
        <f t="shared" si="319"/>
        <v>0.2213425534544973</v>
      </c>
      <c r="W474" s="532" t="s">
        <v>973</v>
      </c>
      <c r="X474" s="532" t="s">
        <v>244</v>
      </c>
      <c r="Y474" s="532" t="s">
        <v>974</v>
      </c>
      <c r="Z474" s="28"/>
      <c r="AA474" s="28"/>
      <c r="AB474" s="28"/>
      <c r="AC474" s="28"/>
      <c r="AD474" s="28"/>
      <c r="AE474" s="28"/>
      <c r="AF474" s="28"/>
      <c r="AG474" s="28"/>
      <c r="AH474" s="28"/>
      <c r="AI474" s="28"/>
      <c r="AJ474" s="28"/>
      <c r="AK474" s="28"/>
    </row>
    <row r="475" spans="1:37" ht="31.5" x14ac:dyDescent="0.25">
      <c r="A475" s="13">
        <f t="shared" si="301"/>
        <v>3</v>
      </c>
      <c r="B475" s="676">
        <v>451</v>
      </c>
      <c r="C475" s="38">
        <v>456</v>
      </c>
      <c r="D475" s="65" t="s">
        <v>975</v>
      </c>
      <c r="E475" s="281" t="s">
        <v>976</v>
      </c>
      <c r="F475" s="66">
        <v>15</v>
      </c>
      <c r="G475" s="32" t="s">
        <v>24</v>
      </c>
      <c r="H475" s="33"/>
      <c r="I475" s="33"/>
      <c r="J475" s="516">
        <v>25000</v>
      </c>
      <c r="K475" s="40">
        <f t="shared" si="312"/>
        <v>375000</v>
      </c>
      <c r="L475" s="530">
        <v>28000</v>
      </c>
      <c r="M475" s="35">
        <f t="shared" si="313"/>
        <v>420000</v>
      </c>
      <c r="N475" s="530">
        <v>30000</v>
      </c>
      <c r="O475" s="41">
        <f t="shared" si="321"/>
        <v>450000</v>
      </c>
      <c r="P475" s="68">
        <f t="shared" si="320"/>
        <v>27666.666666666668</v>
      </c>
      <c r="Q475" s="68">
        <f t="shared" si="310"/>
        <v>415000</v>
      </c>
      <c r="R475" s="68">
        <f t="shared" si="316"/>
        <v>2054.8046676563254</v>
      </c>
      <c r="S475" s="69">
        <f t="shared" si="317"/>
        <v>7.4270048228541871E-2</v>
      </c>
      <c r="T475" s="68">
        <f t="shared" si="318"/>
        <v>28000</v>
      </c>
      <c r="U475" s="68">
        <f t="shared" si="311"/>
        <v>420000</v>
      </c>
      <c r="V475" s="69">
        <f t="shared" si="319"/>
        <v>7.3385880987725902E-2</v>
      </c>
      <c r="W475" s="25" t="s">
        <v>172</v>
      </c>
      <c r="X475" s="25" t="s">
        <v>42</v>
      </c>
      <c r="Y475" s="27" t="s">
        <v>43</v>
      </c>
      <c r="Z475" s="28"/>
      <c r="AA475" s="28"/>
      <c r="AB475" s="28"/>
      <c r="AC475" s="28"/>
      <c r="AD475" s="28"/>
      <c r="AE475" s="28"/>
      <c r="AF475" s="28"/>
      <c r="AG475" s="28"/>
      <c r="AH475" s="28"/>
      <c r="AI475" s="28"/>
      <c r="AJ475" s="28"/>
      <c r="AK475" s="28"/>
    </row>
    <row r="476" spans="1:37" ht="31.5" x14ac:dyDescent="0.25">
      <c r="A476" s="13">
        <f t="shared" si="301"/>
        <v>3</v>
      </c>
      <c r="B476" s="675">
        <v>452</v>
      </c>
      <c r="C476" s="506">
        <v>457</v>
      </c>
      <c r="D476" s="65" t="s">
        <v>977</v>
      </c>
      <c r="E476" s="281" t="s">
        <v>978</v>
      </c>
      <c r="F476" s="66">
        <v>20</v>
      </c>
      <c r="G476" s="32" t="s">
        <v>24</v>
      </c>
      <c r="H476" s="33"/>
      <c r="I476" s="33"/>
      <c r="J476" s="516">
        <f>+(11000*100)/119</f>
        <v>9243.6974789915967</v>
      </c>
      <c r="K476" s="40">
        <f t="shared" si="312"/>
        <v>184873.94957983194</v>
      </c>
      <c r="L476" s="530">
        <f>+(10828*100)/119</f>
        <v>9099.1596638655465</v>
      </c>
      <c r="M476" s="35">
        <f t="shared" si="313"/>
        <v>181983.19327731093</v>
      </c>
      <c r="N476" s="530">
        <f>+(11800*100)/119</f>
        <v>9915.9663865546227</v>
      </c>
      <c r="O476" s="41">
        <f t="shared" si="321"/>
        <v>198319.32773109246</v>
      </c>
      <c r="P476" s="68">
        <f t="shared" si="320"/>
        <v>9419.6078431372571</v>
      </c>
      <c r="Q476" s="68">
        <f t="shared" si="310"/>
        <v>188392.15686274515</v>
      </c>
      <c r="R476" s="68">
        <f t="shared" si="316"/>
        <v>355.90415162691488</v>
      </c>
      <c r="S476" s="69">
        <f t="shared" si="317"/>
        <v>3.7783330002024676E-2</v>
      </c>
      <c r="T476" s="68">
        <f t="shared" si="318"/>
        <v>9243.6974789915967</v>
      </c>
      <c r="U476" s="68">
        <f t="shared" si="311"/>
        <v>184873.94957983194</v>
      </c>
      <c r="V476" s="69">
        <f t="shared" si="319"/>
        <v>3.8502358221457159E-2</v>
      </c>
      <c r="W476" s="532" t="s">
        <v>963</v>
      </c>
      <c r="X476" s="532" t="s">
        <v>940</v>
      </c>
      <c r="Y476" s="532" t="s">
        <v>979</v>
      </c>
      <c r="Z476" s="28"/>
      <c r="AA476" s="28"/>
      <c r="AB476" s="28"/>
      <c r="AC476" s="28"/>
      <c r="AD476" s="28"/>
      <c r="AE476" s="28"/>
      <c r="AF476" s="28"/>
      <c r="AG476" s="28"/>
      <c r="AH476" s="28"/>
      <c r="AI476" s="28"/>
      <c r="AJ476" s="28"/>
      <c r="AK476" s="28"/>
    </row>
    <row r="477" spans="1:37" ht="31.5" x14ac:dyDescent="0.25">
      <c r="A477" s="13">
        <f t="shared" si="301"/>
        <v>3</v>
      </c>
      <c r="B477" s="676">
        <v>453</v>
      </c>
      <c r="C477" s="38">
        <v>458</v>
      </c>
      <c r="D477" s="65" t="s">
        <v>980</v>
      </c>
      <c r="E477" s="281" t="s">
        <v>981</v>
      </c>
      <c r="F477" s="66">
        <v>20</v>
      </c>
      <c r="G477" s="32" t="s">
        <v>24</v>
      </c>
      <c r="H477" s="33"/>
      <c r="I477" s="33"/>
      <c r="J477" s="516">
        <f>+(15000*100)/119</f>
        <v>12605.042016806723</v>
      </c>
      <c r="K477" s="40">
        <f t="shared" si="312"/>
        <v>252100.84033613445</v>
      </c>
      <c r="L477" s="530">
        <f>+(13000*100)/119</f>
        <v>10924.36974789916</v>
      </c>
      <c r="M477" s="35">
        <f t="shared" si="313"/>
        <v>218487.3949579832</v>
      </c>
      <c r="N477" s="530">
        <f>+(15550*100)/119</f>
        <v>13067.226890756303</v>
      </c>
      <c r="O477" s="41">
        <f t="shared" si="321"/>
        <v>261344.53781512607</v>
      </c>
      <c r="P477" s="68">
        <f t="shared" si="320"/>
        <v>12198.879551820728</v>
      </c>
      <c r="Q477" s="68">
        <f t="shared" si="310"/>
        <v>243977.59103641455</v>
      </c>
      <c r="R477" s="68">
        <f t="shared" si="316"/>
        <v>920.75517724894132</v>
      </c>
      <c r="S477" s="69">
        <f t="shared" si="317"/>
        <v>7.5478667802037214E-2</v>
      </c>
      <c r="T477" s="68">
        <f t="shared" si="318"/>
        <v>12605.042016806723</v>
      </c>
      <c r="U477" s="68">
        <f t="shared" si="311"/>
        <v>252100.84033613445</v>
      </c>
      <c r="V477" s="69">
        <f t="shared" si="319"/>
        <v>7.3046577395082676E-2</v>
      </c>
      <c r="W477" s="532" t="s">
        <v>982</v>
      </c>
      <c r="X477" s="532" t="s">
        <v>983</v>
      </c>
      <c r="Y477" s="532" t="s">
        <v>910</v>
      </c>
      <c r="Z477" s="28"/>
      <c r="AA477" s="28"/>
      <c r="AB477" s="28"/>
      <c r="AC477" s="28"/>
      <c r="AD477" s="28"/>
      <c r="AE477" s="28"/>
      <c r="AF477" s="28"/>
      <c r="AG477" s="28"/>
      <c r="AH477" s="28"/>
      <c r="AI477" s="28"/>
      <c r="AJ477" s="28"/>
      <c r="AK477" s="28"/>
    </row>
    <row r="478" spans="1:37" ht="31.5" x14ac:dyDescent="0.25">
      <c r="A478" s="13">
        <f t="shared" si="301"/>
        <v>3</v>
      </c>
      <c r="B478" s="675">
        <v>454</v>
      </c>
      <c r="C478" s="506">
        <v>459</v>
      </c>
      <c r="D478" s="65" t="s">
        <v>984</v>
      </c>
      <c r="E478" s="281" t="s">
        <v>985</v>
      </c>
      <c r="F478" s="66">
        <v>5</v>
      </c>
      <c r="G478" s="32" t="s">
        <v>24</v>
      </c>
      <c r="H478" s="33"/>
      <c r="I478" s="33"/>
      <c r="J478" s="533">
        <v>160000</v>
      </c>
      <c r="K478" s="40">
        <f t="shared" si="312"/>
        <v>800000</v>
      </c>
      <c r="L478" s="534">
        <v>179000</v>
      </c>
      <c r="M478" s="35">
        <f t="shared" si="313"/>
        <v>895000</v>
      </c>
      <c r="N478" s="534">
        <v>139000</v>
      </c>
      <c r="O478" s="41">
        <f t="shared" si="321"/>
        <v>695000</v>
      </c>
      <c r="P478" s="68">
        <f t="shared" si="320"/>
        <v>159333.33333333334</v>
      </c>
      <c r="Q478" s="68">
        <f t="shared" si="310"/>
        <v>796666.66666666674</v>
      </c>
      <c r="R478" s="68">
        <f t="shared" si="316"/>
        <v>16336.734339790462</v>
      </c>
      <c r="S478" s="69">
        <f t="shared" si="317"/>
        <v>0.10253180547985645</v>
      </c>
      <c r="T478" s="68">
        <f t="shared" si="318"/>
        <v>160000</v>
      </c>
      <c r="U478" s="68">
        <f t="shared" si="311"/>
        <v>800000</v>
      </c>
      <c r="V478" s="69">
        <f t="shared" si="319"/>
        <v>0.10210458962369039</v>
      </c>
      <c r="W478" s="25" t="s">
        <v>172</v>
      </c>
      <c r="X478" s="25" t="s">
        <v>42</v>
      </c>
      <c r="Y478" s="27" t="s">
        <v>43</v>
      </c>
      <c r="Z478" s="28"/>
      <c r="AA478" s="28"/>
      <c r="AB478" s="28"/>
      <c r="AC478" s="28"/>
      <c r="AD478" s="28"/>
      <c r="AE478" s="28"/>
      <c r="AF478" s="28"/>
      <c r="AG478" s="28"/>
      <c r="AH478" s="28"/>
      <c r="AI478" s="28"/>
      <c r="AJ478" s="28"/>
      <c r="AK478" s="28"/>
    </row>
    <row r="479" spans="1:37" ht="15.75" x14ac:dyDescent="0.25">
      <c r="A479" s="13">
        <f t="shared" si="301"/>
        <v>3</v>
      </c>
      <c r="B479" s="676">
        <v>455</v>
      </c>
      <c r="C479" s="38">
        <v>460</v>
      </c>
      <c r="D479" s="65" t="s">
        <v>986</v>
      </c>
      <c r="E479" s="281" t="s">
        <v>987</v>
      </c>
      <c r="F479" s="66">
        <v>30</v>
      </c>
      <c r="G479" s="32" t="s">
        <v>24</v>
      </c>
      <c r="H479" s="33"/>
      <c r="I479" s="33"/>
      <c r="J479" s="516">
        <v>29000</v>
      </c>
      <c r="K479" s="40">
        <f t="shared" si="312"/>
        <v>870000</v>
      </c>
      <c r="L479" s="530">
        <v>32000</v>
      </c>
      <c r="M479" s="35">
        <f t="shared" si="313"/>
        <v>960000</v>
      </c>
      <c r="N479" s="530">
        <v>34000</v>
      </c>
      <c r="O479" s="41">
        <f t="shared" si="321"/>
        <v>1020000</v>
      </c>
      <c r="P479" s="68">
        <f t="shared" si="320"/>
        <v>31666.666666666668</v>
      </c>
      <c r="Q479" s="68">
        <f t="shared" si="310"/>
        <v>950000</v>
      </c>
      <c r="R479" s="68">
        <f t="shared" si="316"/>
        <v>2054.8046676563254</v>
      </c>
      <c r="S479" s="69">
        <f t="shared" si="317"/>
        <v>6.4888568452305007E-2</v>
      </c>
      <c r="T479" s="68">
        <f t="shared" si="318"/>
        <v>32000</v>
      </c>
      <c r="U479" s="68">
        <f t="shared" si="311"/>
        <v>960000</v>
      </c>
      <c r="V479" s="69">
        <f t="shared" si="319"/>
        <v>6.4212645864260162E-2</v>
      </c>
      <c r="W479" s="532" t="s">
        <v>41</v>
      </c>
      <c r="X479" s="532" t="s">
        <v>42</v>
      </c>
      <c r="Y479" s="536" t="s">
        <v>43</v>
      </c>
      <c r="Z479" s="28"/>
      <c r="AA479" s="28"/>
      <c r="AB479" s="28"/>
      <c r="AC479" s="28"/>
      <c r="AD479" s="28"/>
      <c r="AE479" s="28"/>
      <c r="AF479" s="28"/>
      <c r="AG479" s="28"/>
      <c r="AH479" s="28"/>
      <c r="AI479" s="28"/>
      <c r="AJ479" s="28"/>
      <c r="AK479" s="28"/>
    </row>
    <row r="480" spans="1:37" ht="31.5" x14ac:dyDescent="0.25">
      <c r="A480" s="13">
        <f t="shared" si="301"/>
        <v>3</v>
      </c>
      <c r="B480" s="675">
        <v>456</v>
      </c>
      <c r="C480" s="506">
        <v>461</v>
      </c>
      <c r="D480" s="65" t="s">
        <v>988</v>
      </c>
      <c r="E480" s="281" t="s">
        <v>989</v>
      </c>
      <c r="F480" s="66">
        <v>5</v>
      </c>
      <c r="G480" s="32" t="s">
        <v>24</v>
      </c>
      <c r="H480" s="33"/>
      <c r="I480" s="33"/>
      <c r="J480" s="80">
        <v>41933</v>
      </c>
      <c r="K480" s="40">
        <f t="shared" si="312"/>
        <v>209665</v>
      </c>
      <c r="L480" s="83">
        <v>41933</v>
      </c>
      <c r="M480" s="35">
        <f t="shared" si="313"/>
        <v>209665</v>
      </c>
      <c r="N480" s="83">
        <v>41933</v>
      </c>
      <c r="O480" s="41">
        <f t="shared" si="321"/>
        <v>209665</v>
      </c>
      <c r="P480" s="68">
        <f t="shared" si="320"/>
        <v>41933</v>
      </c>
      <c r="Q480" s="68">
        <f t="shared" si="310"/>
        <v>209665</v>
      </c>
      <c r="R480" s="68">
        <f t="shared" si="316"/>
        <v>0</v>
      </c>
      <c r="S480" s="69">
        <f t="shared" si="317"/>
        <v>0</v>
      </c>
      <c r="T480" s="68">
        <f t="shared" si="318"/>
        <v>41933</v>
      </c>
      <c r="U480" s="68">
        <f t="shared" si="311"/>
        <v>209665</v>
      </c>
      <c r="V480" s="69">
        <f t="shared" si="319"/>
        <v>0</v>
      </c>
      <c r="W480" s="535" t="s">
        <v>839</v>
      </c>
      <c r="X480" s="535" t="s">
        <v>990</v>
      </c>
      <c r="Y480" s="535" t="s">
        <v>838</v>
      </c>
      <c r="Z480" s="28"/>
      <c r="AA480" s="28"/>
      <c r="AB480" s="28"/>
      <c r="AC480" s="28"/>
      <c r="AD480" s="28"/>
      <c r="AE480" s="28"/>
      <c r="AF480" s="28"/>
      <c r="AG480" s="28"/>
      <c r="AH480" s="28"/>
      <c r="AI480" s="28"/>
      <c r="AJ480" s="28"/>
      <c r="AK480" s="28"/>
    </row>
    <row r="481" spans="1:37" ht="236.25" x14ac:dyDescent="0.25">
      <c r="A481" s="13">
        <f t="shared" si="301"/>
        <v>3</v>
      </c>
      <c r="B481" s="676">
        <v>457</v>
      </c>
      <c r="C481" s="38">
        <v>462</v>
      </c>
      <c r="D481" s="65" t="s">
        <v>991</v>
      </c>
      <c r="E481" s="281" t="s">
        <v>992</v>
      </c>
      <c r="F481" s="66">
        <v>1</v>
      </c>
      <c r="G481" s="32" t="s">
        <v>24</v>
      </c>
      <c r="H481" s="33"/>
      <c r="I481" s="33"/>
      <c r="J481" s="80">
        <v>2517745</v>
      </c>
      <c r="K481" s="40">
        <f t="shared" si="312"/>
        <v>2517745</v>
      </c>
      <c r="L481" s="83">
        <v>2226807</v>
      </c>
      <c r="M481" s="35">
        <f t="shared" si="313"/>
        <v>2226807</v>
      </c>
      <c r="N481" s="83">
        <v>2058824</v>
      </c>
      <c r="O481" s="41">
        <f t="shared" si="321"/>
        <v>2058824</v>
      </c>
      <c r="P481" s="68">
        <f t="shared" si="320"/>
        <v>2267792</v>
      </c>
      <c r="Q481" s="68">
        <f t="shared" si="310"/>
        <v>2267792</v>
      </c>
      <c r="R481" s="68">
        <f t="shared" si="316"/>
        <v>189581.90618481149</v>
      </c>
      <c r="S481" s="69">
        <f t="shared" si="317"/>
        <v>8.3597572522000035E-2</v>
      </c>
      <c r="T481" s="68">
        <f t="shared" si="318"/>
        <v>2226807</v>
      </c>
      <c r="U481" s="68">
        <f t="shared" si="311"/>
        <v>2226807</v>
      </c>
      <c r="V481" s="69">
        <f t="shared" si="319"/>
        <v>8.5136209013538897E-2</v>
      </c>
      <c r="W481" s="535" t="s">
        <v>993</v>
      </c>
      <c r="X481" s="535" t="s">
        <v>994</v>
      </c>
      <c r="Y481" s="535" t="s">
        <v>995</v>
      </c>
      <c r="Z481" s="28"/>
      <c r="AA481" s="28"/>
      <c r="AB481" s="28"/>
      <c r="AC481" s="28"/>
      <c r="AD481" s="28"/>
      <c r="AE481" s="28"/>
      <c r="AF481" s="28"/>
      <c r="AG481" s="28"/>
      <c r="AH481" s="28"/>
      <c r="AI481" s="28"/>
      <c r="AJ481" s="28"/>
      <c r="AK481" s="28"/>
    </row>
    <row r="482" spans="1:37" ht="94.5" x14ac:dyDescent="0.25">
      <c r="A482" s="13">
        <f t="shared" si="301"/>
        <v>3</v>
      </c>
      <c r="B482" s="675">
        <v>458</v>
      </c>
      <c r="C482" s="506">
        <v>463</v>
      </c>
      <c r="D482" s="65" t="s">
        <v>996</v>
      </c>
      <c r="E482" s="281" t="s">
        <v>997</v>
      </c>
      <c r="F482" s="66">
        <v>1</v>
      </c>
      <c r="G482" s="32" t="s">
        <v>24</v>
      </c>
      <c r="H482" s="33"/>
      <c r="I482" s="33"/>
      <c r="J482" s="80">
        <v>65462</v>
      </c>
      <c r="K482" s="40">
        <f t="shared" si="312"/>
        <v>65462</v>
      </c>
      <c r="L482" s="83">
        <v>67983</v>
      </c>
      <c r="M482" s="35">
        <f t="shared" si="313"/>
        <v>67983</v>
      </c>
      <c r="N482" s="83">
        <v>54621</v>
      </c>
      <c r="O482" s="41">
        <f t="shared" si="321"/>
        <v>54621</v>
      </c>
      <c r="P482" s="68">
        <f t="shared" si="320"/>
        <v>62688.666666666664</v>
      </c>
      <c r="Q482" s="68">
        <f t="shared" si="310"/>
        <v>62688.666666666664</v>
      </c>
      <c r="R482" s="68">
        <f t="shared" si="316"/>
        <v>5796.7976408435106</v>
      </c>
      <c r="S482" s="69">
        <f t="shared" si="317"/>
        <v>9.246962727197118E-2</v>
      </c>
      <c r="T482" s="68">
        <f t="shared" si="318"/>
        <v>65462</v>
      </c>
      <c r="U482" s="68">
        <f t="shared" si="311"/>
        <v>65462</v>
      </c>
      <c r="V482" s="69">
        <f t="shared" si="319"/>
        <v>8.8552101079152956E-2</v>
      </c>
      <c r="W482" s="535" t="s">
        <v>244</v>
      </c>
      <c r="X482" s="535" t="s">
        <v>998</v>
      </c>
      <c r="Y482" s="535" t="s">
        <v>999</v>
      </c>
      <c r="Z482" s="28"/>
      <c r="AA482" s="28"/>
      <c r="AB482" s="28"/>
      <c r="AC482" s="28"/>
      <c r="AD482" s="28"/>
      <c r="AE482" s="28"/>
      <c r="AF482" s="28"/>
      <c r="AG482" s="28"/>
      <c r="AH482" s="28"/>
      <c r="AI482" s="28"/>
      <c r="AJ482" s="28"/>
      <c r="AK482" s="28"/>
    </row>
    <row r="483" spans="1:37" ht="47.25" x14ac:dyDescent="0.25">
      <c r="A483" s="13">
        <f t="shared" si="301"/>
        <v>3</v>
      </c>
      <c r="B483" s="676">
        <v>459</v>
      </c>
      <c r="C483" s="38">
        <v>464</v>
      </c>
      <c r="D483" s="65" t="s">
        <v>1000</v>
      </c>
      <c r="E483" s="281" t="s">
        <v>1001</v>
      </c>
      <c r="F483" s="66">
        <v>1</v>
      </c>
      <c r="G483" s="32" t="s">
        <v>24</v>
      </c>
      <c r="H483" s="33"/>
      <c r="I483" s="33"/>
      <c r="J483" s="80">
        <v>65462</v>
      </c>
      <c r="K483" s="40">
        <f t="shared" si="312"/>
        <v>65462</v>
      </c>
      <c r="L483" s="83">
        <v>67983</v>
      </c>
      <c r="M483" s="35">
        <f t="shared" si="313"/>
        <v>67983</v>
      </c>
      <c r="N483" s="83">
        <v>54621</v>
      </c>
      <c r="O483" s="41">
        <f t="shared" si="321"/>
        <v>54621</v>
      </c>
      <c r="P483" s="68">
        <f t="shared" si="320"/>
        <v>62688.666666666664</v>
      </c>
      <c r="Q483" s="68">
        <f t="shared" si="310"/>
        <v>62688.666666666664</v>
      </c>
      <c r="R483" s="68">
        <f t="shared" si="316"/>
        <v>5796.7976408435106</v>
      </c>
      <c r="S483" s="69">
        <f t="shared" si="317"/>
        <v>9.246962727197118E-2</v>
      </c>
      <c r="T483" s="68">
        <f t="shared" si="318"/>
        <v>65462</v>
      </c>
      <c r="U483" s="68">
        <f t="shared" si="311"/>
        <v>65462</v>
      </c>
      <c r="V483" s="69">
        <f t="shared" si="319"/>
        <v>8.8552101079152956E-2</v>
      </c>
      <c r="W483" s="536" t="s">
        <v>1002</v>
      </c>
      <c r="X483" s="536" t="s">
        <v>1003</v>
      </c>
      <c r="Y483" s="536" t="s">
        <v>244</v>
      </c>
      <c r="Z483" s="28"/>
      <c r="AA483" s="28"/>
      <c r="AB483" s="28"/>
      <c r="AC483" s="28"/>
      <c r="AD483" s="28"/>
      <c r="AE483" s="28"/>
      <c r="AF483" s="28"/>
      <c r="AG483" s="28"/>
      <c r="AH483" s="28"/>
      <c r="AI483" s="28"/>
      <c r="AJ483" s="28"/>
      <c r="AK483" s="28"/>
    </row>
    <row r="484" spans="1:37" ht="173.25" x14ac:dyDescent="0.25">
      <c r="A484" s="13">
        <f t="shared" si="301"/>
        <v>3</v>
      </c>
      <c r="B484" s="675">
        <v>460</v>
      </c>
      <c r="C484" s="506">
        <v>465</v>
      </c>
      <c r="D484" s="65" t="s">
        <v>1004</v>
      </c>
      <c r="E484" s="281" t="s">
        <v>1005</v>
      </c>
      <c r="F484" s="66">
        <v>1</v>
      </c>
      <c r="G484" s="32" t="s">
        <v>24</v>
      </c>
      <c r="H484" s="33"/>
      <c r="I484" s="33"/>
      <c r="J484" s="80">
        <v>125126</v>
      </c>
      <c r="K484" s="40">
        <f t="shared" si="312"/>
        <v>125126</v>
      </c>
      <c r="L484" s="83">
        <v>108151</v>
      </c>
      <c r="M484" s="35">
        <f t="shared" si="313"/>
        <v>108151</v>
      </c>
      <c r="N484" s="83">
        <v>106639</v>
      </c>
      <c r="O484" s="41">
        <f t="shared" si="321"/>
        <v>106639</v>
      </c>
      <c r="P484" s="68">
        <f t="shared" si="320"/>
        <v>113305.33333333333</v>
      </c>
      <c r="Q484" s="68">
        <f t="shared" si="310"/>
        <v>113305.33333333333</v>
      </c>
      <c r="R484" s="68">
        <f t="shared" si="316"/>
        <v>8381.2352444148837</v>
      </c>
      <c r="S484" s="69">
        <f t="shared" si="317"/>
        <v>7.3970350713837105E-2</v>
      </c>
      <c r="T484" s="68">
        <f t="shared" si="318"/>
        <v>108151</v>
      </c>
      <c r="U484" s="68">
        <f t="shared" si="311"/>
        <v>108151</v>
      </c>
      <c r="V484" s="69">
        <f t="shared" si="319"/>
        <v>7.7495679599956388E-2</v>
      </c>
      <c r="W484" s="536" t="s">
        <v>1003</v>
      </c>
      <c r="X484" s="536" t="s">
        <v>244</v>
      </c>
      <c r="Y484" s="536" t="s">
        <v>1006</v>
      </c>
      <c r="Z484" s="28"/>
      <c r="AA484" s="28"/>
      <c r="AB484" s="28"/>
      <c r="AC484" s="28"/>
      <c r="AD484" s="28"/>
      <c r="AE484" s="28"/>
      <c r="AF484" s="28"/>
      <c r="AG484" s="28"/>
      <c r="AH484" s="28"/>
      <c r="AI484" s="28"/>
      <c r="AJ484" s="28"/>
      <c r="AK484" s="28"/>
    </row>
    <row r="485" spans="1:37" ht="141.75" x14ac:dyDescent="0.25">
      <c r="A485" s="13">
        <f t="shared" si="301"/>
        <v>3</v>
      </c>
      <c r="B485" s="676">
        <v>461</v>
      </c>
      <c r="C485" s="38">
        <v>466</v>
      </c>
      <c r="D485" s="65" t="s">
        <v>1007</v>
      </c>
      <c r="E485" s="281" t="s">
        <v>1008</v>
      </c>
      <c r="F485" s="66">
        <v>1</v>
      </c>
      <c r="G485" s="32" t="s">
        <v>24</v>
      </c>
      <c r="H485" s="33"/>
      <c r="I485" s="33"/>
      <c r="J485" s="80">
        <v>450000</v>
      </c>
      <c r="K485" s="40">
        <f t="shared" si="312"/>
        <v>450000</v>
      </c>
      <c r="L485" s="83">
        <v>504000</v>
      </c>
      <c r="M485" s="35">
        <f t="shared" si="313"/>
        <v>504000</v>
      </c>
      <c r="N485" s="83">
        <v>531000</v>
      </c>
      <c r="O485" s="41">
        <f t="shared" si="321"/>
        <v>531000</v>
      </c>
      <c r="P485" s="68">
        <f t="shared" si="320"/>
        <v>495000</v>
      </c>
      <c r="Q485" s="68">
        <f t="shared" si="310"/>
        <v>495000</v>
      </c>
      <c r="R485" s="68">
        <f t="shared" si="316"/>
        <v>33674.916480965476</v>
      </c>
      <c r="S485" s="69">
        <f t="shared" si="317"/>
        <v>6.8030134304980755E-2</v>
      </c>
      <c r="T485" s="68">
        <f t="shared" si="318"/>
        <v>504000</v>
      </c>
      <c r="U485" s="68">
        <f t="shared" si="311"/>
        <v>504000</v>
      </c>
      <c r="V485" s="69">
        <f t="shared" si="319"/>
        <v>6.6815310478106099E-2</v>
      </c>
      <c r="W485" s="536" t="s">
        <v>41</v>
      </c>
      <c r="X485" s="536" t="s">
        <v>42</v>
      </c>
      <c r="Y485" s="537" t="s">
        <v>43</v>
      </c>
      <c r="Z485" s="28"/>
      <c r="AA485" s="28"/>
      <c r="AB485" s="28"/>
      <c r="AC485" s="28"/>
      <c r="AD485" s="28"/>
      <c r="AE485" s="28"/>
      <c r="AF485" s="28"/>
      <c r="AG485" s="28"/>
      <c r="AH485" s="28"/>
      <c r="AI485" s="28"/>
      <c r="AJ485" s="28"/>
      <c r="AK485" s="28"/>
    </row>
    <row r="486" spans="1:37" ht="31.5" x14ac:dyDescent="0.25">
      <c r="A486" s="13">
        <f t="shared" si="301"/>
        <v>3</v>
      </c>
      <c r="B486" s="675">
        <v>462</v>
      </c>
      <c r="C486" s="506">
        <v>467</v>
      </c>
      <c r="D486" s="65" t="s">
        <v>1009</v>
      </c>
      <c r="E486" s="281" t="s">
        <v>1010</v>
      </c>
      <c r="F486" s="66">
        <v>10</v>
      </c>
      <c r="G486" s="32" t="s">
        <v>24</v>
      </c>
      <c r="H486" s="33"/>
      <c r="I486" s="33"/>
      <c r="J486" s="34">
        <f>+(25000*100)/119</f>
        <v>21008.403361344539</v>
      </c>
      <c r="K486" s="40">
        <f t="shared" si="312"/>
        <v>210084.03361344538</v>
      </c>
      <c r="L486" s="35">
        <f>+(40000*100)/119</f>
        <v>33613.445378151264</v>
      </c>
      <c r="M486" s="35">
        <f t="shared" si="313"/>
        <v>336134.45378151262</v>
      </c>
      <c r="N486" s="35">
        <f>+(34300*100)/119</f>
        <v>28823.529411764706</v>
      </c>
      <c r="O486" s="41">
        <f t="shared" si="321"/>
        <v>288235.29411764705</v>
      </c>
      <c r="P486" s="68">
        <f t="shared" si="320"/>
        <v>27815.126050420175</v>
      </c>
      <c r="Q486" s="68">
        <f t="shared" si="310"/>
        <v>278151.26050420175</v>
      </c>
      <c r="R486" s="68">
        <f t="shared" si="316"/>
        <v>5195.1534507810647</v>
      </c>
      <c r="S486" s="69">
        <f t="shared" si="317"/>
        <v>0.18677439898578446</v>
      </c>
      <c r="T486" s="68">
        <f t="shared" si="318"/>
        <v>28823.529411764706</v>
      </c>
      <c r="U486" s="68">
        <f t="shared" si="311"/>
        <v>288235.29411764705</v>
      </c>
      <c r="V486" s="69">
        <f t="shared" si="319"/>
        <v>0.18024001768015938</v>
      </c>
      <c r="W486" s="538" t="s">
        <v>1011</v>
      </c>
      <c r="X486" s="538" t="s">
        <v>1012</v>
      </c>
      <c r="Y486" s="538" t="s">
        <v>1013</v>
      </c>
      <c r="Z486" s="28"/>
      <c r="AA486" s="28"/>
      <c r="AB486" s="28"/>
      <c r="AC486" s="28"/>
      <c r="AD486" s="28"/>
      <c r="AE486" s="28"/>
      <c r="AF486" s="28"/>
      <c r="AG486" s="28"/>
      <c r="AH486" s="28"/>
      <c r="AI486" s="28"/>
      <c r="AJ486" s="28"/>
      <c r="AK486" s="28"/>
    </row>
    <row r="487" spans="1:37" ht="47.25" x14ac:dyDescent="0.25">
      <c r="A487" s="13">
        <f t="shared" ref="A487:A509" si="322">+COUNT(J487,L487,N487)</f>
        <v>3</v>
      </c>
      <c r="B487" s="676">
        <v>463</v>
      </c>
      <c r="C487" s="38">
        <v>468</v>
      </c>
      <c r="D487" s="285" t="s">
        <v>1014</v>
      </c>
      <c r="E487" s="514" t="s">
        <v>1015</v>
      </c>
      <c r="F487" s="66">
        <v>5</v>
      </c>
      <c r="G487" s="32" t="s">
        <v>24</v>
      </c>
      <c r="H487" s="33"/>
      <c r="I487" s="33"/>
      <c r="J487" s="539">
        <v>800000</v>
      </c>
      <c r="K487" s="40">
        <f t="shared" si="312"/>
        <v>4000000</v>
      </c>
      <c r="L487" s="540">
        <v>896000</v>
      </c>
      <c r="M487" s="35">
        <f t="shared" si="313"/>
        <v>4480000</v>
      </c>
      <c r="N487" s="541">
        <v>944000</v>
      </c>
      <c r="O487" s="41">
        <f t="shared" si="321"/>
        <v>4720000</v>
      </c>
      <c r="P487" s="68">
        <f t="shared" si="320"/>
        <v>880000</v>
      </c>
      <c r="Q487" s="68">
        <f t="shared" si="310"/>
        <v>4400000</v>
      </c>
      <c r="R487" s="68">
        <f t="shared" si="316"/>
        <v>59866.518188383059</v>
      </c>
      <c r="S487" s="69">
        <f t="shared" si="317"/>
        <v>6.8030134304980755E-2</v>
      </c>
      <c r="T487" s="68">
        <f t="shared" si="318"/>
        <v>896000</v>
      </c>
      <c r="U487" s="68">
        <f t="shared" si="311"/>
        <v>4480000</v>
      </c>
      <c r="V487" s="69">
        <f t="shared" si="319"/>
        <v>6.6815310478106099E-2</v>
      </c>
      <c r="W487" s="542" t="s">
        <v>41</v>
      </c>
      <c r="X487" s="543" t="s">
        <v>42</v>
      </c>
      <c r="Y487" s="81" t="s">
        <v>43</v>
      </c>
      <c r="Z487" s="28"/>
      <c r="AA487" s="28"/>
      <c r="AB487" s="28"/>
      <c r="AC487" s="28"/>
      <c r="AD487" s="28"/>
      <c r="AE487" s="28"/>
      <c r="AF487" s="28"/>
      <c r="AG487" s="28"/>
      <c r="AH487" s="28"/>
      <c r="AI487" s="28"/>
      <c r="AJ487" s="28"/>
      <c r="AK487" s="28"/>
    </row>
    <row r="488" spans="1:37" ht="31.5" x14ac:dyDescent="0.25">
      <c r="A488" s="13">
        <f t="shared" si="322"/>
        <v>3</v>
      </c>
      <c r="B488" s="675">
        <v>464</v>
      </c>
      <c r="C488" s="506">
        <v>469</v>
      </c>
      <c r="D488" s="285" t="s">
        <v>1016</v>
      </c>
      <c r="E488" s="514" t="s">
        <v>1017</v>
      </c>
      <c r="F488" s="66">
        <v>5</v>
      </c>
      <c r="G488" s="32" t="s">
        <v>24</v>
      </c>
      <c r="H488" s="33"/>
      <c r="I488" s="33"/>
      <c r="J488" s="544">
        <v>580000</v>
      </c>
      <c r="K488" s="40">
        <f t="shared" si="312"/>
        <v>2900000</v>
      </c>
      <c r="L488" s="512">
        <v>650000</v>
      </c>
      <c r="M488" s="35">
        <f t="shared" si="313"/>
        <v>3250000</v>
      </c>
      <c r="N488" s="541">
        <v>684000</v>
      </c>
      <c r="O488" s="41">
        <f t="shared" si="321"/>
        <v>3420000</v>
      </c>
      <c r="P488" s="68">
        <f t="shared" si="320"/>
        <v>638000</v>
      </c>
      <c r="Q488" s="68">
        <f t="shared" si="310"/>
        <v>3190000</v>
      </c>
      <c r="R488" s="68">
        <f t="shared" si="316"/>
        <v>43297.421016345383</v>
      </c>
      <c r="S488" s="69">
        <f t="shared" si="317"/>
        <v>6.7864296263864241E-2</v>
      </c>
      <c r="T488" s="68">
        <f t="shared" si="318"/>
        <v>650000</v>
      </c>
      <c r="U488" s="68">
        <f t="shared" si="311"/>
        <v>3250000</v>
      </c>
      <c r="V488" s="69">
        <f t="shared" si="319"/>
        <v>6.6611416948223659E-2</v>
      </c>
      <c r="W488" s="542" t="s">
        <v>41</v>
      </c>
      <c r="X488" s="543" t="s">
        <v>42</v>
      </c>
      <c r="Y488" s="81" t="s">
        <v>43</v>
      </c>
      <c r="Z488" s="28"/>
      <c r="AA488" s="28"/>
      <c r="AB488" s="28"/>
      <c r="AC488" s="28"/>
      <c r="AD488" s="28"/>
      <c r="AE488" s="28"/>
      <c r="AF488" s="28"/>
      <c r="AG488" s="28"/>
      <c r="AH488" s="28"/>
      <c r="AI488" s="28"/>
      <c r="AJ488" s="28"/>
      <c r="AK488" s="28"/>
    </row>
    <row r="489" spans="1:37" ht="73.5" customHeight="1" x14ac:dyDescent="0.25">
      <c r="A489" s="13">
        <f t="shared" si="322"/>
        <v>3</v>
      </c>
      <c r="B489" s="676">
        <v>465</v>
      </c>
      <c r="C489" s="38">
        <v>470</v>
      </c>
      <c r="D489" s="65" t="s">
        <v>1018</v>
      </c>
      <c r="E489" s="281" t="s">
        <v>1019</v>
      </c>
      <c r="F489" s="66">
        <v>1</v>
      </c>
      <c r="G489" s="32" t="s">
        <v>24</v>
      </c>
      <c r="H489" s="33"/>
      <c r="I489" s="33"/>
      <c r="J489" s="267">
        <v>33529</v>
      </c>
      <c r="K489" s="44">
        <f t="shared" si="312"/>
        <v>33529</v>
      </c>
      <c r="L489" s="545">
        <v>41933</v>
      </c>
      <c r="M489" s="196">
        <f t="shared" si="313"/>
        <v>41933</v>
      </c>
      <c r="N489" s="267">
        <v>31932</v>
      </c>
      <c r="O489" s="41">
        <f t="shared" si="321"/>
        <v>31932</v>
      </c>
      <c r="P489" s="68">
        <f t="shared" si="320"/>
        <v>35798</v>
      </c>
      <c r="Q489" s="68">
        <f t="shared" si="310"/>
        <v>35798</v>
      </c>
      <c r="R489" s="68">
        <f t="shared" si="316"/>
        <v>4386.8189689872852</v>
      </c>
      <c r="S489" s="69">
        <f t="shared" si="317"/>
        <v>0.12254368872527195</v>
      </c>
      <c r="T489" s="68">
        <f t="shared" si="318"/>
        <v>33529</v>
      </c>
      <c r="U489" s="68">
        <f t="shared" si="311"/>
        <v>33529</v>
      </c>
      <c r="V489" s="69">
        <f t="shared" si="319"/>
        <v>0.1308365584713915</v>
      </c>
      <c r="W489" s="546" t="s">
        <v>1020</v>
      </c>
      <c r="X489" s="546" t="s">
        <v>886</v>
      </c>
      <c r="Y489" s="546" t="s">
        <v>999</v>
      </c>
      <c r="Z489" s="28"/>
      <c r="AA489" s="28"/>
      <c r="AB489" s="28"/>
      <c r="AC489" s="28"/>
      <c r="AD489" s="28"/>
      <c r="AE489" s="28"/>
      <c r="AF489" s="28"/>
      <c r="AG489" s="28"/>
      <c r="AH489" s="28"/>
      <c r="AI489" s="28"/>
      <c r="AJ489" s="28"/>
      <c r="AK489" s="28"/>
    </row>
    <row r="490" spans="1:37" ht="77.650000000000006" customHeight="1" x14ac:dyDescent="0.25">
      <c r="A490" s="13">
        <f t="shared" si="322"/>
        <v>3</v>
      </c>
      <c r="B490" s="675">
        <v>466</v>
      </c>
      <c r="C490" s="506">
        <v>471</v>
      </c>
      <c r="D490" s="285" t="s">
        <v>1021</v>
      </c>
      <c r="E490" s="514" t="s">
        <v>1022</v>
      </c>
      <c r="F490" s="66">
        <v>1</v>
      </c>
      <c r="G490" s="32" t="s">
        <v>24</v>
      </c>
      <c r="H490" s="118"/>
      <c r="I490" s="547"/>
      <c r="J490" s="548">
        <v>1800000</v>
      </c>
      <c r="K490" s="41">
        <f t="shared" si="312"/>
        <v>1800000</v>
      </c>
      <c r="L490" s="548">
        <v>2000000</v>
      </c>
      <c r="M490" s="41">
        <f t="shared" si="313"/>
        <v>2000000</v>
      </c>
      <c r="N490" s="548">
        <v>2100000</v>
      </c>
      <c r="O490" s="41">
        <f t="shared" si="321"/>
        <v>2100000</v>
      </c>
      <c r="P490" s="68">
        <f t="shared" si="320"/>
        <v>1966666.6666666667</v>
      </c>
      <c r="Q490" s="68">
        <f t="shared" si="310"/>
        <v>1966666.6666666667</v>
      </c>
      <c r="R490" s="68">
        <f t="shared" si="316"/>
        <v>124721.91289246472</v>
      </c>
      <c r="S490" s="69">
        <f t="shared" si="317"/>
        <v>6.3417921809727829E-2</v>
      </c>
      <c r="T490" s="68">
        <f t="shared" si="318"/>
        <v>2000000</v>
      </c>
      <c r="U490" s="68">
        <f t="shared" si="311"/>
        <v>2000000</v>
      </c>
      <c r="V490" s="69">
        <f t="shared" si="319"/>
        <v>6.2360956446232359E-2</v>
      </c>
      <c r="W490" s="542" t="s">
        <v>41</v>
      </c>
      <c r="X490" s="543" t="s">
        <v>42</v>
      </c>
      <c r="Y490" s="81" t="s">
        <v>43</v>
      </c>
      <c r="Z490" s="28"/>
      <c r="AA490" s="28"/>
      <c r="AB490" s="28"/>
      <c r="AC490" s="28"/>
      <c r="AD490" s="28"/>
      <c r="AE490" s="28"/>
      <c r="AF490" s="28"/>
      <c r="AG490" s="28"/>
      <c r="AH490" s="28"/>
      <c r="AI490" s="28"/>
      <c r="AJ490" s="28"/>
      <c r="AK490" s="28"/>
    </row>
    <row r="491" spans="1:37" ht="15.75" x14ac:dyDescent="0.25">
      <c r="A491" s="13">
        <f t="shared" si="322"/>
        <v>3</v>
      </c>
      <c r="B491" s="676">
        <v>467</v>
      </c>
      <c r="C491" s="38">
        <v>472</v>
      </c>
      <c r="D491" s="285" t="s">
        <v>1023</v>
      </c>
      <c r="E491" s="514" t="s">
        <v>1024</v>
      </c>
      <c r="F491" s="66">
        <v>2</v>
      </c>
      <c r="G491" s="32" t="s">
        <v>24</v>
      </c>
      <c r="H491" s="33"/>
      <c r="I491" s="33"/>
      <c r="J491" s="324">
        <v>130000</v>
      </c>
      <c r="K491" s="549">
        <f t="shared" si="312"/>
        <v>260000</v>
      </c>
      <c r="L491" s="324">
        <v>146000</v>
      </c>
      <c r="M491" s="41">
        <f t="shared" si="313"/>
        <v>292000</v>
      </c>
      <c r="N491" s="324">
        <v>153000</v>
      </c>
      <c r="O491" s="41">
        <f t="shared" si="321"/>
        <v>306000</v>
      </c>
      <c r="P491" s="68">
        <f t="shared" si="320"/>
        <v>143000</v>
      </c>
      <c r="Q491" s="68">
        <f t="shared" si="310"/>
        <v>286000</v>
      </c>
      <c r="R491" s="68">
        <f t="shared" si="316"/>
        <v>9626.3527187957679</v>
      </c>
      <c r="S491" s="69">
        <f t="shared" si="317"/>
        <v>6.7317151879690687E-2</v>
      </c>
      <c r="T491" s="68">
        <f t="shared" si="318"/>
        <v>146000</v>
      </c>
      <c r="U491" s="68">
        <f t="shared" si="311"/>
        <v>292000</v>
      </c>
      <c r="V491" s="69">
        <f t="shared" si="319"/>
        <v>6.5933922731477856E-2</v>
      </c>
      <c r="W491" s="542" t="s">
        <v>41</v>
      </c>
      <c r="X491" s="543" t="s">
        <v>42</v>
      </c>
      <c r="Y491" s="81" t="s">
        <v>43</v>
      </c>
      <c r="Z491" s="28"/>
      <c r="AA491" s="28"/>
      <c r="AB491" s="28"/>
      <c r="AC491" s="28"/>
      <c r="AD491" s="28"/>
      <c r="AE491" s="28"/>
      <c r="AF491" s="28"/>
      <c r="AG491" s="28"/>
      <c r="AH491" s="28"/>
      <c r="AI491" s="28"/>
      <c r="AJ491" s="28"/>
      <c r="AK491" s="28"/>
    </row>
    <row r="492" spans="1:37" ht="31.5" x14ac:dyDescent="0.25">
      <c r="A492" s="13">
        <f t="shared" si="322"/>
        <v>3</v>
      </c>
      <c r="B492" s="675">
        <v>468</v>
      </c>
      <c r="C492" s="506">
        <v>473</v>
      </c>
      <c r="D492" s="285" t="s">
        <v>1025</v>
      </c>
      <c r="E492" s="514" t="s">
        <v>1026</v>
      </c>
      <c r="F492" s="66">
        <v>2</v>
      </c>
      <c r="G492" s="32" t="s">
        <v>24</v>
      </c>
      <c r="H492" s="33"/>
      <c r="I492" s="33"/>
      <c r="J492" s="324">
        <v>130000</v>
      </c>
      <c r="K492" s="344">
        <f t="shared" si="312"/>
        <v>260000</v>
      </c>
      <c r="L492" s="324">
        <v>146000</v>
      </c>
      <c r="M492" s="41">
        <f t="shared" si="313"/>
        <v>292000</v>
      </c>
      <c r="N492" s="324">
        <v>153000</v>
      </c>
      <c r="O492" s="41">
        <f t="shared" si="321"/>
        <v>306000</v>
      </c>
      <c r="P492" s="68">
        <f t="shared" si="320"/>
        <v>143000</v>
      </c>
      <c r="Q492" s="68">
        <f t="shared" si="310"/>
        <v>286000</v>
      </c>
      <c r="R492" s="68">
        <f t="shared" si="316"/>
        <v>9626.3527187957679</v>
      </c>
      <c r="S492" s="69">
        <f t="shared" si="317"/>
        <v>6.7317151879690687E-2</v>
      </c>
      <c r="T492" s="68">
        <f t="shared" si="318"/>
        <v>146000</v>
      </c>
      <c r="U492" s="68">
        <f t="shared" si="311"/>
        <v>292000</v>
      </c>
      <c r="V492" s="69">
        <f t="shared" si="319"/>
        <v>6.5933922731477856E-2</v>
      </c>
      <c r="W492" s="542" t="s">
        <v>41</v>
      </c>
      <c r="X492" s="543" t="s">
        <v>42</v>
      </c>
      <c r="Y492" s="81" t="s">
        <v>43</v>
      </c>
      <c r="Z492" s="28" t="s">
        <v>205</v>
      </c>
      <c r="AA492" s="28" t="s">
        <v>206</v>
      </c>
      <c r="AB492" s="28"/>
      <c r="AC492" s="28"/>
      <c r="AD492" s="28"/>
      <c r="AE492" s="28"/>
      <c r="AF492" s="28"/>
      <c r="AG492" s="28"/>
      <c r="AH492" s="28"/>
      <c r="AI492" s="28"/>
      <c r="AJ492" s="28"/>
      <c r="AK492" s="28"/>
    </row>
    <row r="493" spans="1:37" ht="121.15" customHeight="1" x14ac:dyDescent="0.25">
      <c r="A493" s="13">
        <f t="shared" si="322"/>
        <v>3</v>
      </c>
      <c r="B493" s="676">
        <v>469</v>
      </c>
      <c r="C493" s="38">
        <v>474</v>
      </c>
      <c r="D493" s="285" t="s">
        <v>1027</v>
      </c>
      <c r="E493" s="514" t="s">
        <v>1028</v>
      </c>
      <c r="F493" s="66">
        <v>2</v>
      </c>
      <c r="G493" s="32" t="s">
        <v>24</v>
      </c>
      <c r="H493" s="33"/>
      <c r="I493" s="33"/>
      <c r="J493" s="324">
        <v>120000</v>
      </c>
      <c r="K493" s="344">
        <f t="shared" si="312"/>
        <v>240000</v>
      </c>
      <c r="L493" s="324">
        <v>134000</v>
      </c>
      <c r="M493" s="41">
        <f t="shared" si="313"/>
        <v>268000</v>
      </c>
      <c r="N493" s="324">
        <v>142000</v>
      </c>
      <c r="O493" s="41">
        <f t="shared" si="321"/>
        <v>284000</v>
      </c>
      <c r="P493" s="68">
        <f t="shared" si="320"/>
        <v>132000</v>
      </c>
      <c r="Q493" s="68">
        <f t="shared" si="310"/>
        <v>264000</v>
      </c>
      <c r="R493" s="68">
        <f t="shared" si="316"/>
        <v>9092.1211313239037</v>
      </c>
      <c r="S493" s="69">
        <f t="shared" si="317"/>
        <v>6.8879705540332598E-2</v>
      </c>
      <c r="T493" s="68">
        <f t="shared" si="318"/>
        <v>134000</v>
      </c>
      <c r="U493" s="68">
        <f t="shared" si="311"/>
        <v>268000</v>
      </c>
      <c r="V493" s="69">
        <f t="shared" si="319"/>
        <v>6.7851650233760469E-2</v>
      </c>
      <c r="W493" s="542" t="s">
        <v>41</v>
      </c>
      <c r="X493" s="543" t="s">
        <v>42</v>
      </c>
      <c r="Y493" s="81" t="s">
        <v>43</v>
      </c>
      <c r="Z493" s="550">
        <f>SUM(Q439:Q493)</f>
        <v>28625809.691876754</v>
      </c>
      <c r="AA493" s="550">
        <f>SUM(U439:U493)</f>
        <v>28929979.294117648</v>
      </c>
      <c r="AB493" s="28"/>
      <c r="AC493" s="28"/>
      <c r="AD493" s="28"/>
      <c r="AE493" s="28"/>
      <c r="AF493" s="28"/>
      <c r="AG493" s="28"/>
      <c r="AH493" s="28"/>
      <c r="AI493" s="28"/>
      <c r="AJ493" s="28"/>
      <c r="AK493" s="28"/>
    </row>
    <row r="494" spans="1:37" ht="46.5" customHeight="1" x14ac:dyDescent="0.25">
      <c r="A494" s="551"/>
      <c r="B494" s="551"/>
      <c r="C494" s="551"/>
      <c r="D494" s="551"/>
      <c r="E494" s="552" t="s">
        <v>1029</v>
      </c>
      <c r="F494" s="553"/>
      <c r="G494" s="553"/>
      <c r="H494" s="553"/>
      <c r="I494" s="553"/>
      <c r="J494" s="553"/>
      <c r="K494" s="553"/>
      <c r="L494" s="553"/>
      <c r="M494" s="553"/>
      <c r="N494" s="553"/>
      <c r="O494" s="553"/>
      <c r="P494" s="553"/>
      <c r="Q494" s="553"/>
      <c r="R494" s="553"/>
      <c r="S494" s="553"/>
      <c r="T494" s="553"/>
      <c r="U494" s="553"/>
      <c r="V494" s="553"/>
      <c r="W494" s="553"/>
      <c r="X494" s="554"/>
      <c r="Y494" s="184"/>
      <c r="Z494" s="28"/>
      <c r="AA494" s="28"/>
      <c r="AB494" s="28"/>
      <c r="AC494" s="28"/>
      <c r="AD494" s="28" t="s">
        <v>1069</v>
      </c>
      <c r="AE494" s="28"/>
      <c r="AF494" s="28"/>
      <c r="AG494" s="28"/>
      <c r="AH494" s="28"/>
      <c r="AI494" s="28"/>
      <c r="AJ494" s="28"/>
      <c r="AK494" s="28"/>
    </row>
    <row r="495" spans="1:37" ht="68.099999999999994" customHeight="1" x14ac:dyDescent="0.25">
      <c r="A495" s="555"/>
      <c r="B495" s="555"/>
      <c r="C495" s="555"/>
      <c r="D495" s="556"/>
      <c r="E495" s="557" t="s">
        <v>1030</v>
      </c>
      <c r="F495" s="558"/>
      <c r="G495" s="558"/>
      <c r="H495" s="558"/>
      <c r="I495" s="558"/>
      <c r="J495" s="558"/>
      <c r="K495" s="558"/>
      <c r="L495" s="558"/>
      <c r="M495" s="558"/>
      <c r="N495" s="558"/>
      <c r="O495" s="558"/>
      <c r="P495" s="558"/>
      <c r="Q495" s="558"/>
      <c r="R495" s="558"/>
      <c r="S495" s="558"/>
      <c r="T495" s="558"/>
      <c r="U495" s="558"/>
      <c r="V495" s="558"/>
      <c r="W495" s="558"/>
      <c r="X495" s="559"/>
      <c r="Y495" s="560"/>
      <c r="Z495" s="28"/>
      <c r="AA495" s="28"/>
      <c r="AB495" s="28"/>
      <c r="AC495" s="28"/>
      <c r="AD495" s="662">
        <f>SUM(U73:U439)</f>
        <v>1944194738.5038164</v>
      </c>
      <c r="AE495" s="28"/>
      <c r="AF495" s="28"/>
      <c r="AG495" s="28"/>
      <c r="AH495" s="28"/>
      <c r="AI495" s="28"/>
      <c r="AJ495" s="28"/>
      <c r="AK495" s="28"/>
    </row>
    <row r="496" spans="1:37" s="180" customFormat="1" ht="271.5" customHeight="1" x14ac:dyDescent="0.25">
      <c r="A496" s="13">
        <f t="shared" si="322"/>
        <v>1</v>
      </c>
      <c r="B496" s="13">
        <v>470</v>
      </c>
      <c r="C496" s="160">
        <v>475</v>
      </c>
      <c r="D496" s="561" t="s">
        <v>1031</v>
      </c>
      <c r="E496" s="562" t="s">
        <v>1032</v>
      </c>
      <c r="F496" s="125">
        <v>3</v>
      </c>
      <c r="G496" s="17" t="s">
        <v>24</v>
      </c>
      <c r="H496" s="17">
        <v>15</v>
      </c>
      <c r="I496" s="17" t="s">
        <v>167</v>
      </c>
      <c r="J496" s="162">
        <f>2000000/30</f>
        <v>66666.666666666672</v>
      </c>
      <c r="K496" s="35">
        <f>+J496*H496*F496</f>
        <v>3000000.0000000005</v>
      </c>
      <c r="L496" s="162"/>
      <c r="M496" s="162"/>
      <c r="N496" s="160"/>
      <c r="O496" s="159"/>
      <c r="P496" s="472">
        <f t="shared" ref="P496:P497" si="323">+(ROUND(AVERAGE(J496),0))</f>
        <v>66667</v>
      </c>
      <c r="Q496" s="163">
        <f>+P496*H496*F496</f>
        <v>3000015</v>
      </c>
      <c r="R496" s="164">
        <f t="shared" ref="R496:R497" si="324">+_xlfn.STDEV.P(J496,L496,N496)</f>
        <v>0</v>
      </c>
      <c r="S496" s="165">
        <f t="shared" ref="S496:S497" si="325">+R496/P496</f>
        <v>0</v>
      </c>
      <c r="T496" s="164">
        <f t="shared" ref="T496:T497" si="326">+MEDIAN(J496,L496,N496)</f>
        <v>66666.666666666672</v>
      </c>
      <c r="U496" s="163">
        <f>+T496*H496*F496</f>
        <v>3000000.0000000005</v>
      </c>
      <c r="V496" s="165">
        <f t="shared" ref="V496:V497" si="327">+R496/T496</f>
        <v>0</v>
      </c>
      <c r="W496" s="166" t="s">
        <v>1033</v>
      </c>
      <c r="X496" s="160"/>
      <c r="Y496" s="81"/>
      <c r="Z496" s="81" t="s">
        <v>205</v>
      </c>
      <c r="AA496" s="658" t="s">
        <v>206</v>
      </c>
      <c r="AB496" s="179"/>
      <c r="AC496" s="179"/>
      <c r="AD496" s="179"/>
      <c r="AE496" s="179"/>
      <c r="AF496" s="179"/>
      <c r="AG496" s="179"/>
      <c r="AH496" s="179"/>
      <c r="AI496" s="179"/>
      <c r="AJ496" s="179"/>
      <c r="AK496" s="179"/>
    </row>
    <row r="497" spans="1:37" s="180" customFormat="1" ht="160.15" customHeight="1" x14ac:dyDescent="0.25">
      <c r="A497" s="13">
        <f t="shared" si="322"/>
        <v>1</v>
      </c>
      <c r="B497" s="13">
        <v>471</v>
      </c>
      <c r="C497" s="160">
        <v>476</v>
      </c>
      <c r="D497" s="563" t="s">
        <v>1034</v>
      </c>
      <c r="E497" s="564" t="s">
        <v>1035</v>
      </c>
      <c r="F497" s="125">
        <v>5</v>
      </c>
      <c r="G497" s="17" t="s">
        <v>24</v>
      </c>
      <c r="H497" s="17"/>
      <c r="I497" s="17"/>
      <c r="J497" s="162">
        <v>20000000</v>
      </c>
      <c r="K497" s="35">
        <f>+J497*F497</f>
        <v>100000000</v>
      </c>
      <c r="L497" s="162"/>
      <c r="M497" s="162"/>
      <c r="N497" s="160"/>
      <c r="O497" s="159"/>
      <c r="P497" s="472">
        <f t="shared" si="323"/>
        <v>20000000</v>
      </c>
      <c r="Q497" s="163">
        <f t="shared" ref="Q497" si="328">+P497*F497</f>
        <v>100000000</v>
      </c>
      <c r="R497" s="164">
        <f t="shared" si="324"/>
        <v>0</v>
      </c>
      <c r="S497" s="165">
        <f t="shared" si="325"/>
        <v>0</v>
      </c>
      <c r="T497" s="164">
        <f t="shared" si="326"/>
        <v>20000000</v>
      </c>
      <c r="U497" s="163">
        <f t="shared" ref="U497" si="329">+T497*F497</f>
        <v>100000000</v>
      </c>
      <c r="V497" s="165">
        <f t="shared" si="327"/>
        <v>0</v>
      </c>
      <c r="W497" s="166" t="s">
        <v>1033</v>
      </c>
      <c r="X497" s="160"/>
      <c r="Y497" s="81"/>
      <c r="Z497" s="189">
        <f>SUM(Q496:Q497)</f>
        <v>103000015</v>
      </c>
      <c r="AA497" s="660">
        <f>SUM(U496:U497)</f>
        <v>103000000</v>
      </c>
      <c r="AB497" s="179"/>
      <c r="AC497" s="179"/>
      <c r="AD497" s="179"/>
      <c r="AE497" s="179"/>
      <c r="AF497" s="179"/>
      <c r="AG497" s="179"/>
      <c r="AH497" s="179"/>
      <c r="AI497" s="179"/>
      <c r="AJ497" s="179"/>
      <c r="AK497" s="179"/>
    </row>
    <row r="498" spans="1:37" ht="57" customHeight="1" x14ac:dyDescent="0.25">
      <c r="A498" s="565"/>
      <c r="B498" s="565"/>
      <c r="C498" s="565"/>
      <c r="D498" s="678" t="s">
        <v>1036</v>
      </c>
      <c r="E498" s="678"/>
      <c r="F498" s="678"/>
      <c r="G498" s="678"/>
      <c r="H498" s="449"/>
      <c r="I498" s="449"/>
      <c r="J498" s="449"/>
      <c r="K498" s="449"/>
      <c r="L498" s="449"/>
      <c r="M498" s="449"/>
      <c r="N498" s="449"/>
      <c r="O498" s="449"/>
      <c r="P498" s="449"/>
      <c r="Q498" s="449"/>
      <c r="R498" s="449"/>
      <c r="S498" s="449"/>
      <c r="T498" s="449"/>
      <c r="U498" s="449"/>
      <c r="V498" s="449"/>
      <c r="W498" s="449"/>
      <c r="X498" s="503"/>
      <c r="Y498" s="503"/>
      <c r="Z498" s="28"/>
      <c r="AA498" s="28"/>
      <c r="AB498" s="28"/>
      <c r="AC498" s="28"/>
      <c r="AD498" s="28"/>
      <c r="AE498" s="28"/>
      <c r="AF498" s="28"/>
      <c r="AG498" s="28"/>
      <c r="AH498" s="28"/>
      <c r="AI498" s="28"/>
      <c r="AJ498" s="28"/>
      <c r="AK498" s="28"/>
    </row>
    <row r="499" spans="1:37" s="180" customFormat="1" ht="269.64999999999998" customHeight="1" x14ac:dyDescent="0.25">
      <c r="A499" s="13">
        <f t="shared" si="322"/>
        <v>1</v>
      </c>
      <c r="B499" s="13">
        <v>472</v>
      </c>
      <c r="C499" s="160">
        <v>477</v>
      </c>
      <c r="D499" s="563" t="s">
        <v>1037</v>
      </c>
      <c r="E499" s="562" t="s">
        <v>1038</v>
      </c>
      <c r="F499" s="373">
        <v>3</v>
      </c>
      <c r="G499" s="373" t="s">
        <v>24</v>
      </c>
      <c r="H499" s="17">
        <v>3</v>
      </c>
      <c r="I499" s="17" t="s">
        <v>25</v>
      </c>
      <c r="J499" s="162">
        <v>2000000</v>
      </c>
      <c r="K499" s="35">
        <f>+J499*F499*H499</f>
        <v>18000000</v>
      </c>
      <c r="L499" s="162"/>
      <c r="M499" s="162"/>
      <c r="N499" s="17"/>
      <c r="O499" s="166"/>
      <c r="P499" s="36">
        <f>+(ROUND(AVERAGE(J499),0))</f>
        <v>2000000</v>
      </c>
      <c r="Q499" s="36">
        <f>+P499*F499*H499</f>
        <v>18000000</v>
      </c>
      <c r="R499" s="164">
        <f>+_xlfn.STDEV.P(J499,L499,N499)</f>
        <v>0</v>
      </c>
      <c r="S499" s="165">
        <f>+R499/P499</f>
        <v>0</v>
      </c>
      <c r="T499" s="164">
        <f>+MEDIAN(J499,L499,N499)</f>
        <v>2000000</v>
      </c>
      <c r="U499" s="164">
        <f>+T499*F499*H499</f>
        <v>18000000</v>
      </c>
      <c r="V499" s="165">
        <f>+R499/T499</f>
        <v>0</v>
      </c>
      <c r="W499" s="166" t="s">
        <v>1033</v>
      </c>
      <c r="X499" s="17"/>
      <c r="Y499" s="81"/>
      <c r="Z499" s="81"/>
      <c r="AA499" s="658"/>
      <c r="AB499" s="179"/>
      <c r="AC499" s="179"/>
      <c r="AD499" s="179"/>
      <c r="AE499" s="179"/>
      <c r="AF499" s="179"/>
      <c r="AG499" s="179"/>
      <c r="AH499" s="179"/>
      <c r="AI499" s="179"/>
      <c r="AJ499" s="179"/>
      <c r="AK499" s="179"/>
    </row>
    <row r="500" spans="1:37" s="180" customFormat="1" ht="62.1" customHeight="1" x14ac:dyDescent="0.25">
      <c r="A500" s="13">
        <f t="shared" ref="A500:A506" si="330">+COUNT(J500,L500,N500)</f>
        <v>3</v>
      </c>
      <c r="B500" s="13">
        <v>473</v>
      </c>
      <c r="C500" s="160">
        <v>479</v>
      </c>
      <c r="D500" s="160" t="s">
        <v>1039</v>
      </c>
      <c r="E500" s="161" t="s">
        <v>1040</v>
      </c>
      <c r="F500" s="329">
        <v>59</v>
      </c>
      <c r="G500" s="329" t="s">
        <v>24</v>
      </c>
      <c r="H500" s="166">
        <v>19</v>
      </c>
      <c r="I500" s="166" t="s">
        <v>809</v>
      </c>
      <c r="J500" s="182">
        <f>+(297500*100)/119</f>
        <v>250000</v>
      </c>
      <c r="K500" s="182">
        <f t="shared" ref="K500:K507" si="331">+J500*F500*H500</f>
        <v>280250000</v>
      </c>
      <c r="L500" s="182">
        <f>+(220000*5.35%)+220000</f>
        <v>231770</v>
      </c>
      <c r="M500" s="182">
        <f t="shared" ref="M500:M507" si="332">+L500*H500*F500</f>
        <v>259814170</v>
      </c>
      <c r="N500" s="566">
        <v>406000</v>
      </c>
      <c r="O500" s="35">
        <f>+N500*H500*F500</f>
        <v>455126000</v>
      </c>
      <c r="P500" s="163">
        <f t="shared" ref="P500:P507" si="333">+AVERAGE(J500,L500,N500)</f>
        <v>295923.33333333331</v>
      </c>
      <c r="Q500" s="163">
        <f t="shared" ref="Q500:Q507" si="334">+P500*H500*F500</f>
        <v>331730056.66666663</v>
      </c>
      <c r="R500" s="163">
        <f t="shared" ref="R500:R507" si="335">+_xlfn.STDEV.P(J500,L500,N500)</f>
        <v>78190.952730407938</v>
      </c>
      <c r="S500" s="183">
        <f t="shared" ref="S500:S507" si="336">+R500/P500</f>
        <v>0.26422706127851114</v>
      </c>
      <c r="T500" s="163">
        <f t="shared" ref="T500:T507" si="337">+MEDIAN(J500,L500,N500)</f>
        <v>250000</v>
      </c>
      <c r="U500" s="163">
        <f t="shared" ref="U500:U507" si="338">+T500*F500*H500</f>
        <v>280250000</v>
      </c>
      <c r="V500" s="183">
        <f t="shared" ref="V500:V507" si="339">+R500/T500</f>
        <v>0.31276381092163175</v>
      </c>
      <c r="W500" s="166" t="s">
        <v>1041</v>
      </c>
      <c r="X500" s="166" t="s">
        <v>1042</v>
      </c>
      <c r="Y500" s="81" t="s">
        <v>1043</v>
      </c>
      <c r="Z500" s="81"/>
      <c r="AA500" s="658"/>
      <c r="AB500" s="179"/>
      <c r="AC500" s="179"/>
      <c r="AD500" s="179"/>
      <c r="AE500" s="179"/>
      <c r="AF500" s="179"/>
      <c r="AG500" s="179"/>
      <c r="AH500" s="179"/>
      <c r="AI500" s="179"/>
      <c r="AJ500" s="179"/>
      <c r="AK500" s="179"/>
    </row>
    <row r="501" spans="1:37" s="180" customFormat="1" ht="63" customHeight="1" x14ac:dyDescent="0.25">
      <c r="A501" s="13">
        <f t="shared" si="330"/>
        <v>3</v>
      </c>
      <c r="B501" s="13">
        <v>474</v>
      </c>
      <c r="C501" s="159">
        <v>480</v>
      </c>
      <c r="D501" s="567" t="s">
        <v>150</v>
      </c>
      <c r="E501" s="568" t="s">
        <v>1044</v>
      </c>
      <c r="F501" s="329">
        <v>1</v>
      </c>
      <c r="G501" s="329" t="s">
        <v>24</v>
      </c>
      <c r="H501" s="166">
        <v>1</v>
      </c>
      <c r="I501" s="166" t="s">
        <v>29</v>
      </c>
      <c r="J501" s="35">
        <f>+(8092000*100)/119</f>
        <v>6800000</v>
      </c>
      <c r="K501" s="35">
        <f t="shared" si="331"/>
        <v>6800000</v>
      </c>
      <c r="L501" s="35">
        <v>8700000</v>
      </c>
      <c r="M501" s="35">
        <f t="shared" si="332"/>
        <v>8700000</v>
      </c>
      <c r="N501" s="35">
        <v>7800000</v>
      </c>
      <c r="O501" s="35">
        <f t="shared" ref="O501" si="340">+N501*H501*F501</f>
        <v>7800000</v>
      </c>
      <c r="P501" s="163">
        <f t="shared" si="333"/>
        <v>7766666.666666667</v>
      </c>
      <c r="Q501" s="163">
        <f t="shared" si="334"/>
        <v>7766666.666666667</v>
      </c>
      <c r="R501" s="163">
        <f t="shared" si="335"/>
        <v>776029.7817881878</v>
      </c>
      <c r="S501" s="183">
        <f t="shared" si="336"/>
        <v>9.9917997655131471E-2</v>
      </c>
      <c r="T501" s="163">
        <f t="shared" si="337"/>
        <v>7800000</v>
      </c>
      <c r="U501" s="163">
        <f t="shared" si="338"/>
        <v>7800000</v>
      </c>
      <c r="V501" s="183">
        <f t="shared" si="339"/>
        <v>9.9490997665152278E-2</v>
      </c>
      <c r="W501" s="501" t="s">
        <v>143</v>
      </c>
      <c r="X501" s="166" t="s">
        <v>42</v>
      </c>
      <c r="Y501" s="81" t="s">
        <v>41</v>
      </c>
      <c r="Z501" s="81"/>
      <c r="AA501" s="658"/>
      <c r="AB501" s="179"/>
      <c r="AC501" s="179"/>
      <c r="AD501" s="179"/>
      <c r="AE501" s="179"/>
      <c r="AF501" s="179"/>
      <c r="AG501" s="179"/>
      <c r="AH501" s="179"/>
      <c r="AI501" s="179"/>
      <c r="AJ501" s="179"/>
      <c r="AK501" s="179"/>
    </row>
    <row r="502" spans="1:37" s="180" customFormat="1" ht="72" customHeight="1" x14ac:dyDescent="0.25">
      <c r="A502" s="13">
        <f t="shared" si="330"/>
        <v>3</v>
      </c>
      <c r="B502" s="13">
        <v>475</v>
      </c>
      <c r="C502" s="160">
        <v>481</v>
      </c>
      <c r="D502" s="160" t="s">
        <v>1045</v>
      </c>
      <c r="E502" s="161" t="s">
        <v>1046</v>
      </c>
      <c r="F502" s="373">
        <v>10</v>
      </c>
      <c r="G502" s="329" t="s">
        <v>24</v>
      </c>
      <c r="H502" s="166">
        <v>1</v>
      </c>
      <c r="I502" s="166" t="s">
        <v>29</v>
      </c>
      <c r="J502" s="35">
        <f>+(428400*100)/119</f>
        <v>360000</v>
      </c>
      <c r="K502" s="35">
        <f t="shared" si="331"/>
        <v>3600000</v>
      </c>
      <c r="L502" s="35">
        <f>+(535500*100)/119</f>
        <v>450000</v>
      </c>
      <c r="M502" s="35">
        <f t="shared" si="332"/>
        <v>4500000</v>
      </c>
      <c r="N502" s="83">
        <v>406000</v>
      </c>
      <c r="O502" s="35">
        <f>+N502*H502*F502</f>
        <v>4060000</v>
      </c>
      <c r="P502" s="163">
        <f t="shared" si="333"/>
        <v>405333.33333333331</v>
      </c>
      <c r="Q502" s="163">
        <f t="shared" si="334"/>
        <v>4053333.333333333</v>
      </c>
      <c r="R502" s="163">
        <f t="shared" si="335"/>
        <v>36745.370078721789</v>
      </c>
      <c r="S502" s="183">
        <f t="shared" si="336"/>
        <v>9.0654695917899153E-2</v>
      </c>
      <c r="T502" s="163">
        <f t="shared" si="337"/>
        <v>406000</v>
      </c>
      <c r="U502" s="163">
        <f t="shared" si="338"/>
        <v>4060000</v>
      </c>
      <c r="V502" s="183">
        <f t="shared" si="339"/>
        <v>9.0505837632319674E-2</v>
      </c>
      <c r="W502" s="166" t="s">
        <v>143</v>
      </c>
      <c r="X502" s="166" t="s">
        <v>144</v>
      </c>
      <c r="Y502" s="347" t="s">
        <v>248</v>
      </c>
      <c r="Z502" s="81"/>
      <c r="AA502" s="658"/>
      <c r="AB502" s="179"/>
      <c r="AC502" s="179"/>
      <c r="AD502" s="179"/>
      <c r="AE502" s="179"/>
      <c r="AF502" s="179"/>
      <c r="AG502" s="179"/>
      <c r="AH502" s="179"/>
      <c r="AI502" s="179"/>
      <c r="AJ502" s="179"/>
      <c r="AK502" s="179"/>
    </row>
    <row r="503" spans="1:37" s="180" customFormat="1" ht="47.25" customHeight="1" x14ac:dyDescent="0.25">
      <c r="A503" s="13">
        <f t="shared" si="330"/>
        <v>3</v>
      </c>
      <c r="B503" s="13">
        <v>476</v>
      </c>
      <c r="C503" s="159">
        <v>482</v>
      </c>
      <c r="D503" s="569" t="s">
        <v>562</v>
      </c>
      <c r="E503" s="161" t="s">
        <v>563</v>
      </c>
      <c r="F503" s="373">
        <v>8</v>
      </c>
      <c r="G503" s="329" t="s">
        <v>24</v>
      </c>
      <c r="H503" s="166">
        <v>1</v>
      </c>
      <c r="I503" s="166" t="s">
        <v>29</v>
      </c>
      <c r="J503" s="35">
        <f>+(702100*100)/119</f>
        <v>590000</v>
      </c>
      <c r="K503" s="35">
        <f t="shared" si="331"/>
        <v>4720000</v>
      </c>
      <c r="L503" s="35">
        <f>+(535500*100)/119</f>
        <v>450000</v>
      </c>
      <c r="M503" s="35">
        <f t="shared" si="332"/>
        <v>3600000</v>
      </c>
      <c r="N503" s="83">
        <v>406000</v>
      </c>
      <c r="O503" s="35">
        <f>+N503*H503*F503</f>
        <v>3248000</v>
      </c>
      <c r="P503" s="163">
        <f t="shared" si="333"/>
        <v>482000</v>
      </c>
      <c r="Q503" s="163">
        <f t="shared" si="334"/>
        <v>3856000</v>
      </c>
      <c r="R503" s="163">
        <f t="shared" si="335"/>
        <v>78451.683644563469</v>
      </c>
      <c r="S503" s="183">
        <f t="shared" si="336"/>
        <v>0.16276282913809847</v>
      </c>
      <c r="T503" s="163">
        <f t="shared" si="337"/>
        <v>450000</v>
      </c>
      <c r="U503" s="163">
        <f t="shared" si="338"/>
        <v>3600000</v>
      </c>
      <c r="V503" s="183">
        <f t="shared" si="339"/>
        <v>0.1743370747656966</v>
      </c>
      <c r="W503" s="166" t="s">
        <v>143</v>
      </c>
      <c r="X503" s="166" t="s">
        <v>144</v>
      </c>
      <c r="Y503" s="347" t="s">
        <v>248</v>
      </c>
      <c r="Z503" s="81"/>
      <c r="AA503" s="658"/>
      <c r="AB503" s="179"/>
      <c r="AC503" s="179"/>
      <c r="AD503" s="179"/>
      <c r="AE503" s="179"/>
      <c r="AF503" s="179"/>
      <c r="AG503" s="179"/>
      <c r="AH503" s="179"/>
      <c r="AI503" s="179"/>
      <c r="AJ503" s="179"/>
      <c r="AK503" s="179"/>
    </row>
    <row r="504" spans="1:37" s="180" customFormat="1" ht="133.5" customHeight="1" x14ac:dyDescent="0.25">
      <c r="A504" s="13">
        <f t="shared" si="330"/>
        <v>3</v>
      </c>
      <c r="B504" s="13">
        <v>477</v>
      </c>
      <c r="C504" s="160">
        <v>483</v>
      </c>
      <c r="D504" s="570" t="s">
        <v>1047</v>
      </c>
      <c r="E504" s="571" t="s">
        <v>1048</v>
      </c>
      <c r="F504" s="329">
        <v>1</v>
      </c>
      <c r="G504" s="329" t="s">
        <v>24</v>
      </c>
      <c r="H504" s="166">
        <v>1</v>
      </c>
      <c r="I504" s="166" t="s">
        <v>29</v>
      </c>
      <c r="J504" s="35">
        <f>+(8092000*100)/119</f>
        <v>6800000</v>
      </c>
      <c r="K504" s="35">
        <f t="shared" si="331"/>
        <v>6800000</v>
      </c>
      <c r="L504" s="35">
        <v>8700000</v>
      </c>
      <c r="M504" s="35">
        <f t="shared" si="332"/>
        <v>8700000</v>
      </c>
      <c r="N504" s="35">
        <v>7800000</v>
      </c>
      <c r="O504" s="35">
        <f>+N504*H504*F504</f>
        <v>7800000</v>
      </c>
      <c r="P504" s="163">
        <f t="shared" si="333"/>
        <v>7766666.666666667</v>
      </c>
      <c r="Q504" s="163">
        <f t="shared" si="334"/>
        <v>7766666.666666667</v>
      </c>
      <c r="R504" s="163">
        <f t="shared" si="335"/>
        <v>776029.7817881878</v>
      </c>
      <c r="S504" s="183">
        <f t="shared" si="336"/>
        <v>9.9917997655131471E-2</v>
      </c>
      <c r="T504" s="163">
        <f t="shared" si="337"/>
        <v>7800000</v>
      </c>
      <c r="U504" s="163">
        <f t="shared" si="338"/>
        <v>7800000</v>
      </c>
      <c r="V504" s="183">
        <f t="shared" si="339"/>
        <v>9.9490997665152278E-2</v>
      </c>
      <c r="W504" s="501" t="s">
        <v>143</v>
      </c>
      <c r="X504" s="166" t="s">
        <v>42</v>
      </c>
      <c r="Y504" s="81" t="s">
        <v>41</v>
      </c>
      <c r="Z504" s="81"/>
      <c r="AA504" s="658"/>
      <c r="AB504" s="179"/>
      <c r="AC504" s="179"/>
      <c r="AD504" s="179"/>
      <c r="AE504" s="179"/>
      <c r="AF504" s="179"/>
      <c r="AG504" s="179"/>
      <c r="AH504" s="179"/>
      <c r="AI504" s="179"/>
      <c r="AJ504" s="179"/>
      <c r="AK504" s="179"/>
    </row>
    <row r="505" spans="1:37" s="180" customFormat="1" ht="108.75" customHeight="1" x14ac:dyDescent="0.25">
      <c r="A505" s="13">
        <f t="shared" si="330"/>
        <v>3</v>
      </c>
      <c r="B505" s="13">
        <v>478</v>
      </c>
      <c r="C505" s="159">
        <v>484</v>
      </c>
      <c r="D505" s="572" t="s">
        <v>1049</v>
      </c>
      <c r="E505" s="141" t="s">
        <v>1050</v>
      </c>
      <c r="F505" s="329">
        <v>1</v>
      </c>
      <c r="G505" s="329" t="s">
        <v>24</v>
      </c>
      <c r="H505" s="166">
        <v>1</v>
      </c>
      <c r="I505" s="166" t="s">
        <v>29</v>
      </c>
      <c r="J505" s="35">
        <f>+(8092000*100)/119</f>
        <v>6800000</v>
      </c>
      <c r="K505" s="35">
        <f t="shared" si="331"/>
        <v>6800000</v>
      </c>
      <c r="L505" s="35">
        <f>+(3391500*100)/119</f>
        <v>2850000</v>
      </c>
      <c r="M505" s="35">
        <f t="shared" si="332"/>
        <v>2850000</v>
      </c>
      <c r="N505" s="35">
        <v>8500000</v>
      </c>
      <c r="O505" s="35">
        <f>+N505*H505*F505</f>
        <v>8500000</v>
      </c>
      <c r="P505" s="163">
        <f t="shared" si="333"/>
        <v>6050000</v>
      </c>
      <c r="Q505" s="163">
        <f t="shared" si="334"/>
        <v>6050000</v>
      </c>
      <c r="R505" s="163">
        <f t="shared" si="335"/>
        <v>2366784.0346484231</v>
      </c>
      <c r="S505" s="183">
        <f t="shared" si="336"/>
        <v>0.39120397266916085</v>
      </c>
      <c r="T505" s="163">
        <f t="shared" si="337"/>
        <v>6800000</v>
      </c>
      <c r="U505" s="163">
        <f t="shared" si="338"/>
        <v>6800000</v>
      </c>
      <c r="V505" s="183">
        <f t="shared" si="339"/>
        <v>0.3480564756835916</v>
      </c>
      <c r="W505" s="501" t="s">
        <v>143</v>
      </c>
      <c r="X505" s="573" t="s">
        <v>144</v>
      </c>
      <c r="Y505" s="81" t="s">
        <v>41</v>
      </c>
      <c r="Z505" s="81"/>
      <c r="AA505" s="658"/>
      <c r="AB505" s="179"/>
      <c r="AC505" s="179"/>
      <c r="AD505" s="179"/>
      <c r="AE505" s="179"/>
      <c r="AF505" s="179"/>
      <c r="AG505" s="179"/>
      <c r="AH505" s="179"/>
      <c r="AI505" s="179"/>
      <c r="AJ505" s="179"/>
      <c r="AK505" s="179"/>
    </row>
    <row r="506" spans="1:37" s="180" customFormat="1" ht="199.5" customHeight="1" x14ac:dyDescent="0.25">
      <c r="A506" s="13">
        <f t="shared" si="330"/>
        <v>3</v>
      </c>
      <c r="B506" s="13">
        <v>479</v>
      </c>
      <c r="C506" s="160">
        <v>485</v>
      </c>
      <c r="D506" s="391" t="s">
        <v>1051</v>
      </c>
      <c r="E506" s="392" t="s">
        <v>1052</v>
      </c>
      <c r="F506" s="329">
        <v>1</v>
      </c>
      <c r="G506" s="329" t="s">
        <v>24</v>
      </c>
      <c r="H506" s="409">
        <v>1</v>
      </c>
      <c r="I506" s="409" t="s">
        <v>29</v>
      </c>
      <c r="J506" s="35">
        <v>6400000</v>
      </c>
      <c r="K506" s="35">
        <f t="shared" si="331"/>
        <v>6400000</v>
      </c>
      <c r="L506" s="35">
        <v>7200000</v>
      </c>
      <c r="M506" s="35">
        <f t="shared" si="332"/>
        <v>7200000</v>
      </c>
      <c r="N506" s="35">
        <v>7600000</v>
      </c>
      <c r="O506" s="35">
        <f>+N506*H506*F506</f>
        <v>7600000</v>
      </c>
      <c r="P506" s="163">
        <f t="shared" si="333"/>
        <v>7066666.666666667</v>
      </c>
      <c r="Q506" s="163">
        <f t="shared" si="334"/>
        <v>7066666.666666667</v>
      </c>
      <c r="R506" s="163">
        <f t="shared" si="335"/>
        <v>498887.65156985889</v>
      </c>
      <c r="S506" s="183">
        <f t="shared" si="336"/>
        <v>7.0597309184413995E-2</v>
      </c>
      <c r="T506" s="163">
        <f t="shared" si="337"/>
        <v>7200000</v>
      </c>
      <c r="U506" s="163">
        <f t="shared" si="338"/>
        <v>7200000</v>
      </c>
      <c r="V506" s="183">
        <f t="shared" si="339"/>
        <v>6.9289951606924846E-2</v>
      </c>
      <c r="W506" s="409" t="s">
        <v>41</v>
      </c>
      <c r="X506" s="409" t="s">
        <v>42</v>
      </c>
      <c r="Y506" s="81" t="s">
        <v>43</v>
      </c>
      <c r="Z506" s="81"/>
      <c r="AA506" s="658"/>
      <c r="AB506" s="179"/>
      <c r="AC506" s="179"/>
      <c r="AD506" s="179"/>
      <c r="AE506" s="179"/>
      <c r="AF506" s="179"/>
      <c r="AG506" s="179"/>
      <c r="AH506" s="179"/>
      <c r="AI506" s="179"/>
      <c r="AJ506" s="179"/>
      <c r="AK506" s="179"/>
    </row>
    <row r="507" spans="1:37" s="180" customFormat="1" ht="208.15" customHeight="1" x14ac:dyDescent="0.25">
      <c r="A507" s="574">
        <f t="shared" si="322"/>
        <v>1</v>
      </c>
      <c r="B507" s="574">
        <v>480</v>
      </c>
      <c r="C507" s="159">
        <v>486</v>
      </c>
      <c r="D507" s="575" t="s">
        <v>1053</v>
      </c>
      <c r="E507" s="576" t="s">
        <v>1054</v>
      </c>
      <c r="F507" s="577">
        <v>10</v>
      </c>
      <c r="G507" s="577" t="s">
        <v>24</v>
      </c>
      <c r="H507" s="578">
        <v>1</v>
      </c>
      <c r="I507" s="578"/>
      <c r="J507" s="579">
        <v>20000000</v>
      </c>
      <c r="K507" s="147">
        <f t="shared" si="331"/>
        <v>200000000</v>
      </c>
      <c r="L507" s="579"/>
      <c r="M507" s="147">
        <f t="shared" si="332"/>
        <v>0</v>
      </c>
      <c r="N507" s="578"/>
      <c r="O507" s="580"/>
      <c r="P507" s="581">
        <f t="shared" si="333"/>
        <v>20000000</v>
      </c>
      <c r="Q507" s="581">
        <f t="shared" si="334"/>
        <v>200000000</v>
      </c>
      <c r="R507" s="175">
        <f t="shared" si="335"/>
        <v>0</v>
      </c>
      <c r="S507" s="176">
        <f t="shared" si="336"/>
        <v>0</v>
      </c>
      <c r="T507" s="175">
        <f t="shared" si="337"/>
        <v>20000000</v>
      </c>
      <c r="U507" s="175">
        <f t="shared" si="338"/>
        <v>200000000</v>
      </c>
      <c r="V507" s="176">
        <f t="shared" si="339"/>
        <v>0</v>
      </c>
      <c r="W507" s="582"/>
      <c r="X507" s="582"/>
      <c r="Y507" s="71"/>
      <c r="Z507" s="583">
        <f>SUM(Q499:Q507)</f>
        <v>586289390</v>
      </c>
      <c r="AA507" s="584">
        <f>SUM(U499:U507)</f>
        <v>535510000</v>
      </c>
      <c r="AB507" s="179"/>
      <c r="AC507" s="179"/>
      <c r="AD507" s="179"/>
      <c r="AE507" s="179"/>
      <c r="AF507" s="179"/>
      <c r="AG507" s="179"/>
      <c r="AH507" s="179"/>
      <c r="AI507" s="179"/>
      <c r="AJ507" s="179"/>
      <c r="AK507" s="179"/>
    </row>
    <row r="508" spans="1:37" ht="35.65" customHeight="1" x14ac:dyDescent="0.25">
      <c r="A508" s="679" t="s">
        <v>1055</v>
      </c>
      <c r="B508" s="679"/>
      <c r="C508" s="680"/>
      <c r="D508" s="680"/>
      <c r="E508" s="680"/>
      <c r="F508" s="680"/>
      <c r="G508" s="680"/>
      <c r="H508" s="680"/>
      <c r="I508" s="680"/>
      <c r="J508" s="680"/>
      <c r="K508" s="680"/>
      <c r="L508" s="680"/>
      <c r="M508" s="680"/>
      <c r="N508" s="680"/>
      <c r="O508" s="680"/>
      <c r="P508" s="680"/>
      <c r="Q508" s="680"/>
      <c r="R508" s="585"/>
      <c r="S508" s="586"/>
      <c r="T508" s="585"/>
      <c r="U508" s="585"/>
      <c r="V508" s="586"/>
      <c r="W508" s="587"/>
      <c r="X508" s="587"/>
      <c r="Y508" s="455"/>
      <c r="Z508" s="28"/>
      <c r="AA508" s="28"/>
      <c r="AB508" s="28"/>
      <c r="AC508" s="28"/>
      <c r="AD508" s="28"/>
      <c r="AE508" s="28"/>
      <c r="AF508" s="28"/>
      <c r="AG508" s="28"/>
      <c r="AH508" s="28"/>
      <c r="AI508" s="28"/>
      <c r="AJ508" s="28"/>
      <c r="AK508" s="28"/>
    </row>
    <row r="509" spans="1:37" s="180" customFormat="1" ht="224.65" customHeight="1" x14ac:dyDescent="0.25">
      <c r="A509" s="13">
        <f t="shared" si="322"/>
        <v>1</v>
      </c>
      <c r="B509" s="13">
        <v>481</v>
      </c>
      <c r="C509" s="160">
        <v>487</v>
      </c>
      <c r="D509" s="563" t="s">
        <v>1056</v>
      </c>
      <c r="E509" s="564" t="s">
        <v>1057</v>
      </c>
      <c r="F509" s="373">
        <v>1</v>
      </c>
      <c r="G509" s="373" t="s">
        <v>1058</v>
      </c>
      <c r="H509" s="17"/>
      <c r="I509" s="17"/>
      <c r="J509" s="162">
        <v>49000000</v>
      </c>
      <c r="K509" s="35"/>
      <c r="L509" s="162"/>
      <c r="M509" s="35"/>
      <c r="N509" s="17"/>
      <c r="O509" s="588"/>
      <c r="P509" s="163">
        <f>+AVERAGE(J509,L509,N509)</f>
        <v>49000000</v>
      </c>
      <c r="Q509" s="163">
        <f>+P509*F509</f>
        <v>49000000</v>
      </c>
      <c r="R509" s="163">
        <f>+_xlfn.STDEV.P(J509,L509,N509)</f>
        <v>0</v>
      </c>
      <c r="S509" s="183">
        <f>+R509/P509</f>
        <v>0</v>
      </c>
      <c r="T509" s="163">
        <f>+MEDIAN(J509,L509,N509)</f>
        <v>49000000</v>
      </c>
      <c r="U509" s="163">
        <f>+T509*F509</f>
        <v>49000000</v>
      </c>
      <c r="V509" s="183">
        <f>+R509/T509</f>
        <v>0</v>
      </c>
      <c r="W509" s="17"/>
      <c r="X509" s="17"/>
      <c r="Y509" s="81"/>
      <c r="Z509" s="584">
        <f>+U509</f>
        <v>49000000</v>
      </c>
      <c r="AA509" s="584"/>
      <c r="AB509" s="179"/>
      <c r="AC509" s="179"/>
      <c r="AD509" s="179"/>
      <c r="AE509" s="179"/>
      <c r="AF509" s="179"/>
      <c r="AG509" s="179"/>
      <c r="AH509" s="179"/>
      <c r="AI509" s="179"/>
      <c r="AJ509" s="179"/>
      <c r="AK509" s="179"/>
    </row>
    <row r="510" spans="1:37" s="180" customFormat="1" ht="15.75" x14ac:dyDescent="0.25">
      <c r="A510" s="589"/>
      <c r="B510" s="675"/>
      <c r="C510" s="590"/>
      <c r="D510" s="591"/>
      <c r="E510" s="592"/>
      <c r="F510" s="593"/>
      <c r="G510" s="593"/>
      <c r="H510" s="594"/>
      <c r="I510" s="594"/>
      <c r="J510" s="595"/>
      <c r="K510" s="596"/>
      <c r="L510" s="595"/>
      <c r="M510" s="596"/>
      <c r="N510" s="594"/>
      <c r="O510" s="597"/>
      <c r="P510" s="598"/>
      <c r="Q510" s="598"/>
      <c r="R510" s="598"/>
      <c r="S510" s="599"/>
      <c r="T510" s="598"/>
      <c r="U510" s="598"/>
      <c r="V510" s="599"/>
      <c r="W510" s="594"/>
      <c r="X510" s="594"/>
      <c r="Y510" s="179"/>
      <c r="Z510" s="179"/>
      <c r="AA510" s="179"/>
      <c r="AB510" s="179"/>
      <c r="AC510" s="179"/>
      <c r="AD510" s="179"/>
      <c r="AE510" s="179"/>
      <c r="AF510" s="179"/>
      <c r="AG510" s="179"/>
      <c r="AH510" s="179"/>
      <c r="AI510" s="179"/>
      <c r="AJ510" s="179"/>
      <c r="AK510" s="179"/>
    </row>
    <row r="511" spans="1:37" ht="127.15" customHeight="1" x14ac:dyDescent="0.25">
      <c r="A511" s="681" t="s">
        <v>1059</v>
      </c>
      <c r="B511" s="681"/>
      <c r="C511" s="681"/>
      <c r="D511" s="681"/>
      <c r="E511" s="681"/>
      <c r="F511" s="600"/>
      <c r="G511" s="600"/>
      <c r="H511" s="600"/>
      <c r="I511" s="600"/>
      <c r="J511" s="601"/>
      <c r="K511" s="219"/>
      <c r="L511" s="601"/>
      <c r="M511" s="219"/>
      <c r="N511" s="601"/>
      <c r="O511" s="219"/>
      <c r="P511" s="219"/>
      <c r="Q511" s="219"/>
      <c r="R511" s="219"/>
      <c r="S511" s="219"/>
      <c r="T511" s="219"/>
      <c r="U511" s="219"/>
      <c r="V511" s="219"/>
      <c r="W511" s="600"/>
      <c r="X511" s="600"/>
      <c r="Y511" s="28"/>
      <c r="Z511" s="28"/>
      <c r="AA511" s="28"/>
      <c r="AB511" s="28"/>
      <c r="AC511" s="28"/>
      <c r="AD511" s="28"/>
      <c r="AE511" s="28"/>
      <c r="AF511" s="28"/>
      <c r="AG511" s="28"/>
      <c r="AH511" s="28"/>
      <c r="AI511" s="28"/>
      <c r="AJ511" s="28"/>
      <c r="AK511" s="28"/>
    </row>
    <row r="512" spans="1:37" ht="15.75" x14ac:dyDescent="0.25">
      <c r="C512" s="95"/>
      <c r="D512" s="600"/>
      <c r="E512" s="602"/>
      <c r="F512" s="600"/>
      <c r="G512" s="600"/>
      <c r="H512" s="600"/>
      <c r="I512" s="600"/>
      <c r="J512" s="601"/>
      <c r="K512" s="219"/>
      <c r="L512" s="601"/>
      <c r="M512" s="219"/>
      <c r="N512" s="601"/>
      <c r="O512" s="219"/>
      <c r="P512" s="219"/>
      <c r="Q512" s="219"/>
      <c r="R512" s="219"/>
      <c r="S512" s="219"/>
      <c r="T512" s="219"/>
      <c r="U512" s="219"/>
      <c r="V512" s="219"/>
      <c r="W512" s="600"/>
      <c r="X512" s="600"/>
      <c r="Y512" s="28"/>
      <c r="Z512" s="28"/>
      <c r="AA512" s="28"/>
      <c r="AB512" s="28"/>
      <c r="AC512" s="28"/>
      <c r="AD512" s="28"/>
      <c r="AE512" s="28"/>
      <c r="AF512" s="28"/>
      <c r="AG512" s="28"/>
      <c r="AH512" s="28"/>
      <c r="AI512" s="28"/>
      <c r="AJ512" s="28"/>
      <c r="AK512" s="28"/>
    </row>
    <row r="513" spans="1:37" ht="16.5" thickBot="1" x14ac:dyDescent="0.3">
      <c r="A513" s="603"/>
      <c r="B513" s="603"/>
      <c r="C513" s="603" t="s">
        <v>1060</v>
      </c>
      <c r="E513" s="602"/>
      <c r="F513" s="600"/>
      <c r="G513" s="600"/>
      <c r="H513" s="600"/>
      <c r="I513" s="600"/>
      <c r="J513" s="601"/>
      <c r="K513" s="219"/>
      <c r="L513" s="601"/>
      <c r="M513" s="219"/>
      <c r="N513" s="601"/>
      <c r="O513" s="219"/>
      <c r="P513" s="219"/>
      <c r="Q513" s="219"/>
      <c r="R513" s="219"/>
      <c r="S513" s="219"/>
      <c r="T513" s="219"/>
      <c r="U513" s="219"/>
      <c r="V513" s="219"/>
      <c r="W513" s="600"/>
      <c r="X513" s="600"/>
      <c r="Y513" s="28"/>
      <c r="Z513" s="28"/>
      <c r="AA513" s="28"/>
      <c r="AB513" s="28"/>
      <c r="AC513" s="28"/>
      <c r="AD513" s="28"/>
      <c r="AE513" s="28"/>
      <c r="AF513" s="28"/>
      <c r="AG513" s="28"/>
      <c r="AH513" s="28"/>
      <c r="AI513" s="28"/>
      <c r="AJ513" s="28"/>
      <c r="AK513" s="28"/>
    </row>
    <row r="514" spans="1:37" ht="24" thickBot="1" x14ac:dyDescent="0.3">
      <c r="A514" s="605">
        <f>SUMPRODUCT(LEN(A5:A507)-LEN(SUBSTITUTE(A5:A507,"0","")))</f>
        <v>0</v>
      </c>
      <c r="B514" s="605"/>
      <c r="C514" s="605">
        <v>0</v>
      </c>
      <c r="E514" s="602"/>
      <c r="F514" s="600"/>
      <c r="G514" s="600"/>
      <c r="H514" s="600"/>
      <c r="I514" s="600"/>
      <c r="J514" s="601"/>
      <c r="K514" s="219"/>
      <c r="L514" s="601"/>
      <c r="M514" s="219"/>
      <c r="N514" s="601"/>
      <c r="O514" s="219"/>
      <c r="P514" s="682" t="s">
        <v>205</v>
      </c>
      <c r="Q514" s="683"/>
      <c r="R514" s="219"/>
      <c r="S514" s="219"/>
      <c r="T514" s="684" t="s">
        <v>206</v>
      </c>
      <c r="U514" s="685"/>
      <c r="V514" s="219"/>
      <c r="W514" s="600"/>
      <c r="X514" s="600"/>
      <c r="Y514" s="28"/>
      <c r="Z514" s="28"/>
      <c r="AA514" s="28"/>
      <c r="AB514" s="28"/>
      <c r="AC514" s="28"/>
      <c r="AD514" s="28"/>
      <c r="AE514" s="28"/>
      <c r="AF514" s="28"/>
      <c r="AG514" s="28"/>
      <c r="AH514" s="28"/>
      <c r="AI514" s="28"/>
      <c r="AJ514" s="28"/>
      <c r="AK514" s="28"/>
    </row>
    <row r="515" spans="1:37" ht="23.25" x14ac:dyDescent="0.25">
      <c r="A515" s="605">
        <f>SUMPRODUCT(LEN(A5:A507)-LEN(SUBSTITUTE(A5:A507,"1","")))</f>
        <v>83</v>
      </c>
      <c r="B515" s="605"/>
      <c r="C515" s="605">
        <v>1</v>
      </c>
      <c r="E515" s="602"/>
      <c r="F515" s="600"/>
      <c r="G515" s="600"/>
      <c r="H515" s="600"/>
      <c r="I515" s="600"/>
      <c r="J515" s="601"/>
      <c r="K515" s="219"/>
      <c r="L515" s="601"/>
      <c r="M515" s="219"/>
      <c r="N515" s="601"/>
      <c r="O515" s="219"/>
      <c r="P515" s="606" t="s">
        <v>1061</v>
      </c>
      <c r="Q515" s="607">
        <f>SUM(Q5:Q509)</f>
        <v>3015937102.169095</v>
      </c>
      <c r="R515" s="219"/>
      <c r="S515" s="219"/>
      <c r="T515" s="606" t="s">
        <v>1061</v>
      </c>
      <c r="U515" s="607">
        <f>SUM(U5:U509)</f>
        <v>2977281319.0838289</v>
      </c>
      <c r="V515" s="219"/>
      <c r="W515" s="600"/>
      <c r="X515" s="600"/>
      <c r="Y515" s="28"/>
      <c r="Z515" s="28"/>
      <c r="AA515" s="28"/>
      <c r="AB515" s="28"/>
      <c r="AC515" s="28"/>
      <c r="AD515" s="28"/>
      <c r="AE515" s="28"/>
      <c r="AF515" s="28"/>
      <c r="AG515" s="28"/>
      <c r="AH515" s="28"/>
      <c r="AI515" s="28"/>
      <c r="AJ515" s="28"/>
      <c r="AK515" s="28"/>
    </row>
    <row r="516" spans="1:37" ht="23.25" x14ac:dyDescent="0.25">
      <c r="A516" s="605">
        <f>SUMPRODUCT(LEN(A5:A507)-LEN(SUBSTITUTE(A5:A507,"2","")))</f>
        <v>0</v>
      </c>
      <c r="B516" s="605"/>
      <c r="C516" s="605">
        <v>2</v>
      </c>
      <c r="E516" s="602"/>
      <c r="F516" s="600"/>
      <c r="G516" s="600"/>
      <c r="H516" s="600"/>
      <c r="I516" s="600"/>
      <c r="J516" s="601"/>
      <c r="K516" s="219"/>
      <c r="L516" s="601"/>
      <c r="M516" s="219"/>
      <c r="N516" s="601"/>
      <c r="O516" s="219"/>
      <c r="P516" s="608" t="s">
        <v>1062</v>
      </c>
      <c r="Q516" s="609"/>
      <c r="R516" s="219"/>
      <c r="S516" s="219"/>
      <c r="T516" s="608" t="s">
        <v>1062</v>
      </c>
      <c r="U516" s="609"/>
      <c r="V516" s="219"/>
      <c r="W516" s="600"/>
      <c r="X516" s="600"/>
      <c r="Y516" s="28"/>
      <c r="Z516" s="28"/>
      <c r="AA516" s="28"/>
      <c r="AB516" s="28"/>
      <c r="AC516" s="28"/>
      <c r="AD516" s="28"/>
      <c r="AE516" s="28"/>
      <c r="AF516" s="28"/>
      <c r="AG516" s="28"/>
      <c r="AH516" s="28"/>
      <c r="AI516" s="28"/>
      <c r="AJ516" s="28"/>
      <c r="AK516" s="28"/>
    </row>
    <row r="517" spans="1:37" ht="23.25" x14ac:dyDescent="0.25">
      <c r="A517" s="605">
        <f>SUMPRODUCT(LEN(A5:A507)-LEN(SUBSTITUTE(A5:A507,"3","")))</f>
        <v>392</v>
      </c>
      <c r="B517" s="605"/>
      <c r="C517" s="605">
        <v>3</v>
      </c>
      <c r="E517" s="602"/>
      <c r="F517" s="600"/>
      <c r="G517" s="600"/>
      <c r="H517" s="600"/>
      <c r="I517" s="600"/>
      <c r="J517" s="601"/>
      <c r="K517" s="219"/>
      <c r="L517" s="601"/>
      <c r="M517" s="219"/>
      <c r="N517" s="601"/>
      <c r="O517" s="219"/>
      <c r="P517" s="608" t="s">
        <v>1063</v>
      </c>
      <c r="Q517" s="607">
        <f>Q515*0.19</f>
        <v>573028049.41212809</v>
      </c>
      <c r="R517" s="219"/>
      <c r="S517" s="219"/>
      <c r="T517" s="608" t="s">
        <v>1063</v>
      </c>
      <c r="U517" s="607">
        <f>U515*0.19</f>
        <v>565683450.62592745</v>
      </c>
      <c r="V517" s="219"/>
      <c r="W517" s="600"/>
      <c r="X517" s="600"/>
      <c r="Y517" s="28"/>
      <c r="Z517" s="28"/>
      <c r="AA517" s="28"/>
      <c r="AB517" s="28"/>
      <c r="AC517" s="28"/>
      <c r="AD517" s="28"/>
      <c r="AE517" s="28"/>
      <c r="AF517" s="28"/>
      <c r="AG517" s="28"/>
      <c r="AH517" s="28"/>
      <c r="AI517" s="28"/>
      <c r="AJ517" s="28"/>
      <c r="AK517" s="28"/>
    </row>
    <row r="518" spans="1:37" ht="24" thickBot="1" x14ac:dyDescent="0.3">
      <c r="C518" s="95"/>
      <c r="D518" s="600"/>
      <c r="E518" s="602"/>
      <c r="F518" s="600"/>
      <c r="G518" s="600"/>
      <c r="H518" s="600"/>
      <c r="I518" s="600"/>
      <c r="J518" s="601"/>
      <c r="K518" s="219"/>
      <c r="L518" s="601"/>
      <c r="M518" s="219"/>
      <c r="N518" s="601"/>
      <c r="O518" s="219"/>
      <c r="P518" s="610" t="s">
        <v>1064</v>
      </c>
      <c r="Q518" s="611">
        <f>+Q517+Q515</f>
        <v>3588965151.581223</v>
      </c>
      <c r="R518" s="219"/>
      <c r="S518" s="219"/>
      <c r="T518" s="610" t="s">
        <v>1064</v>
      </c>
      <c r="U518" s="611">
        <f>+U517+U515</f>
        <v>3542964769.7097564</v>
      </c>
      <c r="V518" s="219"/>
      <c r="W518" s="600"/>
      <c r="X518" s="600"/>
      <c r="Y518" s="28"/>
      <c r="Z518" s="28"/>
      <c r="AA518" s="28"/>
      <c r="AB518" s="28"/>
      <c r="AC518" s="28"/>
      <c r="AD518" s="28"/>
      <c r="AE518" s="28"/>
      <c r="AF518" s="28"/>
      <c r="AG518" s="28"/>
      <c r="AH518" s="28"/>
      <c r="AI518" s="28"/>
      <c r="AJ518" s="28"/>
      <c r="AK518" s="28"/>
    </row>
    <row r="519" spans="1:37" ht="15.75" x14ac:dyDescent="0.25">
      <c r="C519" s="95"/>
      <c r="D519" s="600"/>
      <c r="E519" s="602"/>
      <c r="F519" s="600"/>
      <c r="G519" s="600"/>
      <c r="H519" s="600"/>
      <c r="I519" s="600"/>
      <c r="J519" s="601"/>
      <c r="K519" s="219"/>
      <c r="L519" s="601"/>
      <c r="M519" s="219"/>
      <c r="N519" s="601"/>
      <c r="O519" s="219"/>
      <c r="P519" s="219"/>
      <c r="Q519" s="219"/>
      <c r="R519" s="219"/>
      <c r="S519" s="219"/>
      <c r="T519" s="219"/>
      <c r="U519" s="219"/>
      <c r="V519" s="219"/>
      <c r="W519" s="600"/>
      <c r="X519" s="600"/>
      <c r="Y519" s="28"/>
      <c r="Z519" s="28"/>
      <c r="AA519" s="28"/>
      <c r="AB519" s="28"/>
      <c r="AC519" s="28"/>
      <c r="AD519" s="28"/>
      <c r="AE519" s="28"/>
      <c r="AF519" s="28"/>
      <c r="AG519" s="28"/>
      <c r="AH519" s="28"/>
      <c r="AI519" s="28"/>
      <c r="AJ519" s="28"/>
      <c r="AK519" s="28"/>
    </row>
    <row r="520" spans="1:37" ht="15.75" x14ac:dyDescent="0.25">
      <c r="C520" s="95"/>
      <c r="D520" s="600"/>
      <c r="E520" s="602"/>
      <c r="F520" s="600"/>
      <c r="G520" s="600"/>
      <c r="H520" s="600"/>
      <c r="I520" s="600"/>
      <c r="J520" s="601"/>
      <c r="K520" s="219"/>
      <c r="L520" s="601"/>
      <c r="M520" s="219"/>
      <c r="N520" s="601"/>
      <c r="O520" s="219"/>
      <c r="P520" s="219"/>
      <c r="Q520" s="219"/>
      <c r="R520" s="219"/>
      <c r="S520" s="219"/>
      <c r="T520" s="219"/>
      <c r="U520" s="219"/>
      <c r="V520" s="219"/>
      <c r="W520" s="600"/>
      <c r="X520" s="600"/>
      <c r="Y520" s="28"/>
      <c r="Z520" s="28"/>
      <c r="AA520" s="28"/>
      <c r="AB520" s="28"/>
      <c r="AC520" s="28"/>
      <c r="AD520" s="28"/>
      <c r="AE520" s="28"/>
      <c r="AF520" s="28"/>
      <c r="AG520" s="28"/>
      <c r="AH520" s="28"/>
      <c r="AI520" s="28"/>
      <c r="AJ520" s="28"/>
      <c r="AK520" s="28"/>
    </row>
    <row r="521" spans="1:37" ht="15.75" x14ac:dyDescent="0.25">
      <c r="C521" s="95"/>
      <c r="D521" s="600"/>
      <c r="E521" s="602"/>
      <c r="F521" s="600"/>
      <c r="G521" s="600"/>
      <c r="H521" s="600"/>
      <c r="I521" s="600"/>
      <c r="J521" s="601"/>
      <c r="K521" s="219"/>
      <c r="L521" s="601"/>
      <c r="M521" s="219"/>
      <c r="N521" s="601"/>
      <c r="O521" s="219"/>
      <c r="P521" s="219"/>
      <c r="Q521" s="219"/>
      <c r="R521" s="219"/>
      <c r="S521" s="219"/>
      <c r="T521" s="219"/>
      <c r="U521" s="219"/>
      <c r="V521" s="219"/>
      <c r="W521" s="600"/>
      <c r="X521" s="600"/>
      <c r="Y521" s="28"/>
      <c r="Z521" s="28"/>
      <c r="AA521" s="28"/>
      <c r="AB521" s="28"/>
      <c r="AC521" s="28"/>
      <c r="AD521" s="28"/>
      <c r="AE521" s="28"/>
      <c r="AF521" s="28"/>
      <c r="AG521" s="28"/>
      <c r="AH521" s="28"/>
      <c r="AI521" s="28"/>
      <c r="AJ521" s="28"/>
      <c r="AK521" s="28"/>
    </row>
    <row r="522" spans="1:37" ht="15.75" x14ac:dyDescent="0.25">
      <c r="C522" s="95"/>
      <c r="D522" s="600"/>
      <c r="E522" s="602"/>
      <c r="F522" s="600"/>
      <c r="G522" s="600"/>
      <c r="H522" s="600"/>
      <c r="I522" s="600"/>
      <c r="J522" s="601"/>
      <c r="K522" s="219"/>
      <c r="L522" s="601"/>
      <c r="M522" s="219"/>
      <c r="N522" s="601"/>
      <c r="O522" s="219"/>
      <c r="P522" s="219"/>
      <c r="Q522" s="219"/>
      <c r="R522" s="219"/>
      <c r="S522" s="219"/>
      <c r="T522" s="219"/>
      <c r="U522" s="219"/>
      <c r="V522" s="219"/>
      <c r="W522" s="600"/>
      <c r="X522" s="600"/>
      <c r="Y522" s="28"/>
      <c r="Z522" s="28"/>
      <c r="AA522" s="28"/>
      <c r="AB522" s="28"/>
      <c r="AC522" s="28"/>
      <c r="AD522" s="28"/>
      <c r="AE522" s="28"/>
      <c r="AF522" s="28"/>
      <c r="AG522" s="28"/>
      <c r="AH522" s="28"/>
      <c r="AI522" s="28"/>
      <c r="AJ522" s="28"/>
      <c r="AK522" s="28"/>
    </row>
    <row r="523" spans="1:37" ht="15.75" x14ac:dyDescent="0.25">
      <c r="C523" s="95"/>
      <c r="D523" s="600"/>
      <c r="E523" s="602"/>
      <c r="F523" s="600"/>
      <c r="G523" s="600"/>
      <c r="H523" s="600"/>
      <c r="I523" s="600"/>
      <c r="J523" s="601"/>
      <c r="K523" s="219"/>
      <c r="L523" s="601"/>
      <c r="M523" s="219"/>
      <c r="N523" s="601"/>
      <c r="O523" s="219"/>
      <c r="P523" s="219"/>
      <c r="Q523" s="219"/>
      <c r="R523" s="219"/>
      <c r="S523" s="219"/>
      <c r="T523" s="219"/>
      <c r="U523" s="219"/>
      <c r="V523" s="219"/>
      <c r="W523" s="600"/>
      <c r="X523" s="600"/>
      <c r="Y523" s="28"/>
      <c r="Z523" s="28"/>
      <c r="AA523" s="28"/>
      <c r="AB523" s="28"/>
      <c r="AC523" s="28"/>
      <c r="AD523" s="28"/>
      <c r="AE523" s="28"/>
      <c r="AF523" s="28"/>
      <c r="AG523" s="28"/>
      <c r="AH523" s="28"/>
      <c r="AI523" s="28"/>
      <c r="AJ523" s="28"/>
      <c r="AK523" s="28"/>
    </row>
    <row r="524" spans="1:37" ht="15.75" x14ac:dyDescent="0.25">
      <c r="C524" s="95"/>
      <c r="D524" s="600"/>
      <c r="E524" s="602"/>
      <c r="F524" s="600"/>
      <c r="G524" s="600"/>
      <c r="H524" s="600"/>
      <c r="I524" s="600"/>
      <c r="J524" s="601"/>
      <c r="K524" s="219"/>
      <c r="L524" s="601"/>
      <c r="M524" s="219"/>
      <c r="N524" s="601"/>
      <c r="O524" s="219"/>
      <c r="P524" s="219"/>
      <c r="Q524" s="219"/>
      <c r="R524" s="219"/>
      <c r="S524" s="219"/>
      <c r="T524" s="219"/>
      <c r="U524" s="219"/>
      <c r="V524" s="219"/>
      <c r="W524" s="600"/>
      <c r="X524" s="600"/>
      <c r="Y524" s="28"/>
      <c r="Z524" s="28"/>
      <c r="AA524" s="28"/>
      <c r="AB524" s="28"/>
      <c r="AC524" s="28"/>
      <c r="AD524" s="28"/>
      <c r="AE524" s="28"/>
      <c r="AF524" s="28"/>
      <c r="AG524" s="28"/>
      <c r="AH524" s="28"/>
      <c r="AI524" s="28"/>
      <c r="AJ524" s="28"/>
      <c r="AK524" s="28"/>
    </row>
    <row r="525" spans="1:37" ht="15.75" x14ac:dyDescent="0.25">
      <c r="C525" s="95"/>
      <c r="D525" s="600"/>
      <c r="E525" s="602"/>
      <c r="F525" s="600"/>
      <c r="G525" s="600"/>
      <c r="H525" s="600"/>
      <c r="I525" s="600"/>
      <c r="J525" s="601"/>
      <c r="K525" s="219"/>
      <c r="L525" s="601"/>
      <c r="M525" s="219"/>
      <c r="N525" s="601"/>
      <c r="O525" s="219"/>
      <c r="P525" s="219"/>
      <c r="Q525" s="219"/>
      <c r="R525" s="219"/>
      <c r="S525" s="219"/>
      <c r="T525" s="219"/>
      <c r="U525" s="219"/>
      <c r="V525" s="219"/>
      <c r="W525" s="600"/>
      <c r="X525" s="600"/>
      <c r="Y525" s="28"/>
      <c r="Z525" s="28"/>
      <c r="AA525" s="28"/>
      <c r="AB525" s="28"/>
      <c r="AC525" s="28"/>
      <c r="AD525" s="28"/>
      <c r="AE525" s="28"/>
      <c r="AF525" s="28"/>
      <c r="AG525" s="28"/>
      <c r="AH525" s="28"/>
      <c r="AI525" s="28"/>
      <c r="AJ525" s="28"/>
      <c r="AK525" s="28"/>
    </row>
    <row r="526" spans="1:37" ht="15.75" x14ac:dyDescent="0.25">
      <c r="C526" s="95"/>
      <c r="D526" s="600"/>
      <c r="E526" s="602"/>
      <c r="F526" s="600"/>
      <c r="G526" s="600"/>
      <c r="H526" s="600"/>
      <c r="I526" s="600"/>
      <c r="J526" s="601"/>
      <c r="K526" s="219"/>
      <c r="L526" s="601"/>
      <c r="M526" s="219"/>
      <c r="N526" s="601"/>
      <c r="O526" s="219"/>
      <c r="P526" s="219"/>
      <c r="Q526" s="219"/>
      <c r="R526" s="219"/>
      <c r="S526" s="219"/>
      <c r="T526" s="219"/>
      <c r="U526" s="219"/>
      <c r="V526" s="219"/>
      <c r="W526" s="600"/>
      <c r="X526" s="600"/>
      <c r="Y526" s="28"/>
      <c r="Z526" s="28"/>
      <c r="AA526" s="28"/>
      <c r="AB526" s="28"/>
      <c r="AC526" s="28"/>
      <c r="AD526" s="28"/>
      <c r="AE526" s="28"/>
      <c r="AF526" s="28"/>
      <c r="AG526" s="28"/>
      <c r="AH526" s="28"/>
      <c r="AI526" s="28"/>
      <c r="AJ526" s="28"/>
      <c r="AK526" s="28"/>
    </row>
    <row r="527" spans="1:37" ht="15.75" x14ac:dyDescent="0.25">
      <c r="C527" s="95"/>
      <c r="D527" s="600"/>
      <c r="E527" s="602"/>
      <c r="F527" s="600"/>
      <c r="G527" s="600"/>
      <c r="H527" s="600"/>
      <c r="I527" s="600"/>
      <c r="J527" s="601"/>
      <c r="K527" s="219"/>
      <c r="L527" s="601"/>
      <c r="M527" s="219"/>
      <c r="N527" s="601"/>
      <c r="O527" s="219"/>
      <c r="P527" s="219"/>
      <c r="R527" s="219"/>
      <c r="S527" s="219"/>
      <c r="T527" s="219"/>
      <c r="U527" s="219"/>
      <c r="V527" s="219"/>
      <c r="W527" s="600"/>
      <c r="X527" s="600"/>
      <c r="Y527" s="28"/>
      <c r="Z527" s="28"/>
      <c r="AA527" s="28"/>
      <c r="AB527" s="28"/>
      <c r="AC527" s="28"/>
      <c r="AD527" s="28"/>
      <c r="AE527" s="28"/>
      <c r="AF527" s="28"/>
      <c r="AG527" s="28"/>
      <c r="AH527" s="28"/>
      <c r="AI527" s="28"/>
      <c r="AJ527" s="28"/>
      <c r="AK527" s="28"/>
    </row>
    <row r="528" spans="1:37" ht="15.75" x14ac:dyDescent="0.25">
      <c r="C528" s="95"/>
      <c r="D528" s="600"/>
      <c r="E528" s="602"/>
      <c r="F528" s="600"/>
      <c r="G528" s="600"/>
      <c r="H528" s="600"/>
      <c r="I528" s="600"/>
      <c r="J528" s="601"/>
      <c r="K528" s="219"/>
      <c r="L528" s="601"/>
      <c r="M528" s="219"/>
      <c r="N528" s="601"/>
      <c r="O528" s="219"/>
      <c r="P528" s="219"/>
      <c r="Q528" s="219"/>
      <c r="R528" s="219"/>
      <c r="S528" s="219"/>
      <c r="T528" s="219"/>
      <c r="U528" s="219"/>
      <c r="V528" s="219"/>
      <c r="W528" s="600"/>
      <c r="X528" s="600"/>
      <c r="Y528" s="28"/>
      <c r="Z528" s="28"/>
      <c r="AA528" s="28"/>
      <c r="AB528" s="28"/>
      <c r="AC528" s="28"/>
      <c r="AD528" s="28"/>
      <c r="AE528" s="28"/>
      <c r="AF528" s="28"/>
      <c r="AG528" s="28"/>
      <c r="AH528" s="28"/>
      <c r="AI528" s="28"/>
      <c r="AJ528" s="28"/>
      <c r="AK528" s="28"/>
    </row>
    <row r="529" spans="3:37" ht="15.75" x14ac:dyDescent="0.25">
      <c r="C529" s="95"/>
      <c r="D529" s="600"/>
      <c r="E529" s="602"/>
      <c r="F529" s="600"/>
      <c r="G529" s="600"/>
      <c r="H529" s="600"/>
      <c r="I529" s="600"/>
      <c r="J529" s="601"/>
      <c r="K529" s="219"/>
      <c r="L529" s="601"/>
      <c r="M529" s="219"/>
      <c r="N529" s="601"/>
      <c r="O529" s="219"/>
      <c r="P529" s="219"/>
      <c r="Q529" s="219"/>
      <c r="R529" s="219"/>
      <c r="S529" s="219"/>
      <c r="T529" s="219"/>
      <c r="U529" s="219"/>
      <c r="V529" s="219"/>
      <c r="W529" s="600"/>
      <c r="X529" s="600"/>
      <c r="Y529" s="28"/>
      <c r="Z529" s="28"/>
      <c r="AA529" s="28"/>
      <c r="AB529" s="28"/>
      <c r="AC529" s="28"/>
      <c r="AD529" s="28"/>
      <c r="AE529" s="28"/>
      <c r="AF529" s="28"/>
      <c r="AG529" s="28"/>
      <c r="AH529" s="28"/>
      <c r="AI529" s="28"/>
      <c r="AJ529" s="28"/>
      <c r="AK529" s="28"/>
    </row>
    <row r="530" spans="3:37" ht="15.75" x14ac:dyDescent="0.25">
      <c r="C530" s="95"/>
      <c r="D530" s="600"/>
      <c r="E530" s="602"/>
      <c r="F530" s="600"/>
      <c r="G530" s="600"/>
      <c r="H530" s="600"/>
      <c r="I530" s="600"/>
      <c r="J530" s="601"/>
      <c r="K530" s="219"/>
      <c r="L530" s="601"/>
      <c r="M530" s="219"/>
      <c r="N530" s="601"/>
      <c r="O530" s="219"/>
      <c r="P530" s="219"/>
      <c r="Q530" s="219"/>
      <c r="R530" s="219"/>
      <c r="S530" s="219"/>
      <c r="T530" s="219"/>
      <c r="U530" s="219"/>
      <c r="V530" s="219"/>
      <c r="W530" s="600"/>
      <c r="X530" s="600"/>
      <c r="Y530" s="28"/>
      <c r="Z530" s="28"/>
      <c r="AA530" s="28"/>
      <c r="AB530" s="28"/>
      <c r="AC530" s="28"/>
      <c r="AD530" s="28"/>
      <c r="AE530" s="28"/>
      <c r="AF530" s="28"/>
      <c r="AG530" s="28"/>
      <c r="AH530" s="28"/>
      <c r="AI530" s="28"/>
      <c r="AJ530" s="28"/>
      <c r="AK530" s="28"/>
    </row>
    <row r="531" spans="3:37" ht="15.75" x14ac:dyDescent="0.25">
      <c r="C531" s="95"/>
      <c r="D531" s="600"/>
      <c r="E531" s="602"/>
      <c r="F531" s="600"/>
      <c r="G531" s="600"/>
      <c r="H531" s="600"/>
      <c r="I531" s="600"/>
      <c r="J531" s="601"/>
      <c r="K531" s="219"/>
      <c r="L531" s="601"/>
      <c r="M531" s="219"/>
      <c r="N531" s="601"/>
      <c r="O531" s="219"/>
      <c r="P531" s="219"/>
      <c r="Q531" s="219"/>
      <c r="R531" s="219"/>
      <c r="S531" s="219"/>
      <c r="T531" s="219"/>
      <c r="U531" s="219"/>
      <c r="V531" s="219"/>
      <c r="W531" s="600"/>
      <c r="X531" s="600"/>
      <c r="Y531" s="28"/>
      <c r="Z531" s="28"/>
      <c r="AA531" s="28"/>
      <c r="AB531" s="28"/>
      <c r="AC531" s="28"/>
      <c r="AD531" s="28"/>
      <c r="AE531" s="28"/>
      <c r="AF531" s="28"/>
      <c r="AG531" s="28"/>
      <c r="AH531" s="28"/>
      <c r="AI531" s="28"/>
      <c r="AJ531" s="28"/>
      <c r="AK531" s="28"/>
    </row>
    <row r="532" spans="3:37" ht="15.75" x14ac:dyDescent="0.25">
      <c r="C532" s="95"/>
      <c r="D532" s="600"/>
      <c r="E532" s="602"/>
      <c r="F532" s="600"/>
      <c r="G532" s="600"/>
      <c r="H532" s="600"/>
      <c r="I532" s="600"/>
      <c r="J532" s="601"/>
      <c r="K532" s="219"/>
      <c r="L532" s="601"/>
      <c r="M532" s="219"/>
      <c r="N532" s="601"/>
      <c r="O532" s="219"/>
      <c r="P532" s="219"/>
      <c r="Q532" s="219"/>
      <c r="R532" s="219"/>
      <c r="S532" s="219"/>
      <c r="T532" s="219"/>
      <c r="U532" s="219"/>
      <c r="V532" s="219"/>
      <c r="W532" s="600"/>
      <c r="X532" s="600"/>
      <c r="Y532" s="28"/>
      <c r="Z532" s="28"/>
      <c r="AA532" s="28"/>
      <c r="AB532" s="28"/>
      <c r="AC532" s="28"/>
      <c r="AD532" s="28"/>
      <c r="AE532" s="28"/>
      <c r="AF532" s="28"/>
      <c r="AG532" s="28"/>
      <c r="AH532" s="28"/>
      <c r="AI532" s="28"/>
      <c r="AJ532" s="28"/>
      <c r="AK532" s="28"/>
    </row>
    <row r="533" spans="3:37" ht="15.75" x14ac:dyDescent="0.25">
      <c r="C533" s="95"/>
      <c r="D533" s="600"/>
      <c r="E533" s="602"/>
      <c r="F533" s="600"/>
      <c r="G533" s="600"/>
      <c r="H533" s="600"/>
      <c r="I533" s="600"/>
      <c r="J533" s="601"/>
      <c r="K533" s="219"/>
      <c r="L533" s="601"/>
      <c r="M533" s="219"/>
      <c r="N533" s="601"/>
      <c r="O533" s="219"/>
      <c r="P533" s="219"/>
      <c r="Q533" s="219"/>
      <c r="R533" s="219"/>
      <c r="S533" s="219"/>
      <c r="T533" s="219"/>
      <c r="U533" s="219"/>
      <c r="V533" s="219"/>
      <c r="W533" s="600"/>
      <c r="X533" s="600"/>
      <c r="Y533" s="28"/>
      <c r="Z533" s="28"/>
      <c r="AA533" s="28"/>
      <c r="AB533" s="28"/>
      <c r="AC533" s="28"/>
      <c r="AD533" s="28"/>
      <c r="AE533" s="28"/>
      <c r="AF533" s="28"/>
      <c r="AG533" s="28"/>
      <c r="AH533" s="28"/>
      <c r="AI533" s="28"/>
      <c r="AJ533" s="28"/>
      <c r="AK533" s="28"/>
    </row>
    <row r="534" spans="3:37" ht="15.75" x14ac:dyDescent="0.25">
      <c r="C534" s="95"/>
      <c r="D534" s="600"/>
      <c r="E534" s="602"/>
      <c r="F534" s="600"/>
      <c r="G534" s="600"/>
      <c r="H534" s="600"/>
      <c r="I534" s="600"/>
      <c r="J534" s="601"/>
      <c r="K534" s="219"/>
      <c r="L534" s="601"/>
      <c r="M534" s="219"/>
      <c r="N534" s="601"/>
      <c r="O534" s="219"/>
      <c r="P534" s="219"/>
      <c r="Q534" s="219"/>
      <c r="R534" s="219"/>
      <c r="S534" s="219"/>
      <c r="T534" s="219"/>
      <c r="U534" s="219"/>
      <c r="V534" s="219"/>
      <c r="W534" s="600"/>
      <c r="X534" s="600"/>
      <c r="Y534" s="28"/>
      <c r="Z534" s="28"/>
      <c r="AA534" s="28"/>
      <c r="AB534" s="28"/>
      <c r="AC534" s="28"/>
      <c r="AD534" s="28"/>
      <c r="AE534" s="28"/>
      <c r="AF534" s="28"/>
      <c r="AG534" s="28"/>
      <c r="AH534" s="28"/>
      <c r="AI534" s="28"/>
      <c r="AJ534" s="28"/>
      <c r="AK534" s="28"/>
    </row>
    <row r="535" spans="3:37" ht="15.75" x14ac:dyDescent="0.25">
      <c r="C535" s="95"/>
      <c r="D535" s="600"/>
      <c r="E535" s="602"/>
      <c r="F535" s="600"/>
      <c r="G535" s="600"/>
      <c r="H535" s="600"/>
      <c r="I535" s="600"/>
      <c r="J535" s="601"/>
      <c r="K535" s="219"/>
      <c r="L535" s="601"/>
      <c r="M535" s="219"/>
      <c r="N535" s="601"/>
      <c r="O535" s="219"/>
      <c r="P535" s="219"/>
      <c r="Q535" s="219"/>
      <c r="R535" s="219"/>
      <c r="S535" s="219"/>
      <c r="T535" s="219"/>
      <c r="U535" s="219"/>
      <c r="V535" s="219"/>
      <c r="W535" s="600"/>
      <c r="X535" s="600"/>
      <c r="Y535" s="28"/>
      <c r="Z535" s="28"/>
      <c r="AA535" s="28"/>
      <c r="AB535" s="28"/>
      <c r="AC535" s="28"/>
      <c r="AD535" s="28"/>
      <c r="AE535" s="28"/>
      <c r="AF535" s="28"/>
      <c r="AG535" s="28"/>
      <c r="AH535" s="28"/>
      <c r="AI535" s="28"/>
      <c r="AJ535" s="28"/>
      <c r="AK535" s="28"/>
    </row>
    <row r="536" spans="3:37" ht="15.75" x14ac:dyDescent="0.25">
      <c r="C536" s="95"/>
      <c r="D536" s="600"/>
      <c r="E536" s="602"/>
      <c r="F536" s="600"/>
      <c r="G536" s="600"/>
      <c r="H536" s="600"/>
      <c r="I536" s="600"/>
      <c r="J536" s="601"/>
      <c r="K536" s="219"/>
      <c r="L536" s="601"/>
      <c r="M536" s="219"/>
      <c r="N536" s="601"/>
      <c r="O536" s="219"/>
      <c r="P536" s="219"/>
      <c r="Q536" s="219"/>
      <c r="R536" s="219"/>
      <c r="S536" s="219"/>
      <c r="T536" s="219"/>
      <c r="U536" s="219"/>
      <c r="V536" s="219"/>
      <c r="W536" s="600"/>
      <c r="X536" s="600"/>
      <c r="Y536" s="28"/>
      <c r="Z536" s="28"/>
      <c r="AA536" s="28"/>
      <c r="AB536" s="28"/>
      <c r="AC536" s="28"/>
      <c r="AD536" s="28"/>
      <c r="AE536" s="28"/>
      <c r="AF536" s="28"/>
      <c r="AG536" s="28"/>
      <c r="AH536" s="28"/>
      <c r="AI536" s="28"/>
      <c r="AJ536" s="28"/>
      <c r="AK536" s="28"/>
    </row>
    <row r="537" spans="3:37" ht="15.75" x14ac:dyDescent="0.25">
      <c r="C537" s="95"/>
      <c r="D537" s="600"/>
      <c r="E537" s="602"/>
      <c r="F537" s="600"/>
      <c r="G537" s="600"/>
      <c r="H537" s="600"/>
      <c r="I537" s="600"/>
      <c r="J537" s="601"/>
      <c r="K537" s="219"/>
      <c r="L537" s="601"/>
      <c r="M537" s="219"/>
      <c r="N537" s="601"/>
      <c r="O537" s="219"/>
      <c r="P537" s="219"/>
      <c r="Q537" s="219"/>
      <c r="R537" s="219"/>
      <c r="S537" s="219"/>
      <c r="T537" s="219"/>
      <c r="U537" s="219"/>
      <c r="V537" s="219"/>
      <c r="W537" s="600"/>
      <c r="X537" s="600"/>
      <c r="Y537" s="28"/>
      <c r="Z537" s="28"/>
      <c r="AA537" s="28"/>
      <c r="AB537" s="28"/>
      <c r="AC537" s="28"/>
      <c r="AD537" s="28"/>
      <c r="AE537" s="28"/>
      <c r="AF537" s="28"/>
      <c r="AG537" s="28"/>
      <c r="AH537" s="28"/>
      <c r="AI537" s="28"/>
      <c r="AJ537" s="28"/>
      <c r="AK537" s="28"/>
    </row>
    <row r="538" spans="3:37" ht="15.75" x14ac:dyDescent="0.25">
      <c r="C538" s="95"/>
      <c r="D538" s="600"/>
      <c r="E538" s="602"/>
      <c r="F538" s="600"/>
      <c r="G538" s="600"/>
      <c r="H538" s="600"/>
      <c r="I538" s="600"/>
      <c r="J538" s="601"/>
      <c r="K538" s="219"/>
      <c r="L538" s="601"/>
      <c r="M538" s="219"/>
      <c r="N538" s="601"/>
      <c r="O538" s="219"/>
      <c r="P538" s="219"/>
      <c r="Q538" s="219"/>
      <c r="R538" s="219"/>
      <c r="S538" s="219"/>
      <c r="T538" s="219"/>
      <c r="U538" s="219"/>
      <c r="V538" s="219"/>
      <c r="W538" s="600"/>
      <c r="X538" s="600"/>
      <c r="Y538" s="28"/>
      <c r="Z538" s="28"/>
      <c r="AA538" s="28"/>
      <c r="AB538" s="28"/>
      <c r="AC538" s="28"/>
      <c r="AD538" s="28"/>
      <c r="AE538" s="28"/>
      <c r="AF538" s="28"/>
      <c r="AG538" s="28"/>
      <c r="AH538" s="28"/>
      <c r="AI538" s="28"/>
      <c r="AJ538" s="28"/>
      <c r="AK538" s="28"/>
    </row>
    <row r="539" spans="3:37" ht="15.75" x14ac:dyDescent="0.25">
      <c r="C539" s="95"/>
      <c r="D539" s="600"/>
      <c r="E539" s="602"/>
      <c r="F539" s="600"/>
      <c r="G539" s="600"/>
      <c r="H539" s="600"/>
      <c r="I539" s="600"/>
      <c r="J539" s="601"/>
      <c r="K539" s="219"/>
      <c r="L539" s="601"/>
      <c r="M539" s="219"/>
      <c r="N539" s="601"/>
      <c r="O539" s="219"/>
      <c r="P539" s="219"/>
      <c r="Q539" s="219"/>
      <c r="R539" s="219"/>
      <c r="S539" s="219"/>
      <c r="T539" s="219"/>
      <c r="U539" s="219"/>
      <c r="V539" s="219"/>
      <c r="W539" s="600"/>
      <c r="X539" s="600"/>
      <c r="Y539" s="28"/>
      <c r="Z539" s="28"/>
      <c r="AA539" s="28"/>
      <c r="AB539" s="28"/>
      <c r="AC539" s="28"/>
      <c r="AD539" s="28"/>
      <c r="AE539" s="28"/>
      <c r="AF539" s="28"/>
      <c r="AG539" s="28"/>
      <c r="AH539" s="28"/>
      <c r="AI539" s="28"/>
      <c r="AJ539" s="28"/>
      <c r="AK539" s="28"/>
    </row>
    <row r="540" spans="3:37" ht="15.75" x14ac:dyDescent="0.25">
      <c r="C540" s="95"/>
      <c r="D540" s="600"/>
      <c r="E540" s="602"/>
      <c r="F540" s="600"/>
      <c r="G540" s="600"/>
      <c r="H540" s="600"/>
      <c r="I540" s="600"/>
      <c r="J540" s="601"/>
      <c r="K540" s="219"/>
      <c r="L540" s="601"/>
      <c r="M540" s="219"/>
      <c r="N540" s="601"/>
      <c r="O540" s="219"/>
      <c r="P540" s="219"/>
      <c r="Q540" s="219"/>
      <c r="R540" s="219"/>
      <c r="S540" s="219"/>
      <c r="T540" s="219"/>
      <c r="U540" s="219"/>
      <c r="V540" s="219"/>
      <c r="W540" s="600"/>
      <c r="X540" s="600"/>
      <c r="Y540" s="28"/>
      <c r="Z540" s="28"/>
      <c r="AA540" s="28"/>
      <c r="AB540" s="28"/>
      <c r="AC540" s="28"/>
      <c r="AD540" s="28"/>
      <c r="AE540" s="28"/>
      <c r="AF540" s="28"/>
      <c r="AG540" s="28"/>
      <c r="AH540" s="28"/>
      <c r="AI540" s="28"/>
      <c r="AJ540" s="28"/>
      <c r="AK540" s="28"/>
    </row>
    <row r="541" spans="3:37" ht="15.75" x14ac:dyDescent="0.25">
      <c r="C541" s="95"/>
      <c r="D541" s="600"/>
      <c r="E541" s="602"/>
      <c r="F541" s="600"/>
      <c r="G541" s="600"/>
      <c r="H541" s="600"/>
      <c r="I541" s="600"/>
      <c r="J541" s="601"/>
      <c r="K541" s="219"/>
      <c r="L541" s="601"/>
      <c r="M541" s="219"/>
      <c r="N541" s="601"/>
      <c r="O541" s="219"/>
      <c r="P541" s="219"/>
      <c r="Q541" s="219"/>
      <c r="R541" s="219"/>
      <c r="S541" s="219"/>
      <c r="T541" s="219"/>
      <c r="U541" s="219"/>
      <c r="V541" s="219"/>
      <c r="W541" s="600"/>
      <c r="X541" s="600"/>
      <c r="Y541" s="28"/>
      <c r="Z541" s="28"/>
      <c r="AA541" s="28"/>
      <c r="AB541" s="28"/>
      <c r="AC541" s="28"/>
      <c r="AD541" s="28"/>
      <c r="AE541" s="28"/>
      <c r="AF541" s="28"/>
      <c r="AG541" s="28"/>
      <c r="AH541" s="28"/>
      <c r="AI541" s="28"/>
      <c r="AJ541" s="28"/>
      <c r="AK541" s="28"/>
    </row>
    <row r="542" spans="3:37" ht="15.75" x14ac:dyDescent="0.25">
      <c r="C542" s="95"/>
      <c r="D542" s="600"/>
      <c r="E542" s="602"/>
      <c r="F542" s="600"/>
      <c r="G542" s="600"/>
      <c r="H542" s="600"/>
      <c r="I542" s="600"/>
      <c r="J542" s="601"/>
      <c r="K542" s="219"/>
      <c r="L542" s="601"/>
      <c r="M542" s="219"/>
      <c r="N542" s="601"/>
      <c r="O542" s="219"/>
      <c r="P542" s="219"/>
      <c r="Q542" s="219"/>
      <c r="R542" s="219"/>
      <c r="S542" s="219"/>
      <c r="T542" s="219"/>
      <c r="U542" s="219"/>
      <c r="V542" s="219"/>
      <c r="W542" s="600"/>
      <c r="X542" s="600"/>
      <c r="Y542" s="28"/>
      <c r="Z542" s="28"/>
      <c r="AA542" s="28"/>
      <c r="AB542" s="28"/>
      <c r="AC542" s="28"/>
      <c r="AD542" s="28"/>
      <c r="AE542" s="28"/>
      <c r="AF542" s="28"/>
      <c r="AG542" s="28"/>
      <c r="AH542" s="28"/>
      <c r="AI542" s="28"/>
      <c r="AJ542" s="28"/>
      <c r="AK542" s="28"/>
    </row>
    <row r="543" spans="3:37" ht="15.75" x14ac:dyDescent="0.25">
      <c r="C543" s="95"/>
      <c r="D543" s="600"/>
      <c r="E543" s="602"/>
      <c r="F543" s="600"/>
      <c r="G543" s="600"/>
      <c r="H543" s="600"/>
      <c r="I543" s="600"/>
      <c r="J543" s="601"/>
      <c r="K543" s="219"/>
      <c r="L543" s="601"/>
      <c r="M543" s="219"/>
      <c r="N543" s="601"/>
      <c r="O543" s="219"/>
      <c r="P543" s="219"/>
      <c r="Q543" s="219"/>
      <c r="R543" s="219"/>
      <c r="S543" s="219"/>
      <c r="T543" s="219"/>
      <c r="U543" s="219"/>
      <c r="V543" s="219"/>
      <c r="W543" s="600"/>
      <c r="X543" s="600"/>
      <c r="Y543" s="28"/>
      <c r="Z543" s="28"/>
      <c r="AA543" s="28"/>
      <c r="AB543" s="28"/>
      <c r="AC543" s="28"/>
      <c r="AD543" s="28"/>
      <c r="AE543" s="28"/>
      <c r="AF543" s="28"/>
      <c r="AG543" s="28"/>
      <c r="AH543" s="28"/>
      <c r="AI543" s="28"/>
      <c r="AJ543" s="28"/>
      <c r="AK543" s="28"/>
    </row>
    <row r="544" spans="3:37" ht="15.75" x14ac:dyDescent="0.25">
      <c r="C544" s="95"/>
      <c r="D544" s="600"/>
      <c r="E544" s="602"/>
      <c r="F544" s="600"/>
      <c r="G544" s="600"/>
      <c r="H544" s="600"/>
      <c r="I544" s="600"/>
      <c r="J544" s="601"/>
      <c r="K544" s="219"/>
      <c r="L544" s="601"/>
      <c r="M544" s="219"/>
      <c r="N544" s="601"/>
      <c r="O544" s="219"/>
      <c r="P544" s="219"/>
      <c r="Q544" s="219"/>
      <c r="R544" s="219"/>
      <c r="S544" s="219"/>
      <c r="T544" s="219"/>
      <c r="U544" s="219"/>
      <c r="V544" s="219"/>
      <c r="W544" s="600"/>
      <c r="X544" s="600"/>
      <c r="Y544" s="28"/>
      <c r="Z544" s="28"/>
      <c r="AA544" s="28"/>
      <c r="AB544" s="28"/>
      <c r="AC544" s="28"/>
      <c r="AD544" s="28"/>
      <c r="AE544" s="28"/>
      <c r="AF544" s="28"/>
      <c r="AG544" s="28"/>
      <c r="AH544" s="28"/>
      <c r="AI544" s="28"/>
      <c r="AJ544" s="28"/>
      <c r="AK544" s="28"/>
    </row>
    <row r="545" spans="3:37" ht="15.75" x14ac:dyDescent="0.25">
      <c r="C545" s="95"/>
      <c r="D545" s="600"/>
      <c r="E545" s="602"/>
      <c r="F545" s="600"/>
      <c r="G545" s="600"/>
      <c r="H545" s="600"/>
      <c r="I545" s="600"/>
      <c r="J545" s="601"/>
      <c r="K545" s="219"/>
      <c r="L545" s="601"/>
      <c r="M545" s="219"/>
      <c r="N545" s="601"/>
      <c r="O545" s="219"/>
      <c r="P545" s="219"/>
      <c r="Q545" s="219"/>
      <c r="R545" s="219"/>
      <c r="S545" s="219"/>
      <c r="T545" s="219"/>
      <c r="U545" s="219"/>
      <c r="V545" s="219"/>
      <c r="W545" s="600"/>
      <c r="X545" s="600"/>
      <c r="Y545" s="28"/>
      <c r="Z545" s="28"/>
      <c r="AA545" s="28"/>
      <c r="AB545" s="28"/>
      <c r="AC545" s="28"/>
      <c r="AD545" s="28"/>
      <c r="AE545" s="28"/>
      <c r="AF545" s="28"/>
      <c r="AG545" s="28"/>
      <c r="AH545" s="28"/>
      <c r="AI545" s="28"/>
      <c r="AJ545" s="28"/>
      <c r="AK545" s="28"/>
    </row>
    <row r="546" spans="3:37" ht="15.75" x14ac:dyDescent="0.25">
      <c r="C546" s="95"/>
      <c r="D546" s="600"/>
      <c r="E546" s="602"/>
      <c r="F546" s="600"/>
      <c r="G546" s="600"/>
      <c r="H546" s="600"/>
      <c r="I546" s="600"/>
      <c r="J546" s="601"/>
      <c r="K546" s="219"/>
      <c r="L546" s="601"/>
      <c r="M546" s="219"/>
      <c r="N546" s="601"/>
      <c r="O546" s="219"/>
      <c r="P546" s="219"/>
      <c r="Q546" s="219"/>
      <c r="R546" s="219"/>
      <c r="S546" s="219"/>
      <c r="T546" s="219"/>
      <c r="U546" s="219"/>
      <c r="V546" s="219"/>
      <c r="W546" s="600"/>
      <c r="X546" s="600"/>
      <c r="Y546" s="28"/>
      <c r="Z546" s="28"/>
      <c r="AA546" s="28"/>
      <c r="AB546" s="28"/>
      <c r="AC546" s="28"/>
      <c r="AD546" s="28"/>
      <c r="AE546" s="28"/>
      <c r="AF546" s="28"/>
      <c r="AG546" s="28"/>
      <c r="AH546" s="28"/>
      <c r="AI546" s="28"/>
      <c r="AJ546" s="28"/>
      <c r="AK546" s="28"/>
    </row>
    <row r="547" spans="3:37" ht="15.75" x14ac:dyDescent="0.25">
      <c r="C547" s="95"/>
      <c r="D547" s="600"/>
      <c r="E547" s="602"/>
      <c r="F547" s="600"/>
      <c r="G547" s="600"/>
      <c r="H547" s="600"/>
      <c r="I547" s="600"/>
      <c r="J547" s="601"/>
      <c r="K547" s="219"/>
      <c r="L547" s="601"/>
      <c r="M547" s="219"/>
      <c r="N547" s="601"/>
      <c r="O547" s="219"/>
      <c r="P547" s="219"/>
      <c r="Q547" s="219"/>
      <c r="R547" s="219"/>
      <c r="S547" s="219"/>
      <c r="T547" s="219"/>
      <c r="U547" s="219"/>
      <c r="V547" s="219"/>
      <c r="W547" s="600"/>
      <c r="X547" s="600"/>
      <c r="Y547" s="28"/>
      <c r="Z547" s="28"/>
      <c r="AA547" s="28"/>
      <c r="AB547" s="28"/>
      <c r="AC547" s="28"/>
      <c r="AD547" s="28"/>
      <c r="AE547" s="28"/>
      <c r="AF547" s="28"/>
      <c r="AG547" s="28"/>
      <c r="AH547" s="28"/>
      <c r="AI547" s="28"/>
      <c r="AJ547" s="28"/>
      <c r="AK547" s="28"/>
    </row>
    <row r="548" spans="3:37" ht="15.75" x14ac:dyDescent="0.25">
      <c r="C548" s="95"/>
      <c r="D548" s="600"/>
      <c r="E548" s="602"/>
      <c r="F548" s="600"/>
      <c r="G548" s="600"/>
      <c r="H548" s="600"/>
      <c r="I548" s="600"/>
      <c r="J548" s="601"/>
      <c r="K548" s="219"/>
      <c r="L548" s="601"/>
      <c r="M548" s="219"/>
      <c r="N548" s="601"/>
      <c r="O548" s="219"/>
      <c r="P548" s="219"/>
      <c r="Q548" s="219"/>
      <c r="R548" s="219"/>
      <c r="S548" s="219"/>
      <c r="T548" s="219"/>
      <c r="U548" s="219"/>
      <c r="V548" s="219"/>
      <c r="W548" s="600"/>
      <c r="X548" s="600"/>
      <c r="Y548" s="28"/>
      <c r="Z548" s="28"/>
      <c r="AA548" s="28"/>
      <c r="AB548" s="28"/>
      <c r="AC548" s="28"/>
      <c r="AD548" s="28"/>
      <c r="AE548" s="28"/>
      <c r="AF548" s="28"/>
      <c r="AG548" s="28"/>
      <c r="AH548" s="28"/>
      <c r="AI548" s="28"/>
      <c r="AJ548" s="28"/>
      <c r="AK548" s="28"/>
    </row>
    <row r="549" spans="3:37" ht="15.75" x14ac:dyDescent="0.25">
      <c r="C549" s="95"/>
      <c r="D549" s="600"/>
      <c r="E549" s="602"/>
      <c r="F549" s="600"/>
      <c r="G549" s="600"/>
      <c r="H549" s="600"/>
      <c r="I549" s="600"/>
      <c r="J549" s="601"/>
      <c r="K549" s="219"/>
      <c r="L549" s="601"/>
      <c r="M549" s="219"/>
      <c r="N549" s="601"/>
      <c r="O549" s="219"/>
      <c r="P549" s="219"/>
      <c r="Q549" s="219"/>
      <c r="R549" s="219"/>
      <c r="S549" s="219"/>
      <c r="T549" s="219"/>
      <c r="U549" s="219"/>
      <c r="V549" s="219"/>
      <c r="W549" s="600"/>
      <c r="X549" s="600"/>
      <c r="Y549" s="28"/>
      <c r="Z549" s="28"/>
      <c r="AA549" s="28"/>
      <c r="AB549" s="28"/>
      <c r="AC549" s="28"/>
      <c r="AD549" s="28"/>
      <c r="AE549" s="28"/>
      <c r="AF549" s="28"/>
      <c r="AG549" s="28"/>
      <c r="AH549" s="28"/>
      <c r="AI549" s="28"/>
      <c r="AJ549" s="28"/>
      <c r="AK549" s="28"/>
    </row>
    <row r="550" spans="3:37" ht="15.75" x14ac:dyDescent="0.25">
      <c r="C550" s="95"/>
      <c r="D550" s="600"/>
      <c r="E550" s="602"/>
      <c r="F550" s="600"/>
      <c r="G550" s="600"/>
      <c r="H550" s="600"/>
      <c r="I550" s="600"/>
      <c r="J550" s="601"/>
      <c r="K550" s="219"/>
      <c r="L550" s="601"/>
      <c r="M550" s="219"/>
      <c r="N550" s="601"/>
      <c r="O550" s="219"/>
      <c r="P550" s="219"/>
      <c r="Q550" s="219"/>
      <c r="R550" s="219"/>
      <c r="S550" s="219"/>
      <c r="T550" s="219"/>
      <c r="U550" s="219"/>
      <c r="V550" s="219"/>
      <c r="W550" s="600"/>
      <c r="X550" s="600"/>
      <c r="Y550" s="28"/>
      <c r="Z550" s="28"/>
      <c r="AA550" s="28"/>
      <c r="AB550" s="28"/>
      <c r="AC550" s="28"/>
      <c r="AD550" s="28"/>
      <c r="AE550" s="28"/>
      <c r="AF550" s="28"/>
      <c r="AG550" s="28"/>
      <c r="AH550" s="28"/>
      <c r="AI550" s="28"/>
      <c r="AJ550" s="28"/>
      <c r="AK550" s="28"/>
    </row>
    <row r="551" spans="3:37" ht="15.75" x14ac:dyDescent="0.25">
      <c r="C551" s="95"/>
      <c r="D551" s="600"/>
      <c r="E551" s="602"/>
      <c r="F551" s="600"/>
      <c r="G551" s="600"/>
      <c r="H551" s="600"/>
      <c r="I551" s="600"/>
      <c r="J551" s="601"/>
      <c r="K551" s="219"/>
      <c r="L551" s="601"/>
      <c r="M551" s="219"/>
      <c r="N551" s="601"/>
      <c r="O551" s="219"/>
      <c r="P551" s="219"/>
      <c r="Q551" s="219"/>
      <c r="R551" s="219"/>
      <c r="S551" s="219"/>
      <c r="T551" s="219"/>
      <c r="U551" s="219"/>
      <c r="V551" s="219"/>
      <c r="W551" s="600"/>
      <c r="X551" s="600"/>
      <c r="Y551" s="28"/>
      <c r="Z551" s="28"/>
      <c r="AA551" s="28"/>
      <c r="AB551" s="28"/>
      <c r="AC551" s="28"/>
      <c r="AD551" s="28"/>
      <c r="AE551" s="28"/>
      <c r="AF551" s="28"/>
      <c r="AG551" s="28"/>
      <c r="AH551" s="28"/>
      <c r="AI551" s="28"/>
      <c r="AJ551" s="28"/>
      <c r="AK551" s="28"/>
    </row>
    <row r="552" spans="3:37" ht="15.75" x14ac:dyDescent="0.25">
      <c r="C552" s="95"/>
      <c r="D552" s="600"/>
      <c r="E552" s="602"/>
      <c r="F552" s="600"/>
      <c r="G552" s="600"/>
      <c r="H552" s="600"/>
      <c r="I552" s="600"/>
      <c r="J552" s="601"/>
      <c r="K552" s="219"/>
      <c r="L552" s="601"/>
      <c r="M552" s="219"/>
      <c r="N552" s="601"/>
      <c r="O552" s="219"/>
      <c r="P552" s="219"/>
      <c r="Q552" s="219"/>
      <c r="R552" s="219"/>
      <c r="S552" s="219"/>
      <c r="T552" s="219"/>
      <c r="U552" s="219"/>
      <c r="V552" s="219"/>
      <c r="W552" s="600"/>
      <c r="X552" s="600"/>
      <c r="Y552" s="28"/>
      <c r="Z552" s="28"/>
      <c r="AA552" s="28"/>
      <c r="AB552" s="28"/>
      <c r="AC552" s="28"/>
      <c r="AD552" s="28"/>
      <c r="AE552" s="28"/>
      <c r="AF552" s="28"/>
      <c r="AG552" s="28"/>
      <c r="AH552" s="28"/>
      <c r="AI552" s="28"/>
      <c r="AJ552" s="28"/>
      <c r="AK552" s="28"/>
    </row>
    <row r="553" spans="3:37" ht="15.75" x14ac:dyDescent="0.25">
      <c r="C553" s="95"/>
      <c r="D553" s="600"/>
      <c r="E553" s="602"/>
      <c r="F553" s="600"/>
      <c r="G553" s="600"/>
      <c r="H553" s="600"/>
      <c r="I553" s="600"/>
      <c r="J553" s="601"/>
      <c r="K553" s="219"/>
      <c r="L553" s="601"/>
      <c r="M553" s="219"/>
      <c r="N553" s="601"/>
      <c r="O553" s="219"/>
      <c r="P553" s="219"/>
      <c r="Q553" s="219"/>
      <c r="R553" s="219"/>
      <c r="S553" s="219"/>
      <c r="T553" s="219"/>
      <c r="U553" s="219"/>
      <c r="V553" s="219"/>
      <c r="W553" s="600"/>
      <c r="X553" s="600"/>
      <c r="Y553" s="28"/>
      <c r="Z553" s="28"/>
      <c r="AA553" s="28"/>
      <c r="AB553" s="28"/>
      <c r="AC553" s="28"/>
      <c r="AD553" s="28"/>
      <c r="AE553" s="28"/>
      <c r="AF553" s="28"/>
      <c r="AG553" s="28"/>
      <c r="AH553" s="28"/>
      <c r="AI553" s="28"/>
      <c r="AJ553" s="28"/>
      <c r="AK553" s="28"/>
    </row>
    <row r="554" spans="3:37" ht="15.75" x14ac:dyDescent="0.25">
      <c r="C554" s="95"/>
      <c r="D554" s="600"/>
      <c r="E554" s="602"/>
      <c r="F554" s="600"/>
      <c r="G554" s="600"/>
      <c r="H554" s="600"/>
      <c r="I554" s="600"/>
      <c r="J554" s="601"/>
      <c r="K554" s="219"/>
      <c r="L554" s="601"/>
      <c r="M554" s="219"/>
      <c r="N554" s="601"/>
      <c r="O554" s="219"/>
      <c r="P554" s="219"/>
      <c r="Q554" s="219"/>
      <c r="R554" s="219"/>
      <c r="S554" s="219"/>
      <c r="T554" s="219"/>
      <c r="U554" s="219"/>
      <c r="V554" s="219"/>
      <c r="W554" s="600"/>
      <c r="X554" s="600"/>
      <c r="Y554" s="28"/>
      <c r="Z554" s="28"/>
      <c r="AA554" s="28"/>
      <c r="AB554" s="28"/>
      <c r="AC554" s="28"/>
      <c r="AD554" s="28"/>
      <c r="AE554" s="28"/>
      <c r="AF554" s="28"/>
      <c r="AG554" s="28"/>
      <c r="AH554" s="28"/>
      <c r="AI554" s="28"/>
      <c r="AJ554" s="28"/>
      <c r="AK554" s="28"/>
    </row>
    <row r="555" spans="3:37" ht="15.75" x14ac:dyDescent="0.25">
      <c r="C555" s="95"/>
      <c r="D555" s="600"/>
      <c r="E555" s="602"/>
      <c r="F555" s="600"/>
      <c r="G555" s="600"/>
      <c r="H555" s="600"/>
      <c r="I555" s="600"/>
      <c r="J555" s="601"/>
      <c r="K555" s="219"/>
      <c r="L555" s="601"/>
      <c r="M555" s="219"/>
      <c r="N555" s="601"/>
      <c r="O555" s="219"/>
      <c r="P555" s="219"/>
      <c r="Q555" s="219"/>
      <c r="R555" s="219"/>
      <c r="S555" s="219"/>
      <c r="T555" s="219"/>
      <c r="U555" s="219"/>
      <c r="V555" s="219"/>
      <c r="W555" s="600"/>
      <c r="X555" s="600"/>
      <c r="Y555" s="28"/>
      <c r="Z555" s="28"/>
      <c r="AA555" s="28"/>
      <c r="AB555" s="28"/>
      <c r="AC555" s="28"/>
      <c r="AD555" s="28"/>
      <c r="AE555" s="28"/>
      <c r="AF555" s="28"/>
      <c r="AG555" s="28"/>
      <c r="AH555" s="28"/>
      <c r="AI555" s="28"/>
      <c r="AJ555" s="28"/>
      <c r="AK555" s="28"/>
    </row>
    <row r="556" spans="3:37" ht="15.75" x14ac:dyDescent="0.25">
      <c r="C556" s="95"/>
      <c r="D556" s="600"/>
      <c r="E556" s="602"/>
      <c r="F556" s="600"/>
      <c r="G556" s="600"/>
      <c r="H556" s="600"/>
      <c r="I556" s="600"/>
      <c r="J556" s="601"/>
      <c r="K556" s="219"/>
      <c r="L556" s="601"/>
      <c r="M556" s="219"/>
      <c r="N556" s="601"/>
      <c r="O556" s="219"/>
      <c r="P556" s="219"/>
      <c r="Q556" s="219"/>
      <c r="R556" s="219"/>
      <c r="S556" s="219"/>
      <c r="T556" s="219"/>
      <c r="U556" s="219"/>
      <c r="V556" s="219"/>
      <c r="W556" s="600"/>
      <c r="X556" s="600"/>
      <c r="Y556" s="28"/>
      <c r="Z556" s="28"/>
      <c r="AA556" s="28"/>
      <c r="AB556" s="28"/>
      <c r="AC556" s="28"/>
      <c r="AD556" s="28"/>
      <c r="AE556" s="28"/>
      <c r="AF556" s="28"/>
      <c r="AG556" s="28"/>
      <c r="AH556" s="28"/>
      <c r="AI556" s="28"/>
      <c r="AJ556" s="28"/>
      <c r="AK556" s="28"/>
    </row>
    <row r="557" spans="3:37" ht="15.75" x14ac:dyDescent="0.25">
      <c r="C557" s="95"/>
      <c r="D557" s="600"/>
      <c r="E557" s="602"/>
      <c r="F557" s="600"/>
      <c r="G557" s="600"/>
      <c r="H557" s="600"/>
      <c r="I557" s="600"/>
      <c r="J557" s="601"/>
      <c r="K557" s="219"/>
      <c r="L557" s="601"/>
      <c r="M557" s="219"/>
      <c r="N557" s="601"/>
      <c r="O557" s="219"/>
      <c r="P557" s="219"/>
      <c r="Q557" s="219"/>
      <c r="R557" s="219"/>
      <c r="S557" s="219"/>
      <c r="T557" s="219"/>
      <c r="U557" s="219"/>
      <c r="V557" s="219"/>
      <c r="W557" s="600"/>
      <c r="X557" s="600"/>
      <c r="Y557" s="28"/>
      <c r="Z557" s="28"/>
      <c r="AA557" s="28"/>
      <c r="AB557" s="28"/>
      <c r="AC557" s="28"/>
      <c r="AD557" s="28"/>
      <c r="AE557" s="28"/>
      <c r="AF557" s="28"/>
      <c r="AG557" s="28"/>
      <c r="AH557" s="28"/>
      <c r="AI557" s="28"/>
      <c r="AJ557" s="28"/>
      <c r="AK557" s="28"/>
    </row>
    <row r="558" spans="3:37" ht="15.75" x14ac:dyDescent="0.25">
      <c r="C558" s="95"/>
      <c r="D558" s="600"/>
      <c r="E558" s="602"/>
      <c r="F558" s="600"/>
      <c r="G558" s="600"/>
      <c r="H558" s="600"/>
      <c r="I558" s="600"/>
      <c r="J558" s="601"/>
      <c r="K558" s="219"/>
      <c r="L558" s="601"/>
      <c r="M558" s="219"/>
      <c r="N558" s="601"/>
      <c r="O558" s="219"/>
      <c r="P558" s="219"/>
      <c r="Q558" s="219"/>
      <c r="R558" s="219"/>
      <c r="S558" s="219"/>
      <c r="T558" s="219"/>
      <c r="U558" s="219"/>
      <c r="V558" s="219"/>
      <c r="W558" s="600"/>
      <c r="X558" s="600"/>
      <c r="Y558" s="28"/>
      <c r="Z558" s="28"/>
      <c r="AA558" s="28"/>
      <c r="AB558" s="28"/>
      <c r="AC558" s="28"/>
      <c r="AD558" s="28"/>
      <c r="AE558" s="28"/>
      <c r="AF558" s="28"/>
      <c r="AG558" s="28"/>
      <c r="AH558" s="28"/>
      <c r="AI558" s="28"/>
      <c r="AJ558" s="28"/>
      <c r="AK558" s="28"/>
    </row>
    <row r="559" spans="3:37" ht="15.75" x14ac:dyDescent="0.25">
      <c r="C559" s="95"/>
      <c r="D559" s="600"/>
      <c r="E559" s="602"/>
      <c r="F559" s="600"/>
      <c r="G559" s="600"/>
      <c r="H559" s="600"/>
      <c r="I559" s="600"/>
      <c r="J559" s="601"/>
      <c r="K559" s="219"/>
      <c r="L559" s="601"/>
      <c r="M559" s="219"/>
      <c r="N559" s="601"/>
      <c r="O559" s="219"/>
      <c r="P559" s="219"/>
      <c r="Q559" s="219"/>
      <c r="R559" s="219"/>
      <c r="S559" s="219"/>
      <c r="T559" s="219"/>
      <c r="U559" s="219"/>
      <c r="V559" s="219"/>
      <c r="W559" s="600"/>
      <c r="X559" s="600"/>
      <c r="Y559" s="28"/>
      <c r="Z559" s="28"/>
      <c r="AA559" s="28"/>
      <c r="AB559" s="28"/>
      <c r="AC559" s="28"/>
      <c r="AD559" s="28"/>
      <c r="AE559" s="28"/>
      <c r="AF559" s="28"/>
      <c r="AG559" s="28"/>
      <c r="AH559" s="28"/>
      <c r="AI559" s="28"/>
      <c r="AJ559" s="28"/>
      <c r="AK559" s="28"/>
    </row>
    <row r="560" spans="3:37" ht="15.75" x14ac:dyDescent="0.25">
      <c r="C560" s="95"/>
      <c r="D560" s="600"/>
      <c r="E560" s="602"/>
      <c r="F560" s="600"/>
      <c r="G560" s="600"/>
      <c r="H560" s="600"/>
      <c r="I560" s="600"/>
      <c r="J560" s="601"/>
      <c r="K560" s="219"/>
      <c r="L560" s="601"/>
      <c r="M560" s="219"/>
      <c r="N560" s="601"/>
      <c r="O560" s="219"/>
      <c r="P560" s="219"/>
      <c r="Q560" s="219"/>
      <c r="R560" s="219"/>
      <c r="S560" s="219"/>
      <c r="T560" s="219"/>
      <c r="U560" s="219"/>
      <c r="V560" s="219"/>
      <c r="W560" s="600"/>
      <c r="X560" s="600"/>
      <c r="Y560" s="28"/>
      <c r="Z560" s="28"/>
      <c r="AA560" s="28"/>
      <c r="AB560" s="28"/>
      <c r="AC560" s="28"/>
      <c r="AD560" s="28"/>
      <c r="AE560" s="28"/>
      <c r="AF560" s="28"/>
      <c r="AG560" s="28"/>
      <c r="AH560" s="28"/>
      <c r="AI560" s="28"/>
      <c r="AJ560" s="28"/>
      <c r="AK560" s="28"/>
    </row>
    <row r="561" spans="3:37" ht="15.75" x14ac:dyDescent="0.25">
      <c r="C561" s="95"/>
      <c r="D561" s="600"/>
      <c r="E561" s="602"/>
      <c r="F561" s="600"/>
      <c r="G561" s="600"/>
      <c r="H561" s="600"/>
      <c r="I561" s="600"/>
      <c r="J561" s="601"/>
      <c r="K561" s="219"/>
      <c r="L561" s="601"/>
      <c r="M561" s="219"/>
      <c r="N561" s="601"/>
      <c r="O561" s="219"/>
      <c r="P561" s="219"/>
      <c r="Q561" s="219"/>
      <c r="R561" s="219"/>
      <c r="S561" s="219"/>
      <c r="T561" s="219"/>
      <c r="U561" s="219"/>
      <c r="V561" s="219"/>
      <c r="W561" s="600"/>
      <c r="X561" s="600"/>
      <c r="Y561" s="28"/>
      <c r="Z561" s="28"/>
      <c r="AA561" s="28"/>
      <c r="AB561" s="28"/>
      <c r="AC561" s="28"/>
      <c r="AD561" s="28"/>
      <c r="AE561" s="28"/>
      <c r="AF561" s="28"/>
      <c r="AG561" s="28"/>
      <c r="AH561" s="28"/>
      <c r="AI561" s="28"/>
      <c r="AJ561" s="28"/>
      <c r="AK561" s="28"/>
    </row>
    <row r="562" spans="3:37" ht="15.75" x14ac:dyDescent="0.25">
      <c r="C562" s="95"/>
      <c r="D562" s="600"/>
      <c r="E562" s="602"/>
      <c r="F562" s="600"/>
      <c r="G562" s="600"/>
      <c r="H562" s="600"/>
      <c r="I562" s="600"/>
      <c r="J562" s="601"/>
      <c r="K562" s="219"/>
      <c r="L562" s="601"/>
      <c r="M562" s="219"/>
      <c r="N562" s="601"/>
      <c r="O562" s="219"/>
      <c r="P562" s="219"/>
      <c r="Q562" s="219"/>
      <c r="R562" s="219"/>
      <c r="S562" s="219"/>
      <c r="T562" s="219"/>
      <c r="U562" s="219"/>
      <c r="V562" s="219"/>
      <c r="W562" s="600"/>
      <c r="X562" s="600"/>
      <c r="Y562" s="28"/>
      <c r="Z562" s="28"/>
      <c r="AA562" s="28"/>
      <c r="AB562" s="28"/>
      <c r="AC562" s="28"/>
      <c r="AD562" s="28"/>
      <c r="AE562" s="28"/>
      <c r="AF562" s="28"/>
      <c r="AG562" s="28"/>
      <c r="AH562" s="28"/>
      <c r="AI562" s="28"/>
      <c r="AJ562" s="28"/>
      <c r="AK562" s="28"/>
    </row>
    <row r="563" spans="3:37" ht="15.75" x14ac:dyDescent="0.25">
      <c r="C563" s="95"/>
      <c r="D563" s="600"/>
      <c r="E563" s="602"/>
      <c r="F563" s="600"/>
      <c r="G563" s="600"/>
      <c r="H563" s="600"/>
      <c r="I563" s="600"/>
      <c r="J563" s="601"/>
      <c r="K563" s="219"/>
      <c r="L563" s="601"/>
      <c r="M563" s="219"/>
      <c r="N563" s="601"/>
      <c r="O563" s="219"/>
      <c r="P563" s="219"/>
      <c r="Q563" s="219"/>
      <c r="R563" s="219"/>
      <c r="S563" s="219"/>
      <c r="T563" s="219"/>
      <c r="U563" s="219"/>
      <c r="V563" s="219"/>
      <c r="W563" s="600"/>
      <c r="X563" s="600"/>
      <c r="Y563" s="28"/>
      <c r="Z563" s="28"/>
      <c r="AA563" s="28"/>
      <c r="AB563" s="28"/>
      <c r="AC563" s="28"/>
      <c r="AD563" s="28"/>
      <c r="AE563" s="28"/>
      <c r="AF563" s="28"/>
      <c r="AG563" s="28"/>
      <c r="AH563" s="28"/>
      <c r="AI563" s="28"/>
      <c r="AJ563" s="28"/>
      <c r="AK563" s="28"/>
    </row>
    <row r="564" spans="3:37" ht="15.75" x14ac:dyDescent="0.25">
      <c r="C564" s="95"/>
      <c r="D564" s="600"/>
      <c r="E564" s="602"/>
      <c r="F564" s="600"/>
      <c r="G564" s="600"/>
      <c r="H564" s="600"/>
      <c r="I564" s="600"/>
      <c r="J564" s="601"/>
      <c r="K564" s="219"/>
      <c r="L564" s="601"/>
      <c r="M564" s="219"/>
      <c r="N564" s="601"/>
      <c r="O564" s="219"/>
      <c r="P564" s="219"/>
      <c r="Q564" s="219"/>
      <c r="R564" s="219"/>
      <c r="S564" s="219"/>
      <c r="T564" s="219"/>
      <c r="U564" s="219"/>
      <c r="V564" s="219"/>
      <c r="W564" s="600"/>
      <c r="X564" s="600"/>
      <c r="Y564" s="28"/>
      <c r="Z564" s="28"/>
      <c r="AA564" s="28"/>
      <c r="AB564" s="28"/>
      <c r="AC564" s="28"/>
      <c r="AD564" s="28"/>
      <c r="AE564" s="28"/>
      <c r="AF564" s="28"/>
      <c r="AG564" s="28"/>
      <c r="AH564" s="28"/>
      <c r="AI564" s="28"/>
      <c r="AJ564" s="28"/>
      <c r="AK564" s="28"/>
    </row>
    <row r="565" spans="3:37" ht="15.75" x14ac:dyDescent="0.25">
      <c r="C565" s="95"/>
      <c r="D565" s="600"/>
      <c r="E565" s="602"/>
      <c r="F565" s="600"/>
      <c r="G565" s="600"/>
      <c r="H565" s="600"/>
      <c r="I565" s="600"/>
      <c r="J565" s="601"/>
      <c r="K565" s="219"/>
      <c r="L565" s="601"/>
      <c r="M565" s="219"/>
      <c r="N565" s="601"/>
      <c r="O565" s="219"/>
      <c r="P565" s="219"/>
      <c r="Q565" s="219"/>
      <c r="R565" s="219"/>
      <c r="S565" s="219"/>
      <c r="T565" s="219"/>
      <c r="U565" s="219"/>
      <c r="V565" s="219"/>
      <c r="W565" s="600"/>
      <c r="X565" s="600"/>
      <c r="Y565" s="28"/>
      <c r="Z565" s="28"/>
      <c r="AA565" s="28"/>
      <c r="AB565" s="28"/>
      <c r="AC565" s="28"/>
      <c r="AD565" s="28"/>
      <c r="AE565" s="28"/>
      <c r="AF565" s="28"/>
      <c r="AG565" s="28"/>
      <c r="AH565" s="28"/>
      <c r="AI565" s="28"/>
      <c r="AJ565" s="28"/>
      <c r="AK565" s="28"/>
    </row>
    <row r="566" spans="3:37" ht="15.75" x14ac:dyDescent="0.25">
      <c r="C566" s="95"/>
      <c r="D566" s="600"/>
      <c r="E566" s="602"/>
      <c r="F566" s="600"/>
      <c r="G566" s="600"/>
      <c r="H566" s="600"/>
      <c r="I566" s="600"/>
      <c r="J566" s="601"/>
      <c r="K566" s="219"/>
      <c r="L566" s="601"/>
      <c r="M566" s="219"/>
      <c r="N566" s="601"/>
      <c r="O566" s="219"/>
      <c r="P566" s="219"/>
      <c r="Q566" s="219"/>
      <c r="R566" s="219"/>
      <c r="S566" s="219"/>
      <c r="T566" s="219"/>
      <c r="U566" s="219"/>
      <c r="V566" s="219"/>
      <c r="W566" s="600"/>
      <c r="X566" s="600"/>
      <c r="Y566" s="28"/>
      <c r="Z566" s="28"/>
      <c r="AA566" s="28"/>
      <c r="AB566" s="28"/>
      <c r="AC566" s="28"/>
      <c r="AD566" s="28"/>
      <c r="AE566" s="28"/>
      <c r="AF566" s="28"/>
      <c r="AG566" s="28"/>
      <c r="AH566" s="28"/>
      <c r="AI566" s="28"/>
      <c r="AJ566" s="28"/>
      <c r="AK566" s="28"/>
    </row>
    <row r="567" spans="3:37" ht="15.75" x14ac:dyDescent="0.25">
      <c r="C567" s="95"/>
      <c r="D567" s="600"/>
      <c r="E567" s="602"/>
      <c r="F567" s="600"/>
      <c r="G567" s="600"/>
      <c r="H567" s="600"/>
      <c r="I567" s="600"/>
      <c r="J567" s="601"/>
      <c r="K567" s="219"/>
      <c r="L567" s="601"/>
      <c r="M567" s="219"/>
      <c r="N567" s="601"/>
      <c r="O567" s="219"/>
      <c r="P567" s="219"/>
      <c r="Q567" s="219"/>
      <c r="R567" s="219"/>
      <c r="S567" s="219"/>
      <c r="T567" s="219"/>
      <c r="U567" s="219"/>
      <c r="V567" s="219"/>
      <c r="W567" s="600"/>
      <c r="X567" s="600"/>
      <c r="Y567" s="28"/>
      <c r="Z567" s="28"/>
      <c r="AA567" s="28"/>
      <c r="AB567" s="28"/>
      <c r="AC567" s="28"/>
      <c r="AD567" s="28"/>
      <c r="AE567" s="28"/>
      <c r="AF567" s="28"/>
      <c r="AG567" s="28"/>
      <c r="AH567" s="28"/>
      <c r="AI567" s="28"/>
      <c r="AJ567" s="28"/>
      <c r="AK567" s="28"/>
    </row>
    <row r="568" spans="3:37" ht="15.75" x14ac:dyDescent="0.25">
      <c r="C568" s="95"/>
      <c r="D568" s="600"/>
      <c r="E568" s="602"/>
      <c r="F568" s="600"/>
      <c r="G568" s="600"/>
      <c r="H568" s="600"/>
      <c r="I568" s="600"/>
      <c r="J568" s="601"/>
      <c r="K568" s="219"/>
      <c r="L568" s="601"/>
      <c r="M568" s="219"/>
      <c r="N568" s="601"/>
      <c r="O568" s="219"/>
      <c r="P568" s="219"/>
      <c r="Q568" s="219"/>
      <c r="R568" s="219"/>
      <c r="S568" s="219"/>
      <c r="T568" s="219"/>
      <c r="U568" s="219"/>
      <c r="V568" s="219"/>
      <c r="W568" s="600"/>
      <c r="X568" s="600"/>
      <c r="Y568" s="28"/>
      <c r="Z568" s="28"/>
      <c r="AA568" s="28"/>
      <c r="AB568" s="28"/>
      <c r="AC568" s="28"/>
      <c r="AD568" s="28"/>
      <c r="AE568" s="28"/>
      <c r="AF568" s="28"/>
      <c r="AG568" s="28"/>
      <c r="AH568" s="28"/>
      <c r="AI568" s="28"/>
      <c r="AJ568" s="28"/>
      <c r="AK568" s="28"/>
    </row>
    <row r="569" spans="3:37" ht="15.75" x14ac:dyDescent="0.25">
      <c r="C569" s="95"/>
      <c r="D569" s="600"/>
      <c r="E569" s="602"/>
      <c r="F569" s="600"/>
      <c r="G569" s="600"/>
      <c r="H569" s="600"/>
      <c r="I569" s="600"/>
      <c r="J569" s="601"/>
      <c r="K569" s="219"/>
      <c r="L569" s="601"/>
      <c r="M569" s="219"/>
      <c r="N569" s="601"/>
      <c r="O569" s="219"/>
      <c r="P569" s="219"/>
      <c r="Q569" s="219"/>
      <c r="R569" s="219"/>
      <c r="S569" s="219"/>
      <c r="T569" s="219"/>
      <c r="U569" s="219"/>
      <c r="V569" s="219"/>
      <c r="W569" s="600"/>
      <c r="X569" s="600"/>
      <c r="Y569" s="28"/>
      <c r="Z569" s="28"/>
      <c r="AA569" s="28"/>
      <c r="AB569" s="28"/>
      <c r="AC569" s="28"/>
      <c r="AD569" s="28"/>
      <c r="AE569" s="28"/>
      <c r="AF569" s="28"/>
      <c r="AG569" s="28"/>
      <c r="AH569" s="28"/>
      <c r="AI569" s="28"/>
      <c r="AJ569" s="28"/>
      <c r="AK569" s="28"/>
    </row>
    <row r="570" spans="3:37" ht="15.75" x14ac:dyDescent="0.25">
      <c r="C570" s="95"/>
      <c r="D570" s="600"/>
      <c r="E570" s="602"/>
      <c r="F570" s="600"/>
      <c r="G570" s="600"/>
      <c r="H570" s="600"/>
      <c r="I570" s="600"/>
      <c r="J570" s="601"/>
      <c r="K570" s="219"/>
      <c r="L570" s="601"/>
      <c r="M570" s="219"/>
      <c r="N570" s="601"/>
      <c r="O570" s="219"/>
      <c r="P570" s="219"/>
      <c r="Q570" s="219"/>
      <c r="R570" s="219"/>
      <c r="S570" s="219"/>
      <c r="T570" s="219"/>
      <c r="U570" s="219"/>
      <c r="V570" s="219"/>
      <c r="W570" s="600"/>
      <c r="X570" s="600"/>
      <c r="Y570" s="28"/>
      <c r="Z570" s="28"/>
      <c r="AA570" s="28"/>
      <c r="AB570" s="28"/>
      <c r="AC570" s="28"/>
      <c r="AD570" s="28"/>
      <c r="AE570" s="28"/>
      <c r="AF570" s="28"/>
      <c r="AG570" s="28"/>
      <c r="AH570" s="28"/>
      <c r="AI570" s="28"/>
      <c r="AJ570" s="28"/>
      <c r="AK570" s="28"/>
    </row>
    <row r="571" spans="3:37" ht="15.75" x14ac:dyDescent="0.25">
      <c r="C571" s="95"/>
      <c r="D571" s="600"/>
      <c r="E571" s="602"/>
      <c r="F571" s="600"/>
      <c r="G571" s="600"/>
      <c r="H571" s="600"/>
      <c r="I571" s="600"/>
      <c r="J571" s="601"/>
      <c r="K571" s="219"/>
      <c r="L571" s="601"/>
      <c r="M571" s="219"/>
      <c r="N571" s="601"/>
      <c r="O571" s="219"/>
      <c r="P571" s="219"/>
      <c r="Q571" s="219"/>
      <c r="R571" s="219"/>
      <c r="S571" s="219"/>
      <c r="T571" s="219"/>
      <c r="U571" s="219"/>
      <c r="V571" s="219"/>
      <c r="W571" s="600"/>
      <c r="X571" s="600"/>
      <c r="Y571" s="28"/>
      <c r="Z571" s="28"/>
      <c r="AA571" s="28"/>
      <c r="AB571" s="28"/>
      <c r="AC571" s="28"/>
      <c r="AD571" s="28"/>
      <c r="AE571" s="28"/>
      <c r="AF571" s="28"/>
      <c r="AG571" s="28"/>
      <c r="AH571" s="28"/>
      <c r="AI571" s="28"/>
      <c r="AJ571" s="28"/>
      <c r="AK571" s="28"/>
    </row>
    <row r="572" spans="3:37" ht="15.75" x14ac:dyDescent="0.25">
      <c r="C572" s="95"/>
      <c r="D572" s="600"/>
      <c r="E572" s="602"/>
      <c r="F572" s="600"/>
      <c r="G572" s="600"/>
      <c r="H572" s="600"/>
      <c r="I572" s="600"/>
      <c r="J572" s="601"/>
      <c r="K572" s="219"/>
      <c r="L572" s="601"/>
      <c r="M572" s="219"/>
      <c r="N572" s="601"/>
      <c r="O572" s="219"/>
      <c r="P572" s="219"/>
      <c r="Q572" s="219"/>
      <c r="R572" s="219"/>
      <c r="S572" s="219"/>
      <c r="T572" s="219"/>
      <c r="U572" s="219"/>
      <c r="V572" s="219"/>
      <c r="W572" s="600"/>
      <c r="X572" s="600"/>
      <c r="Y572" s="28"/>
      <c r="Z572" s="28"/>
      <c r="AA572" s="28"/>
      <c r="AB572" s="28"/>
      <c r="AC572" s="28"/>
      <c r="AD572" s="28"/>
      <c r="AE572" s="28"/>
      <c r="AF572" s="28"/>
      <c r="AG572" s="28"/>
      <c r="AH572" s="28"/>
      <c r="AI572" s="28"/>
      <c r="AJ572" s="28"/>
      <c r="AK572" s="28"/>
    </row>
    <row r="573" spans="3:37" ht="15.75" x14ac:dyDescent="0.25">
      <c r="C573" s="95"/>
      <c r="D573" s="600"/>
      <c r="E573" s="602"/>
      <c r="F573" s="600"/>
      <c r="G573" s="600"/>
      <c r="H573" s="600"/>
      <c r="I573" s="600"/>
      <c r="J573" s="601"/>
      <c r="K573" s="219"/>
      <c r="L573" s="601"/>
      <c r="M573" s="219"/>
      <c r="N573" s="601"/>
      <c r="O573" s="219"/>
      <c r="P573" s="219"/>
      <c r="Q573" s="219"/>
      <c r="R573" s="219"/>
      <c r="S573" s="219"/>
      <c r="T573" s="219"/>
      <c r="U573" s="219"/>
      <c r="V573" s="219"/>
      <c r="W573" s="600"/>
      <c r="X573" s="600"/>
      <c r="Y573" s="28"/>
      <c r="Z573" s="28"/>
      <c r="AA573" s="28"/>
      <c r="AB573" s="28"/>
      <c r="AC573" s="28"/>
      <c r="AD573" s="28"/>
      <c r="AE573" s="28"/>
      <c r="AF573" s="28"/>
      <c r="AG573" s="28"/>
      <c r="AH573" s="28"/>
      <c r="AI573" s="28"/>
      <c r="AJ573" s="28"/>
      <c r="AK573" s="28"/>
    </row>
    <row r="574" spans="3:37" ht="15.75" x14ac:dyDescent="0.25">
      <c r="C574" s="95"/>
      <c r="D574" s="600"/>
      <c r="E574" s="602"/>
      <c r="F574" s="600"/>
      <c r="G574" s="600"/>
      <c r="H574" s="600"/>
      <c r="I574" s="600"/>
      <c r="J574" s="601"/>
      <c r="K574" s="219"/>
      <c r="L574" s="601"/>
      <c r="M574" s="219"/>
      <c r="N574" s="601"/>
      <c r="O574" s="219"/>
      <c r="P574" s="219"/>
      <c r="Q574" s="219"/>
      <c r="R574" s="219"/>
      <c r="S574" s="219"/>
      <c r="T574" s="219"/>
      <c r="U574" s="219"/>
      <c r="V574" s="219"/>
      <c r="W574" s="600"/>
      <c r="X574" s="600"/>
      <c r="Y574" s="28"/>
      <c r="Z574" s="28"/>
      <c r="AA574" s="28"/>
      <c r="AB574" s="28"/>
      <c r="AC574" s="28"/>
      <c r="AD574" s="28"/>
      <c r="AE574" s="28"/>
      <c r="AF574" s="28"/>
      <c r="AG574" s="28"/>
      <c r="AH574" s="28"/>
      <c r="AI574" s="28"/>
      <c r="AJ574" s="28"/>
      <c r="AK574" s="28"/>
    </row>
    <row r="575" spans="3:37" ht="15.75" x14ac:dyDescent="0.25">
      <c r="C575" s="95"/>
      <c r="D575" s="600"/>
      <c r="E575" s="602"/>
      <c r="F575" s="600"/>
      <c r="G575" s="600"/>
      <c r="H575" s="600"/>
      <c r="I575" s="600"/>
      <c r="J575" s="601"/>
      <c r="K575" s="219"/>
      <c r="L575" s="601"/>
      <c r="M575" s="219"/>
      <c r="N575" s="601"/>
      <c r="O575" s="219"/>
      <c r="P575" s="219"/>
      <c r="Q575" s="219"/>
      <c r="R575" s="219"/>
      <c r="S575" s="219"/>
      <c r="T575" s="219"/>
      <c r="U575" s="219"/>
      <c r="V575" s="219"/>
      <c r="W575" s="600"/>
      <c r="X575" s="600"/>
      <c r="Y575" s="28"/>
      <c r="Z575" s="28"/>
      <c r="AA575" s="28"/>
      <c r="AB575" s="28"/>
      <c r="AC575" s="28"/>
      <c r="AD575" s="28"/>
      <c r="AE575" s="28"/>
      <c r="AF575" s="28"/>
      <c r="AG575" s="28"/>
      <c r="AH575" s="28"/>
      <c r="AI575" s="28"/>
      <c r="AJ575" s="28"/>
      <c r="AK575" s="28"/>
    </row>
    <row r="576" spans="3:37" ht="15.75" x14ac:dyDescent="0.25">
      <c r="C576" s="95"/>
      <c r="D576" s="600"/>
      <c r="E576" s="602"/>
      <c r="F576" s="600"/>
      <c r="G576" s="600"/>
      <c r="H576" s="600"/>
      <c r="I576" s="600"/>
      <c r="J576" s="601"/>
      <c r="K576" s="219"/>
      <c r="L576" s="601"/>
      <c r="M576" s="219"/>
      <c r="N576" s="601"/>
      <c r="O576" s="219"/>
      <c r="P576" s="219"/>
      <c r="Q576" s="219"/>
      <c r="R576" s="219"/>
      <c r="S576" s="219"/>
      <c r="T576" s="219"/>
      <c r="U576" s="219"/>
      <c r="V576" s="219"/>
      <c r="W576" s="600"/>
      <c r="X576" s="600"/>
      <c r="Y576" s="28"/>
      <c r="Z576" s="28"/>
      <c r="AA576" s="28"/>
      <c r="AB576" s="28"/>
      <c r="AC576" s="28"/>
      <c r="AD576" s="28"/>
      <c r="AE576" s="28"/>
      <c r="AF576" s="28"/>
      <c r="AG576" s="28"/>
      <c r="AH576" s="28"/>
      <c r="AI576" s="28"/>
      <c r="AJ576" s="28"/>
      <c r="AK576" s="28"/>
    </row>
    <row r="577" spans="3:37" ht="15.75" x14ac:dyDescent="0.25">
      <c r="C577" s="95"/>
      <c r="D577" s="600"/>
      <c r="E577" s="602"/>
      <c r="F577" s="600"/>
      <c r="G577" s="600"/>
      <c r="H577" s="600"/>
      <c r="I577" s="600"/>
      <c r="J577" s="601"/>
      <c r="K577" s="219"/>
      <c r="L577" s="601"/>
      <c r="M577" s="219"/>
      <c r="N577" s="601"/>
      <c r="O577" s="219"/>
      <c r="P577" s="219"/>
      <c r="Q577" s="219"/>
      <c r="R577" s="219"/>
      <c r="S577" s="219"/>
      <c r="T577" s="219"/>
      <c r="U577" s="219"/>
      <c r="V577" s="219"/>
      <c r="W577" s="600"/>
      <c r="X577" s="600"/>
      <c r="Y577" s="28"/>
      <c r="Z577" s="28"/>
      <c r="AA577" s="28"/>
      <c r="AB577" s="28"/>
      <c r="AC577" s="28"/>
      <c r="AD577" s="28"/>
      <c r="AE577" s="28"/>
      <c r="AF577" s="28"/>
      <c r="AG577" s="28"/>
      <c r="AH577" s="28"/>
      <c r="AI577" s="28"/>
      <c r="AJ577" s="28"/>
      <c r="AK577" s="28"/>
    </row>
    <row r="578" spans="3:37" ht="15.75" x14ac:dyDescent="0.25">
      <c r="C578" s="95"/>
      <c r="D578" s="600"/>
      <c r="E578" s="602"/>
      <c r="F578" s="600"/>
      <c r="G578" s="600"/>
      <c r="H578" s="600"/>
      <c r="I578" s="600"/>
      <c r="J578" s="601"/>
      <c r="K578" s="219"/>
      <c r="L578" s="601"/>
      <c r="M578" s="219"/>
      <c r="N578" s="601"/>
      <c r="O578" s="219"/>
      <c r="P578" s="219"/>
      <c r="Q578" s="219"/>
      <c r="R578" s="219"/>
      <c r="S578" s="219"/>
      <c r="T578" s="219"/>
      <c r="U578" s="219"/>
      <c r="V578" s="219"/>
      <c r="W578" s="600"/>
      <c r="X578" s="600"/>
      <c r="Y578" s="28"/>
      <c r="Z578" s="28"/>
      <c r="AA578" s="28"/>
      <c r="AB578" s="28"/>
      <c r="AC578" s="28"/>
      <c r="AD578" s="28"/>
      <c r="AE578" s="28"/>
      <c r="AF578" s="28"/>
      <c r="AG578" s="28"/>
      <c r="AH578" s="28"/>
      <c r="AI578" s="28"/>
      <c r="AJ578" s="28"/>
      <c r="AK578" s="28"/>
    </row>
    <row r="579" spans="3:37" ht="15.75" x14ac:dyDescent="0.25">
      <c r="C579" s="95"/>
      <c r="D579" s="600"/>
      <c r="E579" s="602"/>
      <c r="F579" s="600"/>
      <c r="G579" s="600"/>
      <c r="H579" s="600"/>
      <c r="I579" s="600"/>
      <c r="J579" s="601"/>
      <c r="K579" s="219"/>
      <c r="L579" s="601"/>
      <c r="M579" s="219"/>
      <c r="N579" s="601"/>
      <c r="O579" s="219"/>
      <c r="P579" s="219"/>
      <c r="Q579" s="219"/>
      <c r="R579" s="219"/>
      <c r="S579" s="219"/>
      <c r="T579" s="219"/>
      <c r="U579" s="219"/>
      <c r="V579" s="219"/>
      <c r="W579" s="600"/>
      <c r="X579" s="600"/>
      <c r="Y579" s="28"/>
      <c r="Z579" s="28"/>
      <c r="AA579" s="28"/>
      <c r="AB579" s="28"/>
      <c r="AC579" s="28"/>
      <c r="AD579" s="28"/>
      <c r="AE579" s="28"/>
      <c r="AF579" s="28"/>
      <c r="AG579" s="28"/>
      <c r="AH579" s="28"/>
      <c r="AI579" s="28"/>
      <c r="AJ579" s="28"/>
      <c r="AK579" s="28"/>
    </row>
    <row r="580" spans="3:37" ht="15.75" x14ac:dyDescent="0.25">
      <c r="C580" s="95"/>
      <c r="D580" s="600"/>
      <c r="E580" s="602"/>
      <c r="F580" s="600"/>
      <c r="G580" s="600"/>
      <c r="H580" s="600"/>
      <c r="I580" s="600"/>
      <c r="J580" s="601"/>
      <c r="K580" s="219"/>
      <c r="L580" s="601"/>
      <c r="M580" s="219"/>
      <c r="N580" s="601"/>
      <c r="O580" s="219"/>
      <c r="P580" s="219"/>
      <c r="Q580" s="219"/>
      <c r="R580" s="219"/>
      <c r="S580" s="219"/>
      <c r="T580" s="219"/>
      <c r="U580" s="219"/>
      <c r="V580" s="219"/>
      <c r="W580" s="600"/>
      <c r="X580" s="600"/>
      <c r="Y580" s="28"/>
      <c r="Z580" s="28"/>
      <c r="AA580" s="28"/>
      <c r="AB580" s="28"/>
      <c r="AC580" s="28"/>
      <c r="AD580" s="28"/>
      <c r="AE580" s="28"/>
      <c r="AF580" s="28"/>
      <c r="AG580" s="28"/>
      <c r="AH580" s="28"/>
      <c r="AI580" s="28"/>
      <c r="AJ580" s="28"/>
      <c r="AK580" s="28"/>
    </row>
    <row r="581" spans="3:37" ht="15.75" x14ac:dyDescent="0.25">
      <c r="C581" s="95"/>
      <c r="D581" s="600"/>
      <c r="E581" s="602"/>
      <c r="F581" s="600"/>
      <c r="G581" s="600"/>
      <c r="H581" s="600"/>
      <c r="I581" s="600"/>
      <c r="J581" s="601"/>
      <c r="K581" s="219"/>
      <c r="L581" s="601"/>
      <c r="M581" s="219"/>
      <c r="N581" s="601"/>
      <c r="O581" s="219"/>
      <c r="P581" s="219"/>
      <c r="Q581" s="219"/>
      <c r="R581" s="219"/>
      <c r="S581" s="219"/>
      <c r="T581" s="219"/>
      <c r="U581" s="219"/>
      <c r="V581" s="219"/>
      <c r="W581" s="600"/>
      <c r="X581" s="600"/>
      <c r="Y581" s="28"/>
      <c r="Z581" s="28"/>
      <c r="AA581" s="28"/>
      <c r="AB581" s="28"/>
      <c r="AC581" s="28"/>
      <c r="AD581" s="28"/>
      <c r="AE581" s="28"/>
      <c r="AF581" s="28"/>
      <c r="AG581" s="28"/>
      <c r="AH581" s="28"/>
      <c r="AI581" s="28"/>
      <c r="AJ581" s="28"/>
      <c r="AK581" s="28"/>
    </row>
    <row r="582" spans="3:37" ht="15.75" x14ac:dyDescent="0.25">
      <c r="C582" s="95"/>
      <c r="D582" s="600"/>
      <c r="E582" s="602"/>
      <c r="F582" s="600"/>
      <c r="G582" s="600"/>
      <c r="H582" s="600"/>
      <c r="I582" s="600"/>
      <c r="J582" s="601"/>
      <c r="K582" s="219"/>
      <c r="L582" s="601"/>
      <c r="M582" s="219"/>
      <c r="N582" s="601"/>
      <c r="O582" s="219"/>
      <c r="P582" s="219"/>
      <c r="Q582" s="219"/>
      <c r="R582" s="219"/>
      <c r="S582" s="219"/>
      <c r="T582" s="219"/>
      <c r="U582" s="219"/>
      <c r="V582" s="219"/>
      <c r="W582" s="600"/>
      <c r="X582" s="600"/>
      <c r="Y582" s="28"/>
      <c r="Z582" s="28"/>
      <c r="AA582" s="28"/>
      <c r="AB582" s="28"/>
      <c r="AC582" s="28"/>
      <c r="AD582" s="28"/>
      <c r="AE582" s="28"/>
      <c r="AF582" s="28"/>
      <c r="AG582" s="28"/>
      <c r="AH582" s="28"/>
      <c r="AI582" s="28"/>
      <c r="AJ582" s="28"/>
      <c r="AK582" s="28"/>
    </row>
    <row r="583" spans="3:37" ht="15.75" x14ac:dyDescent="0.25">
      <c r="C583" s="95"/>
      <c r="D583" s="600"/>
      <c r="E583" s="602"/>
      <c r="F583" s="600"/>
      <c r="G583" s="600"/>
      <c r="H583" s="600"/>
      <c r="I583" s="600"/>
      <c r="J583" s="601"/>
      <c r="K583" s="219"/>
      <c r="L583" s="601"/>
      <c r="M583" s="219"/>
      <c r="N583" s="601"/>
      <c r="O583" s="219"/>
      <c r="P583" s="219"/>
      <c r="Q583" s="219"/>
      <c r="R583" s="219"/>
      <c r="S583" s="219"/>
      <c r="T583" s="219"/>
      <c r="U583" s="219"/>
      <c r="V583" s="219"/>
      <c r="W583" s="600"/>
      <c r="X583" s="600"/>
      <c r="Y583" s="28"/>
      <c r="Z583" s="28"/>
      <c r="AA583" s="28"/>
      <c r="AB583" s="28"/>
      <c r="AC583" s="28"/>
      <c r="AD583" s="28"/>
      <c r="AE583" s="28"/>
      <c r="AF583" s="28"/>
      <c r="AG583" s="28"/>
      <c r="AH583" s="28"/>
      <c r="AI583" s="28"/>
      <c r="AJ583" s="28"/>
      <c r="AK583" s="28"/>
    </row>
    <row r="584" spans="3:37" ht="15.75" x14ac:dyDescent="0.25">
      <c r="C584" s="95"/>
      <c r="D584" s="600"/>
      <c r="E584" s="602"/>
      <c r="F584" s="600"/>
      <c r="G584" s="600"/>
      <c r="H584" s="600"/>
      <c r="I584" s="600"/>
      <c r="J584" s="601"/>
      <c r="K584" s="219"/>
      <c r="L584" s="601"/>
      <c r="M584" s="219"/>
      <c r="N584" s="601"/>
      <c r="O584" s="219"/>
      <c r="P584" s="219"/>
      <c r="Q584" s="219"/>
      <c r="R584" s="219"/>
      <c r="S584" s="219"/>
      <c r="T584" s="219"/>
      <c r="U584" s="219"/>
      <c r="V584" s="219"/>
      <c r="W584" s="600"/>
      <c r="X584" s="600"/>
      <c r="Y584" s="28"/>
      <c r="Z584" s="28"/>
      <c r="AA584" s="28"/>
      <c r="AB584" s="28"/>
      <c r="AC584" s="28"/>
      <c r="AD584" s="28"/>
      <c r="AE584" s="28"/>
      <c r="AF584" s="28"/>
      <c r="AG584" s="28"/>
      <c r="AH584" s="28"/>
      <c r="AI584" s="28"/>
      <c r="AJ584" s="28"/>
      <c r="AK584" s="28"/>
    </row>
    <row r="585" spans="3:37" ht="15.75" x14ac:dyDescent="0.25">
      <c r="C585" s="95"/>
      <c r="D585" s="600"/>
      <c r="E585" s="602"/>
      <c r="F585" s="600"/>
      <c r="G585" s="600"/>
      <c r="H585" s="600"/>
      <c r="I585" s="600"/>
      <c r="J585" s="601"/>
      <c r="K585" s="219"/>
      <c r="L585" s="601"/>
      <c r="M585" s="219"/>
      <c r="N585" s="601"/>
      <c r="O585" s="219"/>
      <c r="P585" s="219"/>
      <c r="Q585" s="219"/>
      <c r="R585" s="219"/>
      <c r="S585" s="219"/>
      <c r="T585" s="219"/>
      <c r="U585" s="219"/>
      <c r="V585" s="219"/>
      <c r="W585" s="600"/>
      <c r="X585" s="600"/>
      <c r="Y585" s="28"/>
      <c r="Z585" s="28"/>
      <c r="AA585" s="28"/>
      <c r="AB585" s="28"/>
      <c r="AC585" s="28"/>
      <c r="AD585" s="28"/>
      <c r="AE585" s="28"/>
      <c r="AF585" s="28"/>
      <c r="AG585" s="28"/>
      <c r="AH585" s="28"/>
      <c r="AI585" s="28"/>
      <c r="AJ585" s="28"/>
      <c r="AK585" s="28"/>
    </row>
    <row r="586" spans="3:37" ht="15.75" x14ac:dyDescent="0.25">
      <c r="C586" s="95"/>
      <c r="D586" s="600"/>
      <c r="E586" s="602"/>
      <c r="F586" s="600"/>
      <c r="G586" s="600"/>
      <c r="H586" s="600"/>
      <c r="I586" s="600"/>
      <c r="J586" s="601"/>
      <c r="K586" s="219"/>
      <c r="L586" s="601"/>
      <c r="M586" s="219"/>
      <c r="N586" s="601"/>
      <c r="O586" s="219"/>
      <c r="P586" s="219"/>
      <c r="Q586" s="219"/>
      <c r="R586" s="219"/>
      <c r="S586" s="219"/>
      <c r="T586" s="219"/>
      <c r="U586" s="219"/>
      <c r="V586" s="219"/>
      <c r="W586" s="600"/>
      <c r="X586" s="600"/>
      <c r="Y586" s="28"/>
      <c r="Z586" s="28"/>
      <c r="AA586" s="28"/>
      <c r="AB586" s="28"/>
      <c r="AC586" s="28"/>
      <c r="AD586" s="28"/>
      <c r="AE586" s="28"/>
      <c r="AF586" s="28"/>
      <c r="AG586" s="28"/>
      <c r="AH586" s="28"/>
      <c r="AI586" s="28"/>
      <c r="AJ586" s="28"/>
      <c r="AK586" s="28"/>
    </row>
    <row r="587" spans="3:37" ht="15.75" x14ac:dyDescent="0.25">
      <c r="C587" s="95"/>
      <c r="D587" s="600"/>
      <c r="E587" s="602"/>
      <c r="F587" s="600"/>
      <c r="G587" s="600"/>
      <c r="H587" s="600"/>
      <c r="I587" s="600"/>
      <c r="J587" s="601"/>
      <c r="K587" s="219"/>
      <c r="L587" s="601"/>
      <c r="M587" s="219"/>
      <c r="N587" s="601"/>
      <c r="O587" s="219"/>
      <c r="P587" s="219"/>
      <c r="Q587" s="219"/>
      <c r="R587" s="219"/>
      <c r="S587" s="219"/>
      <c r="T587" s="219"/>
      <c r="U587" s="219"/>
      <c r="V587" s="219"/>
      <c r="W587" s="600"/>
      <c r="X587" s="600"/>
      <c r="Y587" s="28"/>
      <c r="Z587" s="28"/>
      <c r="AA587" s="28"/>
      <c r="AB587" s="28"/>
      <c r="AC587" s="28"/>
      <c r="AD587" s="28"/>
      <c r="AE587" s="28"/>
      <c r="AF587" s="28"/>
      <c r="AG587" s="28"/>
      <c r="AH587" s="28"/>
      <c r="AI587" s="28"/>
      <c r="AJ587" s="28"/>
      <c r="AK587" s="28"/>
    </row>
    <row r="588" spans="3:37" ht="15.75" x14ac:dyDescent="0.25">
      <c r="C588" s="95"/>
      <c r="D588" s="600"/>
      <c r="E588" s="602"/>
      <c r="F588" s="600"/>
      <c r="G588" s="600"/>
      <c r="H588" s="600"/>
      <c r="I588" s="600"/>
      <c r="J588" s="601"/>
      <c r="K588" s="219"/>
      <c r="L588" s="601"/>
      <c r="M588" s="219"/>
      <c r="N588" s="601"/>
      <c r="O588" s="219"/>
      <c r="P588" s="219"/>
      <c r="Q588" s="219"/>
      <c r="R588" s="219"/>
      <c r="S588" s="219"/>
      <c r="T588" s="219"/>
      <c r="U588" s="219"/>
      <c r="V588" s="219"/>
      <c r="W588" s="600"/>
      <c r="X588" s="600"/>
      <c r="Y588" s="28"/>
      <c r="Z588" s="28"/>
      <c r="AA588" s="28"/>
      <c r="AB588" s="28"/>
      <c r="AC588" s="28"/>
      <c r="AD588" s="28"/>
      <c r="AE588" s="28"/>
      <c r="AF588" s="28"/>
      <c r="AG588" s="28"/>
      <c r="AH588" s="28"/>
      <c r="AI588" s="28"/>
      <c r="AJ588" s="28"/>
      <c r="AK588" s="28"/>
    </row>
    <row r="589" spans="3:37" ht="15.75" x14ac:dyDescent="0.25">
      <c r="C589" s="95"/>
      <c r="D589" s="600"/>
      <c r="E589" s="602"/>
      <c r="F589" s="600"/>
      <c r="G589" s="600"/>
      <c r="H589" s="600"/>
      <c r="I589" s="600"/>
      <c r="J589" s="601"/>
      <c r="K589" s="219"/>
      <c r="L589" s="601"/>
      <c r="M589" s="219"/>
      <c r="N589" s="601"/>
      <c r="O589" s="219"/>
      <c r="P589" s="219"/>
      <c r="Q589" s="219"/>
      <c r="R589" s="219"/>
      <c r="S589" s="219"/>
      <c r="T589" s="219"/>
      <c r="U589" s="219"/>
      <c r="V589" s="219"/>
      <c r="W589" s="600"/>
      <c r="X589" s="600"/>
      <c r="Y589" s="28"/>
      <c r="Z589" s="28"/>
      <c r="AA589" s="28"/>
      <c r="AB589" s="28"/>
      <c r="AC589" s="28"/>
      <c r="AD589" s="28"/>
      <c r="AE589" s="28"/>
      <c r="AF589" s="28"/>
      <c r="AG589" s="28"/>
      <c r="AH589" s="28"/>
      <c r="AI589" s="28"/>
      <c r="AJ589" s="28"/>
      <c r="AK589" s="28"/>
    </row>
    <row r="590" spans="3:37" ht="15.75" x14ac:dyDescent="0.25">
      <c r="C590" s="95"/>
      <c r="D590" s="600"/>
      <c r="E590" s="602"/>
      <c r="F590" s="600"/>
      <c r="G590" s="600"/>
      <c r="H590" s="600"/>
      <c r="I590" s="600"/>
      <c r="J590" s="601"/>
      <c r="K590" s="219"/>
      <c r="L590" s="601"/>
      <c r="M590" s="219"/>
      <c r="N590" s="601"/>
      <c r="O590" s="219"/>
      <c r="P590" s="219"/>
      <c r="Q590" s="219"/>
      <c r="R590" s="219"/>
      <c r="S590" s="219"/>
      <c r="T590" s="219"/>
      <c r="U590" s="219"/>
      <c r="V590" s="219"/>
      <c r="W590" s="600"/>
      <c r="X590" s="600"/>
      <c r="Y590" s="28"/>
      <c r="Z590" s="28"/>
      <c r="AA590" s="28"/>
      <c r="AB590" s="28"/>
      <c r="AC590" s="28"/>
      <c r="AD590" s="28"/>
      <c r="AE590" s="28"/>
      <c r="AF590" s="28"/>
      <c r="AG590" s="28"/>
      <c r="AH590" s="28"/>
      <c r="AI590" s="28"/>
      <c r="AJ590" s="28"/>
      <c r="AK590" s="28"/>
    </row>
    <row r="591" spans="3:37" ht="15.75" x14ac:dyDescent="0.25">
      <c r="C591" s="95"/>
      <c r="D591" s="600"/>
      <c r="E591" s="602"/>
      <c r="F591" s="600"/>
      <c r="G591" s="600"/>
      <c r="H591" s="600"/>
      <c r="I591" s="600"/>
      <c r="J591" s="601"/>
      <c r="K591" s="219"/>
      <c r="L591" s="601"/>
      <c r="M591" s="219"/>
      <c r="N591" s="601"/>
      <c r="O591" s="219"/>
      <c r="P591" s="219"/>
      <c r="Q591" s="219"/>
      <c r="R591" s="219"/>
      <c r="S591" s="219"/>
      <c r="T591" s="219"/>
      <c r="U591" s="219"/>
      <c r="V591" s="219"/>
      <c r="W591" s="600"/>
      <c r="X591" s="600"/>
      <c r="Y591" s="28"/>
      <c r="Z591" s="28"/>
      <c r="AA591" s="28"/>
      <c r="AB591" s="28"/>
      <c r="AC591" s="28"/>
      <c r="AD591" s="28"/>
      <c r="AE591" s="28"/>
      <c r="AF591" s="28"/>
      <c r="AG591" s="28"/>
      <c r="AH591" s="28"/>
      <c r="AI591" s="28"/>
      <c r="AJ591" s="28"/>
      <c r="AK591" s="28"/>
    </row>
    <row r="592" spans="3:37" ht="15.75" x14ac:dyDescent="0.25">
      <c r="C592" s="95"/>
      <c r="D592" s="600"/>
      <c r="E592" s="602"/>
      <c r="F592" s="600"/>
      <c r="G592" s="600"/>
      <c r="H592" s="600"/>
      <c r="I592" s="600"/>
      <c r="J592" s="601"/>
      <c r="K592" s="219"/>
      <c r="L592" s="601"/>
      <c r="M592" s="219"/>
      <c r="N592" s="601"/>
      <c r="O592" s="219"/>
      <c r="P592" s="219"/>
      <c r="Q592" s="219"/>
      <c r="R592" s="219"/>
      <c r="S592" s="219"/>
      <c r="T592" s="219"/>
      <c r="U592" s="219"/>
      <c r="V592" s="219"/>
      <c r="W592" s="600"/>
      <c r="X592" s="600"/>
      <c r="Y592" s="28"/>
      <c r="Z592" s="28"/>
      <c r="AA592" s="28"/>
      <c r="AB592" s="28"/>
      <c r="AC592" s="28"/>
      <c r="AD592" s="28"/>
      <c r="AE592" s="28"/>
      <c r="AF592" s="28"/>
      <c r="AG592" s="28"/>
      <c r="AH592" s="28"/>
      <c r="AI592" s="28"/>
      <c r="AJ592" s="28"/>
      <c r="AK592" s="28"/>
    </row>
    <row r="593" spans="3:37" ht="15.75" x14ac:dyDescent="0.25">
      <c r="C593" s="95"/>
      <c r="D593" s="600"/>
      <c r="E593" s="602"/>
      <c r="F593" s="600"/>
      <c r="G593" s="600"/>
      <c r="H593" s="600"/>
      <c r="I593" s="600"/>
      <c r="J593" s="601"/>
      <c r="K593" s="219"/>
      <c r="L593" s="601"/>
      <c r="M593" s="219"/>
      <c r="N593" s="601"/>
      <c r="O593" s="219"/>
      <c r="P593" s="219"/>
      <c r="Q593" s="219"/>
      <c r="R593" s="219"/>
      <c r="S593" s="219"/>
      <c r="T593" s="219"/>
      <c r="U593" s="219"/>
      <c r="V593" s="219"/>
      <c r="W593" s="600"/>
      <c r="X593" s="600"/>
      <c r="Y593" s="28"/>
      <c r="Z593" s="28"/>
      <c r="AA593" s="28"/>
      <c r="AB593" s="28"/>
      <c r="AC593" s="28"/>
      <c r="AD593" s="28"/>
      <c r="AE593" s="28"/>
      <c r="AF593" s="28"/>
      <c r="AG593" s="28"/>
      <c r="AH593" s="28"/>
      <c r="AI593" s="28"/>
      <c r="AJ593" s="28"/>
      <c r="AK593" s="28"/>
    </row>
    <row r="594" spans="3:37" ht="15.75" x14ac:dyDescent="0.25">
      <c r="C594" s="95"/>
      <c r="D594" s="600"/>
      <c r="E594" s="602"/>
      <c r="F594" s="600"/>
      <c r="G594" s="600"/>
      <c r="H594" s="600"/>
      <c r="I594" s="600"/>
      <c r="J594" s="601"/>
      <c r="K594" s="219"/>
      <c r="L594" s="601"/>
      <c r="M594" s="219"/>
      <c r="N594" s="601"/>
      <c r="O594" s="219"/>
      <c r="P594" s="219"/>
      <c r="Q594" s="219"/>
      <c r="R594" s="219"/>
      <c r="S594" s="219"/>
      <c r="T594" s="219"/>
      <c r="U594" s="219"/>
      <c r="V594" s="219"/>
      <c r="W594" s="600"/>
      <c r="X594" s="600"/>
      <c r="Y594" s="28"/>
      <c r="Z594" s="28"/>
      <c r="AA594" s="28"/>
      <c r="AB594" s="28"/>
      <c r="AC594" s="28"/>
      <c r="AD594" s="28"/>
      <c r="AE594" s="28"/>
      <c r="AF594" s="28"/>
      <c r="AG594" s="28"/>
      <c r="AH594" s="28"/>
      <c r="AI594" s="28"/>
      <c r="AJ594" s="28"/>
      <c r="AK594" s="28"/>
    </row>
    <row r="595" spans="3:37" ht="15.75" x14ac:dyDescent="0.25">
      <c r="C595" s="95"/>
      <c r="D595" s="600"/>
      <c r="E595" s="602"/>
      <c r="F595" s="600"/>
      <c r="G595" s="600"/>
      <c r="H595" s="600"/>
      <c r="I595" s="600"/>
      <c r="J595" s="601"/>
      <c r="K595" s="219"/>
      <c r="L595" s="601"/>
      <c r="M595" s="219"/>
      <c r="N595" s="601"/>
      <c r="O595" s="219"/>
      <c r="P595" s="219"/>
      <c r="Q595" s="219"/>
      <c r="R595" s="219"/>
      <c r="S595" s="219"/>
      <c r="T595" s="219"/>
      <c r="U595" s="219"/>
      <c r="V595" s="219"/>
      <c r="W595" s="600"/>
      <c r="X595" s="600"/>
      <c r="Y595" s="28"/>
      <c r="Z595" s="28"/>
      <c r="AA595" s="28"/>
      <c r="AB595" s="28"/>
      <c r="AC595" s="28"/>
      <c r="AD595" s="28"/>
      <c r="AE595" s="28"/>
      <c r="AF595" s="28"/>
      <c r="AG595" s="28"/>
      <c r="AH595" s="28"/>
      <c r="AI595" s="28"/>
      <c r="AJ595" s="28"/>
      <c r="AK595" s="28"/>
    </row>
    <row r="596" spans="3:37" ht="15.75" x14ac:dyDescent="0.25">
      <c r="C596" s="95"/>
      <c r="D596" s="600"/>
      <c r="E596" s="602"/>
      <c r="F596" s="600"/>
      <c r="G596" s="600"/>
      <c r="H596" s="600"/>
      <c r="I596" s="600"/>
      <c r="J596" s="601"/>
      <c r="K596" s="219"/>
      <c r="L596" s="601"/>
      <c r="M596" s="219"/>
      <c r="N596" s="601"/>
      <c r="O596" s="219"/>
      <c r="P596" s="219"/>
      <c r="Q596" s="219"/>
      <c r="R596" s="219"/>
      <c r="S596" s="219"/>
      <c r="T596" s="219"/>
      <c r="U596" s="219"/>
      <c r="V596" s="219"/>
      <c r="W596" s="600"/>
      <c r="X596" s="600"/>
      <c r="Y596" s="28"/>
      <c r="Z596" s="28"/>
      <c r="AA596" s="28"/>
      <c r="AB596" s="28"/>
      <c r="AC596" s="28"/>
      <c r="AD596" s="28"/>
      <c r="AE596" s="28"/>
      <c r="AF596" s="28"/>
      <c r="AG596" s="28"/>
      <c r="AH596" s="28"/>
      <c r="AI596" s="28"/>
      <c r="AJ596" s="28"/>
      <c r="AK596" s="28"/>
    </row>
    <row r="597" spans="3:37" ht="15.75" x14ac:dyDescent="0.25">
      <c r="C597" s="95"/>
      <c r="D597" s="600"/>
      <c r="E597" s="602"/>
      <c r="F597" s="600"/>
      <c r="G597" s="600"/>
      <c r="H597" s="600"/>
      <c r="I597" s="600"/>
      <c r="J597" s="601"/>
      <c r="K597" s="219"/>
      <c r="L597" s="601"/>
      <c r="M597" s="219"/>
      <c r="N597" s="601"/>
      <c r="O597" s="219"/>
      <c r="P597" s="219"/>
      <c r="Q597" s="219"/>
      <c r="R597" s="219"/>
      <c r="S597" s="219"/>
      <c r="T597" s="219"/>
      <c r="U597" s="219"/>
      <c r="V597" s="219"/>
      <c r="W597" s="600"/>
      <c r="X597" s="600"/>
      <c r="Y597" s="28"/>
      <c r="Z597" s="28"/>
      <c r="AA597" s="28"/>
      <c r="AB597" s="28"/>
      <c r="AC597" s="28"/>
      <c r="AD597" s="28"/>
      <c r="AE597" s="28"/>
      <c r="AF597" s="28"/>
      <c r="AG597" s="28"/>
      <c r="AH597" s="28"/>
      <c r="AI597" s="28"/>
      <c r="AJ597" s="28"/>
      <c r="AK597" s="28"/>
    </row>
    <row r="598" spans="3:37" ht="15.75" x14ac:dyDescent="0.25">
      <c r="C598" s="95"/>
      <c r="D598" s="600"/>
      <c r="E598" s="602"/>
      <c r="F598" s="600"/>
      <c r="G598" s="600"/>
      <c r="H598" s="600"/>
      <c r="I598" s="600"/>
      <c r="J598" s="601"/>
      <c r="K598" s="219"/>
      <c r="L598" s="601"/>
      <c r="M598" s="219"/>
      <c r="N598" s="601"/>
      <c r="O598" s="219"/>
      <c r="P598" s="219"/>
      <c r="Q598" s="219"/>
      <c r="R598" s="219"/>
      <c r="S598" s="219"/>
      <c r="T598" s="219"/>
      <c r="U598" s="219"/>
      <c r="V598" s="219"/>
      <c r="W598" s="600"/>
      <c r="X598" s="600"/>
      <c r="Y598" s="28"/>
      <c r="Z598" s="28"/>
      <c r="AA598" s="28"/>
      <c r="AB598" s="28"/>
      <c r="AC598" s="28"/>
      <c r="AD598" s="28"/>
      <c r="AE598" s="28"/>
      <c r="AF598" s="28"/>
      <c r="AG598" s="28"/>
      <c r="AH598" s="28"/>
      <c r="AI598" s="28"/>
      <c r="AJ598" s="28"/>
      <c r="AK598" s="28"/>
    </row>
    <row r="599" spans="3:37" ht="15.75" x14ac:dyDescent="0.25">
      <c r="C599" s="95"/>
      <c r="D599" s="600"/>
      <c r="E599" s="602"/>
      <c r="F599" s="600"/>
      <c r="G599" s="600"/>
      <c r="H599" s="600"/>
      <c r="I599" s="600"/>
      <c r="J599" s="601"/>
      <c r="K599" s="219"/>
      <c r="L599" s="601"/>
      <c r="M599" s="219"/>
      <c r="N599" s="601"/>
      <c r="O599" s="219"/>
      <c r="P599" s="219"/>
      <c r="Q599" s="219"/>
      <c r="R599" s="219"/>
      <c r="S599" s="219"/>
      <c r="T599" s="219"/>
      <c r="U599" s="219"/>
      <c r="V599" s="219"/>
      <c r="W599" s="600"/>
      <c r="X599" s="600"/>
      <c r="Y599" s="28"/>
      <c r="Z599" s="28"/>
      <c r="AA599" s="28"/>
      <c r="AB599" s="28"/>
      <c r="AC599" s="28"/>
      <c r="AD599" s="28"/>
      <c r="AE599" s="28"/>
      <c r="AF599" s="28"/>
      <c r="AG599" s="28"/>
      <c r="AH599" s="28"/>
      <c r="AI599" s="28"/>
      <c r="AJ599" s="28"/>
      <c r="AK599" s="28"/>
    </row>
    <row r="600" spans="3:37" ht="15.75" x14ac:dyDescent="0.25">
      <c r="C600" s="95"/>
      <c r="D600" s="600"/>
      <c r="E600" s="602"/>
      <c r="F600" s="600"/>
      <c r="G600" s="600"/>
      <c r="H600" s="600"/>
      <c r="I600" s="600"/>
      <c r="J600" s="601"/>
      <c r="K600" s="219"/>
      <c r="L600" s="601"/>
      <c r="M600" s="219"/>
      <c r="N600" s="601"/>
      <c r="O600" s="219"/>
      <c r="P600" s="219"/>
      <c r="Q600" s="219"/>
      <c r="R600" s="219"/>
      <c r="S600" s="219"/>
      <c r="T600" s="219"/>
      <c r="U600" s="219"/>
      <c r="V600" s="219"/>
      <c r="W600" s="600"/>
      <c r="X600" s="600"/>
      <c r="Y600" s="28"/>
      <c r="Z600" s="28"/>
      <c r="AA600" s="28"/>
      <c r="AB600" s="28"/>
      <c r="AC600" s="28"/>
      <c r="AD600" s="28"/>
      <c r="AE600" s="28"/>
      <c r="AF600" s="28"/>
      <c r="AG600" s="28"/>
      <c r="AH600" s="28"/>
      <c r="AI600" s="28"/>
      <c r="AJ600" s="28"/>
      <c r="AK600" s="28"/>
    </row>
    <row r="601" spans="3:37" ht="15.75" x14ac:dyDescent="0.25">
      <c r="C601" s="95"/>
      <c r="D601" s="600"/>
      <c r="E601" s="602"/>
      <c r="F601" s="600"/>
      <c r="G601" s="600"/>
      <c r="H601" s="600"/>
      <c r="I601" s="600"/>
      <c r="J601" s="601"/>
      <c r="K601" s="219"/>
      <c r="L601" s="601"/>
      <c r="M601" s="219"/>
      <c r="N601" s="601"/>
      <c r="O601" s="219"/>
      <c r="P601" s="219"/>
      <c r="Q601" s="219"/>
      <c r="R601" s="219"/>
      <c r="S601" s="219"/>
      <c r="T601" s="219"/>
      <c r="U601" s="219"/>
      <c r="V601" s="219"/>
      <c r="W601" s="600"/>
      <c r="X601" s="600"/>
      <c r="Y601" s="28"/>
      <c r="Z601" s="28"/>
      <c r="AA601" s="28"/>
      <c r="AB601" s="28"/>
      <c r="AC601" s="28"/>
      <c r="AD601" s="28"/>
      <c r="AE601" s="28"/>
      <c r="AF601" s="28"/>
      <c r="AG601" s="28"/>
      <c r="AH601" s="28"/>
      <c r="AI601" s="28"/>
      <c r="AJ601" s="28"/>
      <c r="AK601" s="28"/>
    </row>
    <row r="602" spans="3:37" ht="15.75" x14ac:dyDescent="0.25">
      <c r="C602" s="95"/>
      <c r="D602" s="600"/>
      <c r="E602" s="602"/>
      <c r="F602" s="600"/>
      <c r="G602" s="600"/>
      <c r="H602" s="600"/>
      <c r="I602" s="600"/>
      <c r="J602" s="601"/>
      <c r="K602" s="219"/>
      <c r="L602" s="601"/>
      <c r="M602" s="219"/>
      <c r="N602" s="601"/>
      <c r="O602" s="219"/>
      <c r="P602" s="219"/>
      <c r="Q602" s="219"/>
      <c r="R602" s="219"/>
      <c r="S602" s="219"/>
      <c r="T602" s="219"/>
      <c r="U602" s="219"/>
      <c r="V602" s="219"/>
      <c r="W602" s="600"/>
      <c r="X602" s="600"/>
      <c r="Y602" s="28"/>
      <c r="Z602" s="28"/>
      <c r="AA602" s="28"/>
      <c r="AB602" s="28"/>
      <c r="AC602" s="28"/>
      <c r="AD602" s="28"/>
      <c r="AE602" s="28"/>
      <c r="AF602" s="28"/>
      <c r="AG602" s="28"/>
      <c r="AH602" s="28"/>
      <c r="AI602" s="28"/>
      <c r="AJ602" s="28"/>
      <c r="AK602" s="28"/>
    </row>
    <row r="603" spans="3:37" ht="15.75" x14ac:dyDescent="0.25">
      <c r="C603" s="95"/>
      <c r="D603" s="600"/>
      <c r="E603" s="602"/>
      <c r="F603" s="600"/>
      <c r="G603" s="600"/>
      <c r="H603" s="600"/>
      <c r="I603" s="600"/>
      <c r="J603" s="601"/>
      <c r="K603" s="219"/>
      <c r="L603" s="601"/>
      <c r="M603" s="219"/>
      <c r="N603" s="601"/>
      <c r="O603" s="219"/>
      <c r="P603" s="219"/>
      <c r="Q603" s="219"/>
      <c r="R603" s="219"/>
      <c r="S603" s="219"/>
      <c r="T603" s="219"/>
      <c r="U603" s="219"/>
      <c r="V603" s="219"/>
      <c r="W603" s="600"/>
      <c r="X603" s="600"/>
      <c r="Y603" s="28"/>
      <c r="Z603" s="28"/>
      <c r="AA603" s="28"/>
      <c r="AB603" s="28"/>
      <c r="AC603" s="28"/>
      <c r="AD603" s="28"/>
      <c r="AE603" s="28"/>
      <c r="AF603" s="28"/>
      <c r="AG603" s="28"/>
      <c r="AH603" s="28"/>
      <c r="AI603" s="28"/>
      <c r="AJ603" s="28"/>
      <c r="AK603" s="28"/>
    </row>
    <row r="604" spans="3:37" ht="15.75" x14ac:dyDescent="0.25">
      <c r="C604" s="95"/>
      <c r="D604" s="600"/>
      <c r="E604" s="602"/>
      <c r="F604" s="600"/>
      <c r="G604" s="600"/>
      <c r="H604" s="600"/>
      <c r="I604" s="600"/>
      <c r="J604" s="601"/>
      <c r="K604" s="219"/>
      <c r="L604" s="601"/>
      <c r="M604" s="219"/>
      <c r="N604" s="601"/>
      <c r="O604" s="219"/>
      <c r="P604" s="219"/>
      <c r="Q604" s="219"/>
      <c r="R604" s="219"/>
      <c r="S604" s="219"/>
      <c r="T604" s="219"/>
      <c r="U604" s="219"/>
      <c r="V604" s="219"/>
      <c r="W604" s="600"/>
      <c r="X604" s="600"/>
      <c r="Y604" s="28"/>
      <c r="Z604" s="28"/>
      <c r="AA604" s="28"/>
      <c r="AB604" s="28"/>
      <c r="AC604" s="28"/>
      <c r="AD604" s="28"/>
      <c r="AE604" s="28"/>
      <c r="AF604" s="28"/>
      <c r="AG604" s="28"/>
      <c r="AH604" s="28"/>
      <c r="AI604" s="28"/>
      <c r="AJ604" s="28"/>
      <c r="AK604" s="28"/>
    </row>
    <row r="605" spans="3:37" ht="15.75" x14ac:dyDescent="0.25">
      <c r="C605" s="95"/>
      <c r="D605" s="600"/>
      <c r="E605" s="602"/>
      <c r="F605" s="600"/>
      <c r="G605" s="600"/>
      <c r="H605" s="600"/>
      <c r="I605" s="600"/>
      <c r="J605" s="601"/>
      <c r="K605" s="219"/>
      <c r="L605" s="601"/>
      <c r="M605" s="219"/>
      <c r="N605" s="601"/>
      <c r="O605" s="219"/>
      <c r="P605" s="219"/>
      <c r="Q605" s="219"/>
      <c r="R605" s="219"/>
      <c r="S605" s="219"/>
      <c r="T605" s="219"/>
      <c r="U605" s="219"/>
      <c r="V605" s="219"/>
      <c r="W605" s="600"/>
      <c r="X605" s="600"/>
      <c r="Y605" s="28"/>
      <c r="Z605" s="28"/>
      <c r="AA605" s="28"/>
      <c r="AB605" s="28"/>
      <c r="AC605" s="28"/>
      <c r="AD605" s="28"/>
      <c r="AE605" s="28"/>
      <c r="AF605" s="28"/>
      <c r="AG605" s="28"/>
      <c r="AH605" s="28"/>
      <c r="AI605" s="28"/>
      <c r="AJ605" s="28"/>
      <c r="AK605" s="28"/>
    </row>
    <row r="606" spans="3:37" ht="15.75" x14ac:dyDescent="0.25">
      <c r="C606" s="95"/>
      <c r="D606" s="600"/>
      <c r="E606" s="602"/>
      <c r="F606" s="600"/>
      <c r="G606" s="600"/>
      <c r="H606" s="600"/>
      <c r="I606" s="600"/>
      <c r="J606" s="601"/>
      <c r="K606" s="219"/>
      <c r="L606" s="601"/>
      <c r="M606" s="219"/>
      <c r="N606" s="601"/>
      <c r="O606" s="219"/>
      <c r="P606" s="219"/>
      <c r="Q606" s="219"/>
      <c r="R606" s="219"/>
      <c r="S606" s="219"/>
      <c r="T606" s="219"/>
      <c r="U606" s="219"/>
      <c r="V606" s="219"/>
      <c r="W606" s="600"/>
      <c r="X606" s="600"/>
      <c r="Y606" s="28"/>
      <c r="Z606" s="28"/>
      <c r="AA606" s="28"/>
      <c r="AB606" s="28"/>
      <c r="AC606" s="28"/>
      <c r="AD606" s="28"/>
      <c r="AE606" s="28"/>
      <c r="AF606" s="28"/>
      <c r="AG606" s="28"/>
      <c r="AH606" s="28"/>
      <c r="AI606" s="28"/>
      <c r="AJ606" s="28"/>
      <c r="AK606" s="28"/>
    </row>
    <row r="607" spans="3:37" ht="15.75" x14ac:dyDescent="0.25">
      <c r="C607" s="95"/>
      <c r="D607" s="600"/>
      <c r="E607" s="602"/>
      <c r="F607" s="600"/>
      <c r="G607" s="600"/>
      <c r="H607" s="600"/>
      <c r="I607" s="600"/>
      <c r="J607" s="601"/>
      <c r="K607" s="219"/>
      <c r="L607" s="601"/>
      <c r="M607" s="219"/>
      <c r="N607" s="601"/>
      <c r="O607" s="219"/>
      <c r="P607" s="219"/>
      <c r="Q607" s="219"/>
      <c r="R607" s="219"/>
      <c r="S607" s="219"/>
      <c r="T607" s="219"/>
      <c r="U607" s="219"/>
      <c r="V607" s="219"/>
      <c r="W607" s="600"/>
      <c r="X607" s="600"/>
      <c r="Y607" s="28"/>
      <c r="Z607" s="28"/>
      <c r="AA607" s="28"/>
      <c r="AB607" s="28"/>
      <c r="AC607" s="28"/>
      <c r="AD607" s="28"/>
      <c r="AE607" s="28"/>
      <c r="AF607" s="28"/>
      <c r="AG607" s="28"/>
      <c r="AH607" s="28"/>
      <c r="AI607" s="28"/>
      <c r="AJ607" s="28"/>
      <c r="AK607" s="28"/>
    </row>
    <row r="608" spans="3:37" ht="15.75" x14ac:dyDescent="0.25">
      <c r="C608" s="95"/>
      <c r="D608" s="600"/>
      <c r="E608" s="602"/>
      <c r="F608" s="600"/>
      <c r="G608" s="600"/>
      <c r="H608" s="600"/>
      <c r="I608" s="600"/>
      <c r="J608" s="601"/>
      <c r="K608" s="219"/>
      <c r="L608" s="601"/>
      <c r="M608" s="219"/>
      <c r="N608" s="601"/>
      <c r="O608" s="219"/>
      <c r="P608" s="219"/>
      <c r="Q608" s="219"/>
      <c r="R608" s="219"/>
      <c r="S608" s="219"/>
      <c r="T608" s="219"/>
      <c r="U608" s="219"/>
      <c r="V608" s="219"/>
      <c r="W608" s="600"/>
      <c r="X608" s="600"/>
      <c r="Y608" s="28"/>
      <c r="Z608" s="28"/>
      <c r="AA608" s="28"/>
      <c r="AB608" s="28"/>
      <c r="AC608" s="28"/>
      <c r="AD608" s="28"/>
      <c r="AE608" s="28"/>
      <c r="AF608" s="28"/>
      <c r="AG608" s="28"/>
      <c r="AH608" s="28"/>
      <c r="AI608" s="28"/>
      <c r="AJ608" s="28"/>
      <c r="AK608" s="28"/>
    </row>
    <row r="609" spans="3:37" ht="15.75" x14ac:dyDescent="0.25">
      <c r="C609" s="95"/>
      <c r="D609" s="600"/>
      <c r="E609" s="602"/>
      <c r="F609" s="600"/>
      <c r="G609" s="600"/>
      <c r="H609" s="600"/>
      <c r="I609" s="600"/>
      <c r="J609" s="601"/>
      <c r="K609" s="219"/>
      <c r="L609" s="601"/>
      <c r="M609" s="219"/>
      <c r="N609" s="601"/>
      <c r="O609" s="219"/>
      <c r="P609" s="219"/>
      <c r="Q609" s="219"/>
      <c r="R609" s="219"/>
      <c r="S609" s="219"/>
      <c r="T609" s="219"/>
      <c r="U609" s="219"/>
      <c r="V609" s="219"/>
      <c r="W609" s="600"/>
      <c r="X609" s="600"/>
      <c r="Y609" s="28"/>
      <c r="Z609" s="28"/>
      <c r="AA609" s="28"/>
      <c r="AB609" s="28"/>
      <c r="AC609" s="28"/>
      <c r="AD609" s="28"/>
      <c r="AE609" s="28"/>
      <c r="AF609" s="28"/>
      <c r="AG609" s="28"/>
      <c r="AH609" s="28"/>
      <c r="AI609" s="28"/>
      <c r="AJ609" s="28"/>
      <c r="AK609" s="28"/>
    </row>
    <row r="610" spans="3:37" ht="15.75" x14ac:dyDescent="0.25">
      <c r="C610" s="95"/>
      <c r="D610" s="600"/>
      <c r="E610" s="602"/>
      <c r="F610" s="600"/>
      <c r="G610" s="600"/>
      <c r="H610" s="600"/>
      <c r="I610" s="600"/>
      <c r="J610" s="601"/>
      <c r="K610" s="219"/>
      <c r="L610" s="601"/>
      <c r="M610" s="219"/>
      <c r="N610" s="601"/>
      <c r="O610" s="219"/>
      <c r="P610" s="219"/>
      <c r="Q610" s="219"/>
      <c r="R610" s="219"/>
      <c r="S610" s="219"/>
      <c r="T610" s="219"/>
      <c r="U610" s="219"/>
      <c r="V610" s="219"/>
      <c r="W610" s="600"/>
      <c r="X610" s="600"/>
      <c r="Y610" s="28"/>
      <c r="Z610" s="28"/>
      <c r="AA610" s="28"/>
      <c r="AB610" s="28"/>
      <c r="AC610" s="28"/>
      <c r="AD610" s="28"/>
      <c r="AE610" s="28"/>
      <c r="AF610" s="28"/>
      <c r="AG610" s="28"/>
      <c r="AH610" s="28"/>
      <c r="AI610" s="28"/>
      <c r="AJ610" s="28"/>
      <c r="AK610" s="28"/>
    </row>
    <row r="611" spans="3:37" ht="15.75" x14ac:dyDescent="0.25">
      <c r="C611" s="95"/>
      <c r="D611" s="600"/>
      <c r="E611" s="602"/>
      <c r="F611" s="600"/>
      <c r="G611" s="600"/>
      <c r="H611" s="600"/>
      <c r="I611" s="600"/>
      <c r="J611" s="601"/>
      <c r="K611" s="219"/>
      <c r="L611" s="601"/>
      <c r="M611" s="219"/>
      <c r="N611" s="601"/>
      <c r="O611" s="219"/>
      <c r="P611" s="219"/>
      <c r="Q611" s="219"/>
      <c r="R611" s="219"/>
      <c r="S611" s="219"/>
      <c r="T611" s="219"/>
      <c r="U611" s="219"/>
      <c r="V611" s="219"/>
      <c r="W611" s="600"/>
      <c r="X611" s="600"/>
      <c r="Y611" s="28"/>
      <c r="Z611" s="28"/>
      <c r="AA611" s="28"/>
      <c r="AB611" s="28"/>
      <c r="AC611" s="28"/>
      <c r="AD611" s="28"/>
      <c r="AE611" s="28"/>
      <c r="AF611" s="28"/>
      <c r="AG611" s="28"/>
      <c r="AH611" s="28"/>
      <c r="AI611" s="28"/>
      <c r="AJ611" s="28"/>
      <c r="AK611" s="28"/>
    </row>
    <row r="612" spans="3:37" ht="15.75" x14ac:dyDescent="0.25">
      <c r="C612" s="95"/>
      <c r="D612" s="600"/>
      <c r="E612" s="602"/>
      <c r="F612" s="600"/>
      <c r="G612" s="600"/>
      <c r="H612" s="600"/>
      <c r="I612" s="600"/>
      <c r="J612" s="601"/>
      <c r="K612" s="219"/>
      <c r="L612" s="601"/>
      <c r="M612" s="219"/>
      <c r="N612" s="601"/>
      <c r="O612" s="219"/>
      <c r="P612" s="219"/>
      <c r="Q612" s="219"/>
      <c r="R612" s="219"/>
      <c r="S612" s="219"/>
      <c r="T612" s="219"/>
      <c r="U612" s="219"/>
      <c r="V612" s="219"/>
      <c r="W612" s="600"/>
      <c r="X612" s="600"/>
      <c r="Y612" s="28"/>
      <c r="Z612" s="28"/>
      <c r="AA612" s="28"/>
      <c r="AB612" s="28"/>
      <c r="AC612" s="28"/>
      <c r="AD612" s="28"/>
      <c r="AE612" s="28"/>
      <c r="AF612" s="28"/>
      <c r="AG612" s="28"/>
      <c r="AH612" s="28"/>
      <c r="AI612" s="28"/>
      <c r="AJ612" s="28"/>
      <c r="AK612" s="28"/>
    </row>
    <row r="613" spans="3:37" ht="15.75" x14ac:dyDescent="0.25">
      <c r="C613" s="95"/>
      <c r="D613" s="600"/>
      <c r="E613" s="602"/>
      <c r="F613" s="600"/>
      <c r="G613" s="600"/>
      <c r="H613" s="600"/>
      <c r="I613" s="600"/>
      <c r="J613" s="601"/>
      <c r="K613" s="219"/>
      <c r="L613" s="601"/>
      <c r="M613" s="219"/>
      <c r="N613" s="601"/>
      <c r="O613" s="219"/>
      <c r="P613" s="219"/>
      <c r="Q613" s="219"/>
      <c r="R613" s="219"/>
      <c r="S613" s="219"/>
      <c r="T613" s="219"/>
      <c r="U613" s="219"/>
      <c r="V613" s="219"/>
      <c r="W613" s="600"/>
      <c r="X613" s="600"/>
      <c r="Y613" s="28"/>
      <c r="Z613" s="28"/>
      <c r="AA613" s="28"/>
      <c r="AB613" s="28"/>
      <c r="AC613" s="28"/>
      <c r="AD613" s="28"/>
      <c r="AE613" s="28"/>
      <c r="AF613" s="28"/>
      <c r="AG613" s="28"/>
      <c r="AH613" s="28"/>
      <c r="AI613" s="28"/>
      <c r="AJ613" s="28"/>
      <c r="AK613" s="28"/>
    </row>
    <row r="614" spans="3:37" ht="15.75" x14ac:dyDescent="0.25">
      <c r="C614" s="95"/>
      <c r="D614" s="600"/>
      <c r="E614" s="602"/>
      <c r="F614" s="600"/>
      <c r="G614" s="600"/>
      <c r="H614" s="600"/>
      <c r="I614" s="600"/>
      <c r="J614" s="601"/>
      <c r="K614" s="219"/>
      <c r="L614" s="601"/>
      <c r="M614" s="219"/>
      <c r="N614" s="601"/>
      <c r="O614" s="219"/>
      <c r="P614" s="219"/>
      <c r="Q614" s="219"/>
      <c r="R614" s="219"/>
      <c r="S614" s="219"/>
      <c r="T614" s="219"/>
      <c r="U614" s="219"/>
      <c r="V614" s="219"/>
      <c r="W614" s="600"/>
      <c r="X614" s="600"/>
      <c r="Y614" s="28"/>
      <c r="Z614" s="28"/>
      <c r="AA614" s="28"/>
      <c r="AB614" s="28"/>
      <c r="AC614" s="28"/>
      <c r="AD614" s="28"/>
      <c r="AE614" s="28"/>
      <c r="AF614" s="28"/>
      <c r="AG614" s="28"/>
      <c r="AH614" s="28"/>
      <c r="AI614" s="28"/>
      <c r="AJ614" s="28"/>
      <c r="AK614" s="28"/>
    </row>
    <row r="615" spans="3:37" ht="15.75" x14ac:dyDescent="0.25">
      <c r="C615" s="95"/>
      <c r="D615" s="600"/>
      <c r="E615" s="602"/>
      <c r="F615" s="600"/>
      <c r="G615" s="600"/>
      <c r="H615" s="600"/>
      <c r="I615" s="600"/>
      <c r="J615" s="601"/>
      <c r="K615" s="219"/>
      <c r="L615" s="601"/>
      <c r="M615" s="219"/>
      <c r="N615" s="601"/>
      <c r="O615" s="219"/>
      <c r="P615" s="219"/>
      <c r="Q615" s="219"/>
      <c r="R615" s="219"/>
      <c r="S615" s="219"/>
      <c r="T615" s="219"/>
      <c r="U615" s="219"/>
      <c r="V615" s="219"/>
      <c r="W615" s="600"/>
      <c r="X615" s="600"/>
      <c r="Y615" s="28"/>
      <c r="Z615" s="28"/>
      <c r="AA615" s="28"/>
      <c r="AB615" s="28"/>
      <c r="AC615" s="28"/>
      <c r="AD615" s="28"/>
      <c r="AE615" s="28"/>
      <c r="AF615" s="28"/>
      <c r="AG615" s="28"/>
      <c r="AH615" s="28"/>
      <c r="AI615" s="28"/>
      <c r="AJ615" s="28"/>
      <c r="AK615" s="28"/>
    </row>
    <row r="616" spans="3:37" ht="15.75" x14ac:dyDescent="0.25">
      <c r="C616" s="95"/>
      <c r="D616" s="600"/>
      <c r="E616" s="602"/>
      <c r="F616" s="600"/>
      <c r="G616" s="600"/>
      <c r="H616" s="600"/>
      <c r="I616" s="600"/>
      <c r="J616" s="601"/>
      <c r="K616" s="219"/>
      <c r="L616" s="601"/>
      <c r="M616" s="219"/>
      <c r="N616" s="601"/>
      <c r="O616" s="219"/>
      <c r="P616" s="219"/>
      <c r="Q616" s="219"/>
      <c r="R616" s="219"/>
      <c r="S616" s="219"/>
      <c r="T616" s="219"/>
      <c r="U616" s="219"/>
      <c r="V616" s="219"/>
      <c r="W616" s="600"/>
      <c r="X616" s="600"/>
      <c r="Y616" s="28"/>
      <c r="Z616" s="28"/>
      <c r="AA616" s="28"/>
      <c r="AB616" s="28"/>
      <c r="AC616" s="28"/>
      <c r="AD616" s="28"/>
      <c r="AE616" s="28"/>
      <c r="AF616" s="28"/>
      <c r="AG616" s="28"/>
      <c r="AH616" s="28"/>
      <c r="AI616" s="28"/>
      <c r="AJ616" s="28"/>
      <c r="AK616" s="28"/>
    </row>
    <row r="617" spans="3:37" ht="15.75" x14ac:dyDescent="0.25">
      <c r="C617" s="95"/>
      <c r="D617" s="600"/>
      <c r="E617" s="602"/>
      <c r="F617" s="600"/>
      <c r="G617" s="600"/>
      <c r="H617" s="600"/>
      <c r="I617" s="600"/>
      <c r="J617" s="601"/>
      <c r="K617" s="219"/>
      <c r="L617" s="601"/>
      <c r="M617" s="219"/>
      <c r="N617" s="601"/>
      <c r="O617" s="219"/>
      <c r="P617" s="219"/>
      <c r="Q617" s="219"/>
      <c r="R617" s="219"/>
      <c r="S617" s="219"/>
      <c r="T617" s="219"/>
      <c r="U617" s="219"/>
      <c r="V617" s="219"/>
      <c r="W617" s="600"/>
      <c r="X617" s="600"/>
      <c r="Y617" s="28"/>
      <c r="Z617" s="28"/>
      <c r="AA617" s="28"/>
      <c r="AB617" s="28"/>
      <c r="AC617" s="28"/>
      <c r="AD617" s="28"/>
      <c r="AE617" s="28"/>
      <c r="AF617" s="28"/>
      <c r="AG617" s="28"/>
      <c r="AH617" s="28"/>
      <c r="AI617" s="28"/>
      <c r="AJ617" s="28"/>
      <c r="AK617" s="28"/>
    </row>
    <row r="618" spans="3:37" ht="15.75" x14ac:dyDescent="0.25">
      <c r="C618" s="95"/>
      <c r="D618" s="600"/>
      <c r="E618" s="602"/>
      <c r="F618" s="600"/>
      <c r="G618" s="600"/>
      <c r="H618" s="600"/>
      <c r="I618" s="600"/>
      <c r="J618" s="601"/>
      <c r="K618" s="219"/>
      <c r="L618" s="601"/>
      <c r="M618" s="219"/>
      <c r="N618" s="601"/>
      <c r="O618" s="219"/>
      <c r="P618" s="219"/>
      <c r="Q618" s="219"/>
      <c r="R618" s="219"/>
      <c r="S618" s="219"/>
      <c r="T618" s="219"/>
      <c r="U618" s="219"/>
      <c r="V618" s="219"/>
      <c r="W618" s="600"/>
      <c r="X618" s="600"/>
      <c r="Y618" s="28"/>
      <c r="Z618" s="28"/>
      <c r="AA618" s="28"/>
      <c r="AB618" s="28"/>
      <c r="AC618" s="28"/>
      <c r="AD618" s="28"/>
      <c r="AE618" s="28"/>
      <c r="AF618" s="28"/>
      <c r="AG618" s="28"/>
      <c r="AH618" s="28"/>
      <c r="AI618" s="28"/>
      <c r="AJ618" s="28"/>
      <c r="AK618" s="28"/>
    </row>
    <row r="619" spans="3:37" ht="15.75" x14ac:dyDescent="0.25">
      <c r="C619" s="95"/>
      <c r="D619" s="600"/>
      <c r="E619" s="602"/>
      <c r="F619" s="600"/>
      <c r="G619" s="600"/>
      <c r="H619" s="600"/>
      <c r="I619" s="600"/>
      <c r="J619" s="601"/>
      <c r="K619" s="219"/>
      <c r="L619" s="601"/>
      <c r="M619" s="219"/>
      <c r="N619" s="601"/>
      <c r="O619" s="219"/>
      <c r="P619" s="219"/>
      <c r="Q619" s="219"/>
      <c r="R619" s="219"/>
      <c r="S619" s="219"/>
      <c r="T619" s="219"/>
      <c r="U619" s="219"/>
      <c r="V619" s="219"/>
      <c r="W619" s="600"/>
      <c r="X619" s="600"/>
      <c r="Y619" s="28"/>
      <c r="Z619" s="28"/>
      <c r="AA619" s="28"/>
      <c r="AB619" s="28"/>
      <c r="AC619" s="28"/>
      <c r="AD619" s="28"/>
      <c r="AE619" s="28"/>
      <c r="AF619" s="28"/>
      <c r="AG619" s="28"/>
      <c r="AH619" s="28"/>
      <c r="AI619" s="28"/>
      <c r="AJ619" s="28"/>
      <c r="AK619" s="28"/>
    </row>
    <row r="620" spans="3:37" ht="15.75" x14ac:dyDescent="0.25">
      <c r="C620" s="95"/>
      <c r="D620" s="600"/>
      <c r="E620" s="602"/>
      <c r="F620" s="600"/>
      <c r="G620" s="600"/>
      <c r="H620" s="600"/>
      <c r="I620" s="600"/>
      <c r="J620" s="601"/>
      <c r="K620" s="219"/>
      <c r="L620" s="601"/>
      <c r="M620" s="219"/>
      <c r="N620" s="601"/>
      <c r="O620" s="219"/>
      <c r="P620" s="219"/>
      <c r="Q620" s="219"/>
      <c r="R620" s="219"/>
      <c r="S620" s="219"/>
      <c r="T620" s="219"/>
      <c r="U620" s="219"/>
      <c r="V620" s="219"/>
      <c r="W620" s="600"/>
      <c r="X620" s="600"/>
      <c r="Y620" s="28"/>
      <c r="Z620" s="28"/>
      <c r="AA620" s="28"/>
      <c r="AB620" s="28"/>
      <c r="AC620" s="28"/>
      <c r="AD620" s="28"/>
      <c r="AE620" s="28"/>
      <c r="AF620" s="28"/>
      <c r="AG620" s="28"/>
      <c r="AH620" s="28"/>
      <c r="AI620" s="28"/>
      <c r="AJ620" s="28"/>
      <c r="AK620" s="28"/>
    </row>
    <row r="621" spans="3:37" ht="15.75" x14ac:dyDescent="0.25">
      <c r="C621" s="95"/>
      <c r="D621" s="600"/>
      <c r="E621" s="602"/>
      <c r="F621" s="600"/>
      <c r="G621" s="600"/>
      <c r="H621" s="600"/>
      <c r="I621" s="600"/>
      <c r="J621" s="601"/>
      <c r="K621" s="219"/>
      <c r="L621" s="601"/>
      <c r="M621" s="219"/>
      <c r="N621" s="601"/>
      <c r="O621" s="219"/>
      <c r="P621" s="219"/>
      <c r="Q621" s="219"/>
      <c r="R621" s="219"/>
      <c r="S621" s="219"/>
      <c r="T621" s="219"/>
      <c r="U621" s="219"/>
      <c r="V621" s="219"/>
      <c r="W621" s="600"/>
      <c r="X621" s="600"/>
      <c r="Y621" s="28"/>
      <c r="Z621" s="28"/>
      <c r="AA621" s="28"/>
      <c r="AB621" s="28"/>
      <c r="AC621" s="28"/>
      <c r="AD621" s="28"/>
      <c r="AE621" s="28"/>
      <c r="AF621" s="28"/>
      <c r="AG621" s="28"/>
      <c r="AH621" s="28"/>
      <c r="AI621" s="28"/>
      <c r="AJ621" s="28"/>
      <c r="AK621" s="28"/>
    </row>
    <row r="622" spans="3:37" ht="15.75" x14ac:dyDescent="0.25">
      <c r="C622" s="95"/>
      <c r="D622" s="600"/>
      <c r="E622" s="602"/>
      <c r="F622" s="600"/>
      <c r="G622" s="600"/>
      <c r="H622" s="600"/>
      <c r="I622" s="600"/>
      <c r="J622" s="601"/>
      <c r="K622" s="219"/>
      <c r="L622" s="601"/>
      <c r="M622" s="219"/>
      <c r="N622" s="601"/>
      <c r="O622" s="219"/>
      <c r="P622" s="219"/>
      <c r="Q622" s="219"/>
      <c r="R622" s="219"/>
      <c r="S622" s="219"/>
      <c r="T622" s="219"/>
      <c r="U622" s="219"/>
      <c r="V622" s="219"/>
      <c r="W622" s="600"/>
      <c r="X622" s="600"/>
      <c r="Y622" s="28"/>
      <c r="Z622" s="28"/>
      <c r="AA622" s="28"/>
      <c r="AB622" s="28"/>
      <c r="AC622" s="28"/>
      <c r="AD622" s="28"/>
      <c r="AE622" s="28"/>
      <c r="AF622" s="28"/>
      <c r="AG622" s="28"/>
      <c r="AH622" s="28"/>
      <c r="AI622" s="28"/>
      <c r="AJ622" s="28"/>
      <c r="AK622" s="28"/>
    </row>
    <row r="623" spans="3:37" ht="15.75" x14ac:dyDescent="0.25">
      <c r="C623" s="95"/>
      <c r="D623" s="600"/>
      <c r="E623" s="602"/>
      <c r="F623" s="600"/>
      <c r="G623" s="600"/>
      <c r="H623" s="600"/>
      <c r="I623" s="600"/>
      <c r="J623" s="601"/>
      <c r="K623" s="219"/>
      <c r="L623" s="601"/>
      <c r="M623" s="219"/>
      <c r="N623" s="601"/>
      <c r="O623" s="219"/>
      <c r="P623" s="219"/>
      <c r="Q623" s="219"/>
      <c r="R623" s="219"/>
      <c r="S623" s="219"/>
      <c r="T623" s="219"/>
      <c r="U623" s="219"/>
      <c r="V623" s="219"/>
      <c r="W623" s="600"/>
      <c r="X623" s="600"/>
      <c r="Y623" s="28"/>
      <c r="Z623" s="28"/>
      <c r="AA623" s="28"/>
      <c r="AB623" s="28"/>
      <c r="AC623" s="28"/>
      <c r="AD623" s="28"/>
      <c r="AE623" s="28"/>
      <c r="AF623" s="28"/>
      <c r="AG623" s="28"/>
      <c r="AH623" s="28"/>
      <c r="AI623" s="28"/>
      <c r="AJ623" s="28"/>
      <c r="AK623" s="28"/>
    </row>
    <row r="624" spans="3:37" ht="15.75" x14ac:dyDescent="0.25">
      <c r="C624" s="95"/>
      <c r="D624" s="600"/>
      <c r="E624" s="602"/>
      <c r="F624" s="600"/>
      <c r="G624" s="600"/>
      <c r="H624" s="600"/>
      <c r="I624" s="600"/>
      <c r="J624" s="601"/>
      <c r="K624" s="219"/>
      <c r="L624" s="601"/>
      <c r="M624" s="219"/>
      <c r="N624" s="601"/>
      <c r="O624" s="219"/>
      <c r="P624" s="219"/>
      <c r="Q624" s="219"/>
      <c r="R624" s="219"/>
      <c r="S624" s="219"/>
      <c r="T624" s="219"/>
      <c r="U624" s="219"/>
      <c r="V624" s="219"/>
      <c r="W624" s="600"/>
      <c r="X624" s="600"/>
      <c r="Y624" s="28"/>
      <c r="Z624" s="28"/>
      <c r="AA624" s="28"/>
      <c r="AB624" s="28"/>
      <c r="AC624" s="28"/>
      <c r="AD624" s="28"/>
      <c r="AE624" s="28"/>
      <c r="AF624" s="28"/>
      <c r="AG624" s="28"/>
      <c r="AH624" s="28"/>
      <c r="AI624" s="28"/>
      <c r="AJ624" s="28"/>
      <c r="AK624" s="28"/>
    </row>
    <row r="625" spans="3:37" ht="15.75" x14ac:dyDescent="0.25">
      <c r="C625" s="95"/>
      <c r="D625" s="600"/>
      <c r="E625" s="602"/>
      <c r="F625" s="600"/>
      <c r="G625" s="600"/>
      <c r="H625" s="600"/>
      <c r="I625" s="600"/>
      <c r="J625" s="601"/>
      <c r="K625" s="219"/>
      <c r="L625" s="601"/>
      <c r="M625" s="219"/>
      <c r="N625" s="601"/>
      <c r="O625" s="219"/>
      <c r="P625" s="219"/>
      <c r="Q625" s="219"/>
      <c r="R625" s="219"/>
      <c r="S625" s="219"/>
      <c r="T625" s="219"/>
      <c r="U625" s="219"/>
      <c r="V625" s="219"/>
      <c r="W625" s="600"/>
      <c r="X625" s="600"/>
      <c r="Y625" s="28"/>
      <c r="Z625" s="28"/>
      <c r="AA625" s="28"/>
      <c r="AB625" s="28"/>
      <c r="AC625" s="28"/>
      <c r="AD625" s="28"/>
      <c r="AE625" s="28"/>
      <c r="AF625" s="28"/>
      <c r="AG625" s="28"/>
      <c r="AH625" s="28"/>
      <c r="AI625" s="28"/>
      <c r="AJ625" s="28"/>
      <c r="AK625" s="28"/>
    </row>
    <row r="626" spans="3:37" ht="15.75" x14ac:dyDescent="0.25">
      <c r="C626" s="95"/>
      <c r="D626" s="600"/>
      <c r="E626" s="602"/>
      <c r="F626" s="600"/>
      <c r="G626" s="600"/>
      <c r="H626" s="600"/>
      <c r="I626" s="600"/>
      <c r="J626" s="601"/>
      <c r="K626" s="219"/>
      <c r="L626" s="601"/>
      <c r="M626" s="219"/>
      <c r="N626" s="601"/>
      <c r="O626" s="219"/>
      <c r="P626" s="219"/>
      <c r="Q626" s="219"/>
      <c r="R626" s="219"/>
      <c r="S626" s="219"/>
      <c r="T626" s="219"/>
      <c r="U626" s="219"/>
      <c r="V626" s="219"/>
      <c r="W626" s="600"/>
      <c r="X626" s="600"/>
      <c r="Y626" s="28"/>
      <c r="Z626" s="28"/>
      <c r="AA626" s="28"/>
      <c r="AB626" s="28"/>
      <c r="AC626" s="28"/>
      <c r="AD626" s="28"/>
      <c r="AE626" s="28"/>
      <c r="AF626" s="28"/>
      <c r="AG626" s="28"/>
      <c r="AH626" s="28"/>
      <c r="AI626" s="28"/>
      <c r="AJ626" s="28"/>
      <c r="AK626" s="28"/>
    </row>
    <row r="627" spans="3:37" ht="15.75" x14ac:dyDescent="0.25">
      <c r="C627" s="95"/>
      <c r="D627" s="600"/>
      <c r="E627" s="602"/>
      <c r="F627" s="600"/>
      <c r="G627" s="600"/>
      <c r="H627" s="600"/>
      <c r="I627" s="600"/>
      <c r="J627" s="601"/>
      <c r="K627" s="219"/>
      <c r="L627" s="601"/>
      <c r="M627" s="219"/>
      <c r="N627" s="601"/>
      <c r="O627" s="219"/>
      <c r="P627" s="219"/>
      <c r="Q627" s="219"/>
      <c r="R627" s="219"/>
      <c r="S627" s="219"/>
      <c r="T627" s="219"/>
      <c r="U627" s="219"/>
      <c r="V627" s="219"/>
      <c r="W627" s="600"/>
      <c r="X627" s="600"/>
      <c r="Y627" s="28"/>
      <c r="Z627" s="28"/>
      <c r="AA627" s="28"/>
      <c r="AB627" s="28"/>
      <c r="AC627" s="28"/>
      <c r="AD627" s="28"/>
      <c r="AE627" s="28"/>
      <c r="AF627" s="28"/>
      <c r="AG627" s="28"/>
      <c r="AH627" s="28"/>
      <c r="AI627" s="28"/>
      <c r="AJ627" s="28"/>
      <c r="AK627" s="28"/>
    </row>
    <row r="628" spans="3:37" ht="15.75" x14ac:dyDescent="0.25">
      <c r="C628" s="95"/>
      <c r="D628" s="600"/>
      <c r="E628" s="602"/>
      <c r="F628" s="600"/>
      <c r="G628" s="600"/>
      <c r="H628" s="600"/>
      <c r="I628" s="600"/>
      <c r="J628" s="601"/>
      <c r="K628" s="219"/>
      <c r="L628" s="601"/>
      <c r="M628" s="219"/>
      <c r="N628" s="601"/>
      <c r="O628" s="219"/>
      <c r="P628" s="219"/>
      <c r="Q628" s="219"/>
      <c r="R628" s="219"/>
      <c r="S628" s="219"/>
      <c r="T628" s="219"/>
      <c r="U628" s="219"/>
      <c r="V628" s="219"/>
      <c r="W628" s="600"/>
      <c r="X628" s="600"/>
      <c r="Y628" s="28"/>
      <c r="Z628" s="28"/>
      <c r="AA628" s="28"/>
      <c r="AB628" s="28"/>
      <c r="AC628" s="28"/>
      <c r="AD628" s="28"/>
      <c r="AE628" s="28"/>
      <c r="AF628" s="28"/>
      <c r="AG628" s="28"/>
      <c r="AH628" s="28"/>
      <c r="AI628" s="28"/>
      <c r="AJ628" s="28"/>
      <c r="AK628" s="28"/>
    </row>
    <row r="629" spans="3:37" ht="15.75" x14ac:dyDescent="0.25">
      <c r="C629" s="95"/>
      <c r="D629" s="600"/>
      <c r="E629" s="602"/>
      <c r="F629" s="600"/>
      <c r="G629" s="600"/>
      <c r="H629" s="600"/>
      <c r="I629" s="600"/>
      <c r="J629" s="601"/>
      <c r="K629" s="219"/>
      <c r="L629" s="601"/>
      <c r="M629" s="219"/>
      <c r="N629" s="601"/>
      <c r="O629" s="219"/>
      <c r="P629" s="219"/>
      <c r="Q629" s="219"/>
      <c r="R629" s="219"/>
      <c r="S629" s="219"/>
      <c r="T629" s="219"/>
      <c r="U629" s="219"/>
      <c r="V629" s="219"/>
      <c r="W629" s="600"/>
      <c r="X629" s="600"/>
      <c r="Y629" s="28"/>
      <c r="Z629" s="28"/>
      <c r="AA629" s="28"/>
      <c r="AB629" s="28"/>
      <c r="AC629" s="28"/>
      <c r="AD629" s="28"/>
      <c r="AE629" s="28"/>
      <c r="AF629" s="28"/>
      <c r="AG629" s="28"/>
      <c r="AH629" s="28"/>
      <c r="AI629" s="28"/>
      <c r="AJ629" s="28"/>
      <c r="AK629" s="28"/>
    </row>
    <row r="630" spans="3:37" ht="15.75" x14ac:dyDescent="0.25">
      <c r="C630" s="95"/>
      <c r="D630" s="600"/>
      <c r="E630" s="602"/>
      <c r="F630" s="600"/>
      <c r="G630" s="600"/>
      <c r="H630" s="600"/>
      <c r="I630" s="600"/>
      <c r="J630" s="601"/>
      <c r="K630" s="219"/>
      <c r="L630" s="601"/>
      <c r="M630" s="219"/>
      <c r="N630" s="601"/>
      <c r="O630" s="219"/>
      <c r="P630" s="219"/>
      <c r="Q630" s="219"/>
      <c r="R630" s="219"/>
      <c r="S630" s="219"/>
      <c r="T630" s="219"/>
      <c r="U630" s="219"/>
      <c r="V630" s="219"/>
      <c r="W630" s="600"/>
      <c r="X630" s="600"/>
      <c r="Y630" s="28"/>
      <c r="Z630" s="28"/>
      <c r="AA630" s="28"/>
      <c r="AB630" s="28"/>
      <c r="AC630" s="28"/>
      <c r="AD630" s="28"/>
      <c r="AE630" s="28"/>
      <c r="AF630" s="28"/>
      <c r="AG630" s="28"/>
      <c r="AH630" s="28"/>
      <c r="AI630" s="28"/>
      <c r="AJ630" s="28"/>
      <c r="AK630" s="28"/>
    </row>
    <row r="631" spans="3:37" ht="15.75" x14ac:dyDescent="0.25">
      <c r="C631" s="95"/>
      <c r="D631" s="600"/>
      <c r="E631" s="602"/>
      <c r="F631" s="600"/>
      <c r="G631" s="600"/>
      <c r="H631" s="600"/>
      <c r="I631" s="600"/>
      <c r="J631" s="601"/>
      <c r="K631" s="219"/>
      <c r="L631" s="601"/>
      <c r="M631" s="219"/>
      <c r="N631" s="601"/>
      <c r="O631" s="219"/>
      <c r="P631" s="219"/>
      <c r="Q631" s="219"/>
      <c r="R631" s="219"/>
      <c r="S631" s="219"/>
      <c r="T631" s="219"/>
      <c r="U631" s="219"/>
      <c r="V631" s="219"/>
      <c r="W631" s="600"/>
      <c r="X631" s="600"/>
      <c r="Y631" s="28"/>
      <c r="Z631" s="28"/>
      <c r="AA631" s="28"/>
      <c r="AB631" s="28"/>
      <c r="AC631" s="28"/>
      <c r="AD631" s="28"/>
      <c r="AE631" s="28"/>
      <c r="AF631" s="28"/>
      <c r="AG631" s="28"/>
      <c r="AH631" s="28"/>
      <c r="AI631" s="28"/>
      <c r="AJ631" s="28"/>
      <c r="AK631" s="28"/>
    </row>
    <row r="632" spans="3:37" ht="15.75" x14ac:dyDescent="0.25">
      <c r="C632" s="95"/>
      <c r="D632" s="600"/>
      <c r="E632" s="602"/>
      <c r="F632" s="600"/>
      <c r="G632" s="600"/>
      <c r="H632" s="600"/>
      <c r="I632" s="600"/>
      <c r="J632" s="601"/>
      <c r="K632" s="219"/>
      <c r="L632" s="601"/>
      <c r="M632" s="219"/>
      <c r="N632" s="601"/>
      <c r="O632" s="219"/>
      <c r="P632" s="219"/>
      <c r="Q632" s="219"/>
      <c r="R632" s="219"/>
      <c r="S632" s="219"/>
      <c r="T632" s="219"/>
      <c r="U632" s="219"/>
      <c r="V632" s="219"/>
      <c r="W632" s="600"/>
      <c r="X632" s="600"/>
      <c r="Y632" s="28"/>
      <c r="Z632" s="28"/>
      <c r="AA632" s="28"/>
      <c r="AB632" s="28"/>
      <c r="AC632" s="28"/>
      <c r="AD632" s="28"/>
      <c r="AE632" s="28"/>
      <c r="AF632" s="28"/>
      <c r="AG632" s="28"/>
      <c r="AH632" s="28"/>
      <c r="AI632" s="28"/>
      <c r="AJ632" s="28"/>
      <c r="AK632" s="28"/>
    </row>
    <row r="633" spans="3:37" ht="15.75" x14ac:dyDescent="0.25">
      <c r="C633" s="95"/>
      <c r="D633" s="600"/>
      <c r="E633" s="602"/>
      <c r="F633" s="600"/>
      <c r="G633" s="600"/>
      <c r="H633" s="600"/>
      <c r="I633" s="600"/>
      <c r="J633" s="601"/>
      <c r="K633" s="219"/>
      <c r="L633" s="601"/>
      <c r="M633" s="219"/>
      <c r="N633" s="601"/>
      <c r="O633" s="219"/>
      <c r="P633" s="219"/>
      <c r="Q633" s="219"/>
      <c r="R633" s="219"/>
      <c r="S633" s="219"/>
      <c r="T633" s="219"/>
      <c r="U633" s="219"/>
      <c r="V633" s="219"/>
      <c r="W633" s="600"/>
      <c r="X633" s="600"/>
      <c r="Y633" s="28"/>
      <c r="Z633" s="28"/>
      <c r="AA633" s="28"/>
      <c r="AB633" s="28"/>
      <c r="AC633" s="28"/>
      <c r="AD633" s="28"/>
      <c r="AE633" s="28"/>
      <c r="AF633" s="28"/>
      <c r="AG633" s="28"/>
      <c r="AH633" s="28"/>
      <c r="AI633" s="28"/>
      <c r="AJ633" s="28"/>
      <c r="AK633" s="28"/>
    </row>
    <row r="634" spans="3:37" ht="15.75" x14ac:dyDescent="0.25">
      <c r="C634" s="95"/>
      <c r="D634" s="600"/>
      <c r="E634" s="602"/>
      <c r="F634" s="600"/>
      <c r="G634" s="600"/>
      <c r="H634" s="600"/>
      <c r="I634" s="600"/>
      <c r="J634" s="601"/>
      <c r="K634" s="219"/>
      <c r="L634" s="601"/>
      <c r="M634" s="219"/>
      <c r="N634" s="601"/>
      <c r="O634" s="219"/>
      <c r="P634" s="219"/>
      <c r="Q634" s="219"/>
      <c r="R634" s="219"/>
      <c r="S634" s="219"/>
      <c r="T634" s="219"/>
      <c r="U634" s="219"/>
      <c r="V634" s="219"/>
      <c r="W634" s="600"/>
      <c r="X634" s="600"/>
      <c r="Y634" s="28"/>
      <c r="Z634" s="28"/>
      <c r="AA634" s="28"/>
      <c r="AB634" s="28"/>
      <c r="AC634" s="28"/>
      <c r="AD634" s="28"/>
      <c r="AE634" s="28"/>
      <c r="AF634" s="28"/>
      <c r="AG634" s="28"/>
      <c r="AH634" s="28"/>
      <c r="AI634" s="28"/>
      <c r="AJ634" s="28"/>
      <c r="AK634" s="28"/>
    </row>
    <row r="635" spans="3:37" ht="15.75" x14ac:dyDescent="0.25">
      <c r="C635" s="95"/>
      <c r="D635" s="600"/>
      <c r="E635" s="602"/>
      <c r="F635" s="600"/>
      <c r="G635" s="600"/>
      <c r="H635" s="600"/>
      <c r="I635" s="600"/>
      <c r="J635" s="601"/>
      <c r="K635" s="219"/>
      <c r="L635" s="601"/>
      <c r="M635" s="219"/>
      <c r="N635" s="601"/>
      <c r="O635" s="219"/>
      <c r="P635" s="219"/>
      <c r="Q635" s="219"/>
      <c r="R635" s="219"/>
      <c r="S635" s="219"/>
      <c r="T635" s="219"/>
      <c r="U635" s="219"/>
      <c r="V635" s="219"/>
      <c r="W635" s="600"/>
      <c r="X635" s="600"/>
      <c r="Y635" s="28"/>
      <c r="Z635" s="28"/>
      <c r="AA635" s="28"/>
      <c r="AB635" s="28"/>
      <c r="AC635" s="28"/>
      <c r="AD635" s="28"/>
      <c r="AE635" s="28"/>
      <c r="AF635" s="28"/>
      <c r="AG635" s="28"/>
      <c r="AH635" s="28"/>
      <c r="AI635" s="28"/>
      <c r="AJ635" s="28"/>
      <c r="AK635" s="28"/>
    </row>
    <row r="636" spans="3:37" ht="15.75" x14ac:dyDescent="0.25">
      <c r="C636" s="95"/>
      <c r="D636" s="600"/>
      <c r="E636" s="602"/>
      <c r="F636" s="600"/>
      <c r="G636" s="600"/>
      <c r="H636" s="600"/>
      <c r="I636" s="600"/>
      <c r="J636" s="601"/>
      <c r="K636" s="219"/>
      <c r="L636" s="601"/>
      <c r="M636" s="219"/>
      <c r="N636" s="601"/>
      <c r="O636" s="219"/>
      <c r="P636" s="219"/>
      <c r="Q636" s="219"/>
      <c r="R636" s="219"/>
      <c r="S636" s="219"/>
      <c r="T636" s="219"/>
      <c r="U636" s="219"/>
      <c r="V636" s="219"/>
      <c r="W636" s="600"/>
      <c r="X636" s="600"/>
      <c r="Y636" s="28"/>
      <c r="Z636" s="28"/>
      <c r="AA636" s="28"/>
      <c r="AB636" s="28"/>
      <c r="AC636" s="28"/>
      <c r="AD636" s="28"/>
      <c r="AE636" s="28"/>
      <c r="AF636" s="28"/>
      <c r="AG636" s="28"/>
      <c r="AH636" s="28"/>
      <c r="AI636" s="28"/>
      <c r="AJ636" s="28"/>
      <c r="AK636" s="28"/>
    </row>
    <row r="637" spans="3:37" ht="15.75" x14ac:dyDescent="0.25">
      <c r="C637" s="95"/>
      <c r="D637" s="600"/>
      <c r="E637" s="602"/>
      <c r="F637" s="600"/>
      <c r="G637" s="600"/>
      <c r="H637" s="600"/>
      <c r="I637" s="600"/>
      <c r="J637" s="601"/>
      <c r="K637" s="219"/>
      <c r="L637" s="601"/>
      <c r="M637" s="219"/>
      <c r="N637" s="601"/>
      <c r="O637" s="219"/>
      <c r="P637" s="219"/>
      <c r="Q637" s="219"/>
      <c r="R637" s="219"/>
      <c r="S637" s="219"/>
      <c r="T637" s="219"/>
      <c r="U637" s="219"/>
      <c r="V637" s="219"/>
      <c r="W637" s="600"/>
      <c r="X637" s="600"/>
      <c r="Y637" s="28"/>
      <c r="Z637" s="28"/>
      <c r="AA637" s="28"/>
      <c r="AB637" s="28"/>
      <c r="AC637" s="28"/>
      <c r="AD637" s="28"/>
      <c r="AE637" s="28"/>
      <c r="AF637" s="28"/>
      <c r="AG637" s="28"/>
      <c r="AH637" s="28"/>
      <c r="AI637" s="28"/>
      <c r="AJ637" s="28"/>
      <c r="AK637" s="28"/>
    </row>
    <row r="638" spans="3:37" ht="15.75" x14ac:dyDescent="0.25">
      <c r="C638" s="95"/>
      <c r="D638" s="600"/>
      <c r="E638" s="602"/>
      <c r="F638" s="600"/>
      <c r="G638" s="600"/>
      <c r="H638" s="600"/>
      <c r="I638" s="600"/>
      <c r="J638" s="601"/>
      <c r="K638" s="219"/>
      <c r="L638" s="601"/>
      <c r="M638" s="219"/>
      <c r="N638" s="601"/>
      <c r="O638" s="219"/>
      <c r="P638" s="219"/>
      <c r="Q638" s="219"/>
      <c r="R638" s="219"/>
      <c r="S638" s="219"/>
      <c r="T638" s="219"/>
      <c r="U638" s="219"/>
      <c r="V638" s="219"/>
      <c r="W638" s="600"/>
      <c r="X638" s="600"/>
      <c r="Y638" s="28"/>
      <c r="Z638" s="28"/>
      <c r="AA638" s="28"/>
      <c r="AB638" s="28"/>
      <c r="AC638" s="28"/>
      <c r="AD638" s="28"/>
      <c r="AE638" s="28"/>
      <c r="AF638" s="28"/>
      <c r="AG638" s="28"/>
      <c r="AH638" s="28"/>
      <c r="AI638" s="28"/>
      <c r="AJ638" s="28"/>
      <c r="AK638" s="28"/>
    </row>
    <row r="639" spans="3:37" ht="15.75" x14ac:dyDescent="0.25">
      <c r="C639" s="95"/>
      <c r="D639" s="600"/>
      <c r="E639" s="602"/>
      <c r="F639" s="600"/>
      <c r="G639" s="600"/>
      <c r="H639" s="600"/>
      <c r="I639" s="600"/>
      <c r="J639" s="601"/>
      <c r="K639" s="219"/>
      <c r="L639" s="601"/>
      <c r="M639" s="219"/>
      <c r="N639" s="601"/>
      <c r="O639" s="219"/>
      <c r="P639" s="219"/>
      <c r="Q639" s="219"/>
      <c r="R639" s="219"/>
      <c r="S639" s="219"/>
      <c r="T639" s="219"/>
      <c r="U639" s="219"/>
      <c r="V639" s="219"/>
      <c r="W639" s="600"/>
      <c r="X639" s="600"/>
      <c r="Y639" s="28"/>
      <c r="Z639" s="28"/>
      <c r="AA639" s="28"/>
      <c r="AB639" s="28"/>
      <c r="AC639" s="28"/>
      <c r="AD639" s="28"/>
      <c r="AE639" s="28"/>
      <c r="AF639" s="28"/>
      <c r="AG639" s="28"/>
      <c r="AH639" s="28"/>
      <c r="AI639" s="28"/>
      <c r="AJ639" s="28"/>
      <c r="AK639" s="28"/>
    </row>
    <row r="640" spans="3:37" ht="15.75" x14ac:dyDescent="0.25">
      <c r="C640" s="95"/>
      <c r="D640" s="600"/>
      <c r="E640" s="602"/>
      <c r="F640" s="600"/>
      <c r="G640" s="600"/>
      <c r="H640" s="600"/>
      <c r="I640" s="600"/>
      <c r="J640" s="601"/>
      <c r="K640" s="219"/>
      <c r="L640" s="601"/>
      <c r="M640" s="219"/>
      <c r="N640" s="601"/>
      <c r="O640" s="219"/>
      <c r="P640" s="219"/>
      <c r="Q640" s="219"/>
      <c r="R640" s="219"/>
      <c r="S640" s="219"/>
      <c r="T640" s="219"/>
      <c r="U640" s="219"/>
      <c r="V640" s="219"/>
      <c r="W640" s="600"/>
      <c r="X640" s="600"/>
      <c r="Y640" s="28"/>
      <c r="Z640" s="28"/>
      <c r="AA640" s="28"/>
      <c r="AB640" s="28"/>
      <c r="AC640" s="28"/>
      <c r="AD640" s="28"/>
      <c r="AE640" s="28"/>
      <c r="AF640" s="28"/>
      <c r="AG640" s="28"/>
      <c r="AH640" s="28"/>
      <c r="AI640" s="28"/>
      <c r="AJ640" s="28"/>
      <c r="AK640" s="28"/>
    </row>
    <row r="641" spans="3:37" ht="15.75" x14ac:dyDescent="0.25">
      <c r="C641" s="95"/>
      <c r="D641" s="600"/>
      <c r="E641" s="602"/>
      <c r="F641" s="600"/>
      <c r="G641" s="600"/>
      <c r="H641" s="600"/>
      <c r="I641" s="600"/>
      <c r="J641" s="601"/>
      <c r="K641" s="219"/>
      <c r="L641" s="601"/>
      <c r="M641" s="219"/>
      <c r="N641" s="601"/>
      <c r="O641" s="219"/>
      <c r="P641" s="219"/>
      <c r="Q641" s="219"/>
      <c r="R641" s="219"/>
      <c r="S641" s="219"/>
      <c r="T641" s="219"/>
      <c r="U641" s="219"/>
      <c r="V641" s="219"/>
      <c r="W641" s="600"/>
      <c r="X641" s="600"/>
      <c r="Y641" s="28"/>
      <c r="Z641" s="28"/>
      <c r="AA641" s="28"/>
      <c r="AB641" s="28"/>
      <c r="AC641" s="28"/>
      <c r="AD641" s="28"/>
      <c r="AE641" s="28"/>
      <c r="AF641" s="28"/>
      <c r="AG641" s="28"/>
      <c r="AH641" s="28"/>
      <c r="AI641" s="28"/>
      <c r="AJ641" s="28"/>
      <c r="AK641" s="28"/>
    </row>
    <row r="642" spans="3:37" ht="15.75" x14ac:dyDescent="0.25">
      <c r="C642" s="95"/>
      <c r="D642" s="600"/>
      <c r="E642" s="602"/>
      <c r="F642" s="600"/>
      <c r="G642" s="600"/>
      <c r="H642" s="600"/>
      <c r="I642" s="600"/>
      <c r="J642" s="601"/>
      <c r="K642" s="219"/>
      <c r="L642" s="601"/>
      <c r="M642" s="219"/>
      <c r="N642" s="601"/>
      <c r="O642" s="219"/>
      <c r="P642" s="219"/>
      <c r="Q642" s="219"/>
      <c r="R642" s="219"/>
      <c r="S642" s="219"/>
      <c r="T642" s="219"/>
      <c r="U642" s="219"/>
      <c r="V642" s="219"/>
      <c r="W642" s="600"/>
      <c r="X642" s="600"/>
      <c r="Y642" s="28"/>
      <c r="Z642" s="28"/>
      <c r="AA642" s="28"/>
      <c r="AB642" s="28"/>
      <c r="AC642" s="28"/>
      <c r="AD642" s="28"/>
      <c r="AE642" s="28"/>
      <c r="AF642" s="28"/>
      <c r="AG642" s="28"/>
      <c r="AH642" s="28"/>
      <c r="AI642" s="28"/>
      <c r="AJ642" s="28"/>
      <c r="AK642" s="28"/>
    </row>
    <row r="643" spans="3:37" ht="15.75" x14ac:dyDescent="0.25">
      <c r="C643" s="95"/>
      <c r="D643" s="600"/>
      <c r="E643" s="602"/>
      <c r="F643" s="600"/>
      <c r="G643" s="600"/>
      <c r="H643" s="600"/>
      <c r="I643" s="600"/>
      <c r="J643" s="601"/>
      <c r="K643" s="219"/>
      <c r="L643" s="601"/>
      <c r="M643" s="219"/>
      <c r="N643" s="601"/>
      <c r="O643" s="219"/>
      <c r="P643" s="219"/>
      <c r="Q643" s="219"/>
      <c r="R643" s="219"/>
      <c r="S643" s="219"/>
      <c r="T643" s="219"/>
      <c r="U643" s="219"/>
      <c r="V643" s="219"/>
      <c r="W643" s="600"/>
      <c r="X643" s="600"/>
      <c r="Y643" s="28"/>
      <c r="Z643" s="28"/>
      <c r="AA643" s="28"/>
      <c r="AB643" s="28"/>
      <c r="AC643" s="28"/>
      <c r="AD643" s="28"/>
      <c r="AE643" s="28"/>
      <c r="AF643" s="28"/>
      <c r="AG643" s="28"/>
      <c r="AH643" s="28"/>
      <c r="AI643" s="28"/>
      <c r="AJ643" s="28"/>
      <c r="AK643" s="28"/>
    </row>
    <row r="644" spans="3:37" ht="15.75" x14ac:dyDescent="0.25">
      <c r="C644" s="95"/>
      <c r="D644" s="600"/>
      <c r="E644" s="602"/>
      <c r="F644" s="600"/>
      <c r="G644" s="600"/>
      <c r="H644" s="600"/>
      <c r="I644" s="600"/>
      <c r="J644" s="601"/>
      <c r="K644" s="219"/>
      <c r="L644" s="601"/>
      <c r="M644" s="219"/>
      <c r="N644" s="601"/>
      <c r="O644" s="219"/>
      <c r="P644" s="219"/>
      <c r="Q644" s="219"/>
      <c r="R644" s="219"/>
      <c r="S644" s="219"/>
      <c r="T644" s="219"/>
      <c r="U644" s="219"/>
      <c r="V644" s="219"/>
      <c r="W644" s="600"/>
      <c r="X644" s="600"/>
      <c r="Y644" s="28"/>
      <c r="Z644" s="28"/>
      <c r="AA644" s="28"/>
      <c r="AB644" s="28"/>
      <c r="AC644" s="28"/>
      <c r="AD644" s="28"/>
      <c r="AE644" s="28"/>
      <c r="AF644" s="28"/>
      <c r="AG644" s="28"/>
      <c r="AH644" s="28"/>
      <c r="AI644" s="28"/>
      <c r="AJ644" s="28"/>
      <c r="AK644" s="28"/>
    </row>
    <row r="645" spans="3:37" ht="15.75" x14ac:dyDescent="0.25">
      <c r="C645" s="95"/>
      <c r="D645" s="600"/>
      <c r="E645" s="602"/>
      <c r="F645" s="600"/>
      <c r="G645" s="600"/>
      <c r="H645" s="600"/>
      <c r="I645" s="600"/>
      <c r="J645" s="601"/>
      <c r="K645" s="219"/>
      <c r="L645" s="601"/>
      <c r="M645" s="219"/>
      <c r="N645" s="601"/>
      <c r="O645" s="219"/>
      <c r="P645" s="219"/>
      <c r="Q645" s="219"/>
      <c r="R645" s="219"/>
      <c r="S645" s="219"/>
      <c r="T645" s="219"/>
      <c r="U645" s="219"/>
      <c r="V645" s="219"/>
      <c r="W645" s="600"/>
      <c r="X645" s="600"/>
      <c r="Y645" s="28"/>
      <c r="Z645" s="28"/>
      <c r="AA645" s="28"/>
      <c r="AB645" s="28"/>
      <c r="AC645" s="28"/>
      <c r="AD645" s="28"/>
      <c r="AE645" s="28"/>
      <c r="AF645" s="28"/>
      <c r="AG645" s="28"/>
      <c r="AH645" s="28"/>
      <c r="AI645" s="28"/>
      <c r="AJ645" s="28"/>
      <c r="AK645" s="28"/>
    </row>
    <row r="646" spans="3:37" ht="15.75" x14ac:dyDescent="0.25">
      <c r="C646" s="95"/>
      <c r="D646" s="600"/>
      <c r="E646" s="602"/>
      <c r="F646" s="600"/>
      <c r="G646" s="600"/>
      <c r="H646" s="600"/>
      <c r="I646" s="600"/>
      <c r="J646" s="601"/>
      <c r="K646" s="219"/>
      <c r="L646" s="601"/>
      <c r="M646" s="219"/>
      <c r="N646" s="601"/>
      <c r="O646" s="219"/>
      <c r="P646" s="219"/>
      <c r="Q646" s="219"/>
      <c r="R646" s="219"/>
      <c r="S646" s="219"/>
      <c r="T646" s="219"/>
      <c r="U646" s="219"/>
      <c r="V646" s="219"/>
      <c r="W646" s="600"/>
      <c r="X646" s="600"/>
      <c r="Y646" s="28"/>
      <c r="Z646" s="28"/>
      <c r="AA646" s="28"/>
      <c r="AB646" s="28"/>
      <c r="AC646" s="28"/>
      <c r="AD646" s="28"/>
      <c r="AE646" s="28"/>
      <c r="AF646" s="28"/>
      <c r="AG646" s="28"/>
      <c r="AH646" s="28"/>
      <c r="AI646" s="28"/>
      <c r="AJ646" s="28"/>
      <c r="AK646" s="28"/>
    </row>
    <row r="647" spans="3:37" ht="15.75" x14ac:dyDescent="0.25">
      <c r="C647" s="95"/>
      <c r="D647" s="600"/>
      <c r="E647" s="602"/>
      <c r="F647" s="600"/>
      <c r="G647" s="600"/>
      <c r="H647" s="600"/>
      <c r="I647" s="600"/>
      <c r="J647" s="601"/>
      <c r="K647" s="219"/>
      <c r="L647" s="601"/>
      <c r="M647" s="219"/>
      <c r="N647" s="601"/>
      <c r="O647" s="219"/>
      <c r="P647" s="219"/>
      <c r="Q647" s="219"/>
      <c r="R647" s="219"/>
      <c r="S647" s="219"/>
      <c r="T647" s="219"/>
      <c r="U647" s="219"/>
      <c r="V647" s="219"/>
      <c r="W647" s="600"/>
      <c r="X647" s="600"/>
      <c r="Y647" s="28"/>
      <c r="Z647" s="28"/>
      <c r="AA647" s="28"/>
      <c r="AB647" s="28"/>
      <c r="AC647" s="28"/>
      <c r="AD647" s="28"/>
      <c r="AE647" s="28"/>
      <c r="AF647" s="28"/>
      <c r="AG647" s="28"/>
      <c r="AH647" s="28"/>
      <c r="AI647" s="28"/>
      <c r="AJ647" s="28"/>
      <c r="AK647" s="28"/>
    </row>
    <row r="648" spans="3:37" ht="15.75" x14ac:dyDescent="0.25">
      <c r="C648" s="95"/>
      <c r="D648" s="600"/>
      <c r="E648" s="602"/>
      <c r="F648" s="600"/>
      <c r="G648" s="600"/>
      <c r="H648" s="600"/>
      <c r="I648" s="600"/>
      <c r="J648" s="601"/>
      <c r="K648" s="219"/>
      <c r="L648" s="601"/>
      <c r="M648" s="219"/>
      <c r="N648" s="601"/>
      <c r="O648" s="219"/>
      <c r="P648" s="219"/>
      <c r="Q648" s="219"/>
      <c r="R648" s="219"/>
      <c r="S648" s="219"/>
      <c r="T648" s="219"/>
      <c r="U648" s="219"/>
      <c r="V648" s="219"/>
      <c r="W648" s="600"/>
      <c r="X648" s="600"/>
      <c r="Y648" s="28"/>
      <c r="Z648" s="28"/>
      <c r="AA648" s="28"/>
      <c r="AB648" s="28"/>
      <c r="AC648" s="28"/>
      <c r="AD648" s="28"/>
      <c r="AE648" s="28"/>
      <c r="AF648" s="28"/>
      <c r="AG648" s="28"/>
      <c r="AH648" s="28"/>
      <c r="AI648" s="28"/>
      <c r="AJ648" s="28"/>
      <c r="AK648" s="28"/>
    </row>
    <row r="649" spans="3:37" ht="15.75" x14ac:dyDescent="0.25">
      <c r="C649" s="95"/>
      <c r="D649" s="600"/>
      <c r="E649" s="602"/>
      <c r="F649" s="600"/>
      <c r="G649" s="600"/>
      <c r="H649" s="600"/>
      <c r="I649" s="600"/>
      <c r="J649" s="601"/>
      <c r="K649" s="219"/>
      <c r="L649" s="601"/>
      <c r="M649" s="219"/>
      <c r="N649" s="601"/>
      <c r="O649" s="219"/>
      <c r="P649" s="219"/>
      <c r="Q649" s="219"/>
      <c r="R649" s="219"/>
      <c r="S649" s="219"/>
      <c r="T649" s="219"/>
      <c r="U649" s="219"/>
      <c r="V649" s="219"/>
      <c r="W649" s="600"/>
      <c r="X649" s="600"/>
      <c r="Y649" s="28"/>
      <c r="Z649" s="28"/>
      <c r="AA649" s="28"/>
      <c r="AB649" s="28"/>
      <c r="AC649" s="28"/>
      <c r="AD649" s="28"/>
      <c r="AE649" s="28"/>
      <c r="AF649" s="28"/>
      <c r="AG649" s="28"/>
      <c r="AH649" s="28"/>
      <c r="AI649" s="28"/>
      <c r="AJ649" s="28"/>
      <c r="AK649" s="28"/>
    </row>
    <row r="650" spans="3:37" ht="15.75" x14ac:dyDescent="0.25">
      <c r="C650" s="95"/>
      <c r="D650" s="600"/>
      <c r="E650" s="602"/>
      <c r="F650" s="600"/>
      <c r="G650" s="600"/>
      <c r="H650" s="600"/>
      <c r="I650" s="600"/>
      <c r="J650" s="601"/>
      <c r="K650" s="219"/>
      <c r="L650" s="601"/>
      <c r="M650" s="219"/>
      <c r="N650" s="601"/>
      <c r="O650" s="219"/>
      <c r="P650" s="219"/>
      <c r="Q650" s="219"/>
      <c r="R650" s="219"/>
      <c r="S650" s="219"/>
      <c r="T650" s="219"/>
      <c r="U650" s="219"/>
      <c r="V650" s="219"/>
      <c r="W650" s="600"/>
      <c r="X650" s="600"/>
      <c r="Y650" s="28"/>
      <c r="Z650" s="28"/>
      <c r="AA650" s="28"/>
      <c r="AB650" s="28"/>
      <c r="AC650" s="28"/>
      <c r="AD650" s="28"/>
      <c r="AE650" s="28"/>
      <c r="AF650" s="28"/>
      <c r="AG650" s="28"/>
      <c r="AH650" s="28"/>
      <c r="AI650" s="28"/>
      <c r="AJ650" s="28"/>
      <c r="AK650" s="28"/>
    </row>
    <row r="651" spans="3:37" ht="15.75" x14ac:dyDescent="0.25">
      <c r="C651" s="95"/>
      <c r="D651" s="600"/>
      <c r="E651" s="602"/>
      <c r="F651" s="600"/>
      <c r="G651" s="600"/>
      <c r="H651" s="600"/>
      <c r="I651" s="600"/>
      <c r="J651" s="601"/>
      <c r="K651" s="219"/>
      <c r="L651" s="601"/>
      <c r="M651" s="219"/>
      <c r="N651" s="601"/>
      <c r="O651" s="219"/>
      <c r="P651" s="219"/>
      <c r="Q651" s="219"/>
      <c r="R651" s="219"/>
      <c r="S651" s="219"/>
      <c r="T651" s="219"/>
      <c r="U651" s="219"/>
      <c r="V651" s="219"/>
      <c r="W651" s="600"/>
      <c r="X651" s="600"/>
      <c r="Y651" s="28"/>
      <c r="Z651" s="28"/>
      <c r="AA651" s="28"/>
      <c r="AB651" s="28"/>
      <c r="AC651" s="28"/>
      <c r="AD651" s="28"/>
      <c r="AE651" s="28"/>
      <c r="AF651" s="28"/>
      <c r="AG651" s="28"/>
      <c r="AH651" s="28"/>
      <c r="AI651" s="28"/>
      <c r="AJ651" s="28"/>
      <c r="AK651" s="28"/>
    </row>
    <row r="652" spans="3:37" ht="15.75" x14ac:dyDescent="0.25">
      <c r="C652" s="95"/>
      <c r="D652" s="600"/>
      <c r="E652" s="602"/>
      <c r="F652" s="600"/>
      <c r="G652" s="600"/>
      <c r="H652" s="600"/>
      <c r="I652" s="600"/>
      <c r="J652" s="601"/>
      <c r="K652" s="219"/>
      <c r="L652" s="601"/>
      <c r="M652" s="219"/>
      <c r="N652" s="601"/>
      <c r="O652" s="219"/>
      <c r="P652" s="219"/>
      <c r="Q652" s="219"/>
      <c r="R652" s="219"/>
      <c r="S652" s="219"/>
      <c r="T652" s="219"/>
      <c r="U652" s="219"/>
      <c r="V652" s="219"/>
      <c r="W652" s="600"/>
      <c r="X652" s="600"/>
      <c r="Y652" s="28"/>
      <c r="Z652" s="28"/>
      <c r="AA652" s="28"/>
      <c r="AB652" s="28"/>
      <c r="AC652" s="28"/>
      <c r="AD652" s="28"/>
      <c r="AE652" s="28"/>
      <c r="AF652" s="28"/>
      <c r="AG652" s="28"/>
      <c r="AH652" s="28"/>
      <c r="AI652" s="28"/>
      <c r="AJ652" s="28"/>
      <c r="AK652" s="28"/>
    </row>
    <row r="653" spans="3:37" ht="15.75" x14ac:dyDescent="0.25">
      <c r="C653" s="95"/>
      <c r="D653" s="600"/>
      <c r="E653" s="602"/>
      <c r="F653" s="600"/>
      <c r="G653" s="600"/>
      <c r="H653" s="600"/>
      <c r="I653" s="600"/>
      <c r="J653" s="601"/>
      <c r="K653" s="219"/>
      <c r="L653" s="601"/>
      <c r="M653" s="219"/>
      <c r="N653" s="601"/>
      <c r="O653" s="219"/>
      <c r="P653" s="219"/>
      <c r="Q653" s="219"/>
      <c r="R653" s="219"/>
      <c r="S653" s="219"/>
      <c r="T653" s="219"/>
      <c r="U653" s="219"/>
      <c r="V653" s="219"/>
      <c r="W653" s="600"/>
      <c r="X653" s="600"/>
      <c r="Y653" s="28"/>
      <c r="Z653" s="28"/>
      <c r="AA653" s="28"/>
      <c r="AB653" s="28"/>
      <c r="AC653" s="28"/>
      <c r="AD653" s="28"/>
      <c r="AE653" s="28"/>
      <c r="AF653" s="28"/>
      <c r="AG653" s="28"/>
      <c r="AH653" s="28"/>
      <c r="AI653" s="28"/>
      <c r="AJ653" s="28"/>
      <c r="AK653" s="28"/>
    </row>
    <row r="654" spans="3:37" ht="15.75" x14ac:dyDescent="0.25">
      <c r="C654" s="95"/>
      <c r="D654" s="600"/>
      <c r="E654" s="602"/>
      <c r="F654" s="600"/>
      <c r="G654" s="600"/>
      <c r="H654" s="600"/>
      <c r="I654" s="600"/>
      <c r="J654" s="601"/>
      <c r="K654" s="219"/>
      <c r="L654" s="601"/>
      <c r="M654" s="219"/>
      <c r="N654" s="601"/>
      <c r="O654" s="219"/>
      <c r="P654" s="219"/>
      <c r="Q654" s="219"/>
      <c r="R654" s="219"/>
      <c r="S654" s="219"/>
      <c r="T654" s="219"/>
      <c r="U654" s="219"/>
      <c r="V654" s="219"/>
      <c r="W654" s="600"/>
      <c r="X654" s="600"/>
      <c r="Y654" s="28"/>
      <c r="Z654" s="28"/>
      <c r="AA654" s="28"/>
      <c r="AB654" s="28"/>
      <c r="AC654" s="28"/>
      <c r="AD654" s="28"/>
      <c r="AE654" s="28"/>
      <c r="AF654" s="28"/>
      <c r="AG654" s="28"/>
      <c r="AH654" s="28"/>
      <c r="AI654" s="28"/>
      <c r="AJ654" s="28"/>
      <c r="AK654" s="28"/>
    </row>
    <row r="655" spans="3:37" ht="15.75" x14ac:dyDescent="0.25">
      <c r="C655" s="95"/>
      <c r="D655" s="600"/>
      <c r="E655" s="602"/>
      <c r="F655" s="600"/>
      <c r="G655" s="600"/>
      <c r="H655" s="600"/>
      <c r="I655" s="600"/>
      <c r="J655" s="601"/>
      <c r="K655" s="219"/>
      <c r="L655" s="601"/>
      <c r="M655" s="219"/>
      <c r="N655" s="601"/>
      <c r="O655" s="219"/>
      <c r="P655" s="219"/>
      <c r="Q655" s="219"/>
      <c r="R655" s="219"/>
      <c r="S655" s="219"/>
      <c r="T655" s="219"/>
      <c r="U655" s="219"/>
      <c r="V655" s="219"/>
      <c r="W655" s="600"/>
      <c r="X655" s="600"/>
      <c r="Y655" s="28"/>
      <c r="Z655" s="28"/>
      <c r="AA655" s="28"/>
      <c r="AB655" s="28"/>
      <c r="AC655" s="28"/>
      <c r="AD655" s="28"/>
      <c r="AE655" s="28"/>
      <c r="AF655" s="28"/>
      <c r="AG655" s="28"/>
      <c r="AH655" s="28"/>
      <c r="AI655" s="28"/>
      <c r="AJ655" s="28"/>
      <c r="AK655" s="28"/>
    </row>
    <row r="656" spans="3:37" ht="15.75" x14ac:dyDescent="0.25">
      <c r="C656" s="95"/>
      <c r="D656" s="600"/>
      <c r="E656" s="602"/>
      <c r="F656" s="600"/>
      <c r="G656" s="600"/>
      <c r="H656" s="600"/>
      <c r="I656" s="600"/>
      <c r="J656" s="601"/>
      <c r="K656" s="219"/>
      <c r="L656" s="601"/>
      <c r="M656" s="219"/>
      <c r="N656" s="601"/>
      <c r="O656" s="219"/>
      <c r="P656" s="219"/>
      <c r="Q656" s="219"/>
      <c r="R656" s="219"/>
      <c r="S656" s="219"/>
      <c r="T656" s="219"/>
      <c r="U656" s="219"/>
      <c r="V656" s="219"/>
      <c r="W656" s="600"/>
      <c r="X656" s="600"/>
      <c r="Y656" s="28"/>
      <c r="Z656" s="28"/>
      <c r="AA656" s="28"/>
      <c r="AB656" s="28"/>
      <c r="AC656" s="28"/>
      <c r="AD656" s="28"/>
      <c r="AE656" s="28"/>
      <c r="AF656" s="28"/>
      <c r="AG656" s="28"/>
      <c r="AH656" s="28"/>
      <c r="AI656" s="28"/>
      <c r="AJ656" s="28"/>
      <c r="AK656" s="28"/>
    </row>
    <row r="657" spans="3:37" ht="15.75" x14ac:dyDescent="0.25">
      <c r="C657" s="95"/>
      <c r="D657" s="600"/>
      <c r="E657" s="602"/>
      <c r="F657" s="600"/>
      <c r="G657" s="600"/>
      <c r="H657" s="600"/>
      <c r="I657" s="600"/>
      <c r="J657" s="601"/>
      <c r="K657" s="219"/>
      <c r="L657" s="601"/>
      <c r="M657" s="219"/>
      <c r="N657" s="601"/>
      <c r="O657" s="219"/>
      <c r="P657" s="219"/>
      <c r="Q657" s="219"/>
      <c r="R657" s="219"/>
      <c r="S657" s="219"/>
      <c r="T657" s="219"/>
      <c r="U657" s="219"/>
      <c r="V657" s="219"/>
      <c r="W657" s="600"/>
      <c r="X657" s="600"/>
      <c r="Y657" s="28"/>
      <c r="Z657" s="28"/>
      <c r="AA657" s="28"/>
      <c r="AB657" s="28"/>
      <c r="AC657" s="28"/>
      <c r="AD657" s="28"/>
      <c r="AE657" s="28"/>
      <c r="AF657" s="28"/>
      <c r="AG657" s="28"/>
      <c r="AH657" s="28"/>
      <c r="AI657" s="28"/>
      <c r="AJ657" s="28"/>
      <c r="AK657" s="28"/>
    </row>
    <row r="658" spans="3:37" ht="15.75" x14ac:dyDescent="0.25">
      <c r="C658" s="95"/>
      <c r="D658" s="600"/>
      <c r="E658" s="602"/>
      <c r="F658" s="600"/>
      <c r="G658" s="600"/>
      <c r="H658" s="600"/>
      <c r="I658" s="600"/>
      <c r="J658" s="601"/>
      <c r="K658" s="219"/>
      <c r="L658" s="601"/>
      <c r="M658" s="219"/>
      <c r="N658" s="601"/>
      <c r="O658" s="219"/>
      <c r="P658" s="219"/>
      <c r="Q658" s="219"/>
      <c r="R658" s="219"/>
      <c r="S658" s="219"/>
      <c r="T658" s="219"/>
      <c r="U658" s="219"/>
      <c r="V658" s="219"/>
      <c r="W658" s="600"/>
      <c r="X658" s="600"/>
      <c r="Y658" s="28"/>
      <c r="Z658" s="28"/>
      <c r="AA658" s="28"/>
      <c r="AB658" s="28"/>
      <c r="AC658" s="28"/>
      <c r="AD658" s="28"/>
      <c r="AE658" s="28"/>
      <c r="AF658" s="28"/>
      <c r="AG658" s="28"/>
      <c r="AH658" s="28"/>
      <c r="AI658" s="28"/>
      <c r="AJ658" s="28"/>
      <c r="AK658" s="28"/>
    </row>
    <row r="659" spans="3:37" ht="15.75" x14ac:dyDescent="0.25">
      <c r="C659" s="95"/>
      <c r="D659" s="600"/>
      <c r="E659" s="602"/>
      <c r="F659" s="600"/>
      <c r="G659" s="600"/>
      <c r="H659" s="600"/>
      <c r="I659" s="600"/>
      <c r="J659" s="601"/>
      <c r="K659" s="219"/>
      <c r="L659" s="601"/>
      <c r="M659" s="219"/>
      <c r="N659" s="601"/>
      <c r="O659" s="219"/>
      <c r="P659" s="219"/>
      <c r="Q659" s="219"/>
      <c r="R659" s="219"/>
      <c r="S659" s="219"/>
      <c r="T659" s="219"/>
      <c r="U659" s="219"/>
      <c r="V659" s="219"/>
      <c r="W659" s="600"/>
      <c r="X659" s="600"/>
      <c r="Y659" s="28"/>
      <c r="Z659" s="28"/>
      <c r="AA659" s="28"/>
      <c r="AB659" s="28"/>
      <c r="AC659" s="28"/>
      <c r="AD659" s="28"/>
      <c r="AE659" s="28"/>
      <c r="AF659" s="28"/>
      <c r="AG659" s="28"/>
      <c r="AH659" s="28"/>
      <c r="AI659" s="28"/>
      <c r="AJ659" s="28"/>
      <c r="AK659" s="28"/>
    </row>
    <row r="660" spans="3:37" ht="15.75" x14ac:dyDescent="0.25">
      <c r="C660" s="95"/>
      <c r="D660" s="600"/>
      <c r="E660" s="602"/>
      <c r="F660" s="600"/>
      <c r="G660" s="600"/>
      <c r="H660" s="600"/>
      <c r="I660" s="600"/>
      <c r="J660" s="601"/>
      <c r="K660" s="219"/>
      <c r="L660" s="601"/>
      <c r="M660" s="219"/>
      <c r="N660" s="601"/>
      <c r="O660" s="219"/>
      <c r="P660" s="219"/>
      <c r="Q660" s="219"/>
      <c r="R660" s="219"/>
      <c r="S660" s="219"/>
      <c r="T660" s="219"/>
      <c r="U660" s="219"/>
      <c r="V660" s="219"/>
      <c r="W660" s="600"/>
      <c r="X660" s="600"/>
      <c r="Y660" s="28"/>
      <c r="Z660" s="28"/>
      <c r="AA660" s="28"/>
      <c r="AB660" s="28"/>
      <c r="AC660" s="28"/>
      <c r="AD660" s="28"/>
      <c r="AE660" s="28"/>
      <c r="AF660" s="28"/>
      <c r="AG660" s="28"/>
      <c r="AH660" s="28"/>
      <c r="AI660" s="28"/>
      <c r="AJ660" s="28"/>
      <c r="AK660" s="28"/>
    </row>
    <row r="661" spans="3:37" ht="15.75" x14ac:dyDescent="0.25">
      <c r="C661" s="95"/>
      <c r="D661" s="600"/>
      <c r="E661" s="602"/>
      <c r="F661" s="600"/>
      <c r="G661" s="600"/>
      <c r="H661" s="600"/>
      <c r="I661" s="600"/>
      <c r="J661" s="601"/>
      <c r="K661" s="219"/>
      <c r="L661" s="601"/>
      <c r="M661" s="219"/>
      <c r="N661" s="601"/>
      <c r="O661" s="219"/>
      <c r="P661" s="219"/>
      <c r="Q661" s="219"/>
      <c r="R661" s="219"/>
      <c r="S661" s="219"/>
      <c r="T661" s="219"/>
      <c r="U661" s="219"/>
      <c r="V661" s="219"/>
      <c r="W661" s="600"/>
      <c r="X661" s="600"/>
      <c r="Y661" s="28"/>
      <c r="Z661" s="28"/>
      <c r="AA661" s="28"/>
      <c r="AB661" s="28"/>
      <c r="AC661" s="28"/>
      <c r="AD661" s="28"/>
      <c r="AE661" s="28"/>
      <c r="AF661" s="28"/>
      <c r="AG661" s="28"/>
      <c r="AH661" s="28"/>
      <c r="AI661" s="28"/>
      <c r="AJ661" s="28"/>
      <c r="AK661" s="28"/>
    </row>
    <row r="662" spans="3:37" ht="15.75" x14ac:dyDescent="0.25">
      <c r="C662" s="95"/>
      <c r="D662" s="600"/>
      <c r="E662" s="602"/>
      <c r="F662" s="600"/>
      <c r="G662" s="600"/>
      <c r="H662" s="600"/>
      <c r="I662" s="600"/>
      <c r="J662" s="601"/>
      <c r="K662" s="219"/>
      <c r="L662" s="601"/>
      <c r="M662" s="219"/>
      <c r="N662" s="601"/>
      <c r="O662" s="219"/>
      <c r="P662" s="219"/>
      <c r="Q662" s="219"/>
      <c r="R662" s="219"/>
      <c r="S662" s="219"/>
      <c r="T662" s="219"/>
      <c r="U662" s="219"/>
      <c r="V662" s="219"/>
      <c r="W662" s="600"/>
      <c r="X662" s="600"/>
      <c r="Y662" s="28"/>
      <c r="Z662" s="28"/>
      <c r="AA662" s="28"/>
      <c r="AB662" s="28"/>
      <c r="AC662" s="28"/>
      <c r="AD662" s="28"/>
      <c r="AE662" s="28"/>
      <c r="AF662" s="28"/>
      <c r="AG662" s="28"/>
      <c r="AH662" s="28"/>
      <c r="AI662" s="28"/>
      <c r="AJ662" s="28"/>
      <c r="AK662" s="28"/>
    </row>
    <row r="663" spans="3:37" ht="15.75" x14ac:dyDescent="0.25">
      <c r="C663" s="95"/>
      <c r="D663" s="600"/>
      <c r="E663" s="602"/>
      <c r="F663" s="600"/>
      <c r="G663" s="600"/>
      <c r="H663" s="600"/>
      <c r="I663" s="600"/>
      <c r="J663" s="601"/>
      <c r="K663" s="219"/>
      <c r="L663" s="601"/>
      <c r="M663" s="219"/>
      <c r="N663" s="601"/>
      <c r="O663" s="219"/>
      <c r="P663" s="219"/>
      <c r="Q663" s="219"/>
      <c r="R663" s="219"/>
      <c r="S663" s="219"/>
      <c r="T663" s="219"/>
      <c r="U663" s="219"/>
      <c r="V663" s="219"/>
      <c r="W663" s="600"/>
      <c r="X663" s="600"/>
      <c r="Y663" s="28"/>
      <c r="Z663" s="28"/>
      <c r="AA663" s="28"/>
      <c r="AB663" s="28"/>
      <c r="AC663" s="28"/>
      <c r="AD663" s="28"/>
      <c r="AE663" s="28"/>
      <c r="AF663" s="28"/>
      <c r="AG663" s="28"/>
      <c r="AH663" s="28"/>
      <c r="AI663" s="28"/>
      <c r="AJ663" s="28"/>
      <c r="AK663" s="28"/>
    </row>
    <row r="664" spans="3:37" ht="15.75" x14ac:dyDescent="0.25">
      <c r="C664" s="95"/>
      <c r="D664" s="600"/>
      <c r="E664" s="602"/>
      <c r="F664" s="600"/>
      <c r="G664" s="600"/>
      <c r="H664" s="600"/>
      <c r="I664" s="600"/>
      <c r="J664" s="601"/>
      <c r="K664" s="219"/>
      <c r="L664" s="601"/>
      <c r="M664" s="219"/>
      <c r="N664" s="601"/>
      <c r="O664" s="219"/>
      <c r="P664" s="219"/>
      <c r="Q664" s="219"/>
      <c r="R664" s="219"/>
      <c r="S664" s="219"/>
      <c r="T664" s="219"/>
      <c r="U664" s="219"/>
      <c r="V664" s="219"/>
      <c r="W664" s="600"/>
      <c r="X664" s="600"/>
      <c r="Y664" s="28"/>
      <c r="Z664" s="28"/>
      <c r="AA664" s="28"/>
      <c r="AB664" s="28"/>
      <c r="AC664" s="28"/>
      <c r="AD664" s="28"/>
      <c r="AE664" s="28"/>
      <c r="AF664" s="28"/>
      <c r="AG664" s="28"/>
      <c r="AH664" s="28"/>
      <c r="AI664" s="28"/>
      <c r="AJ664" s="28"/>
      <c r="AK664" s="28"/>
    </row>
    <row r="665" spans="3:37" ht="15.75" x14ac:dyDescent="0.25">
      <c r="C665" s="95"/>
      <c r="D665" s="600"/>
      <c r="E665" s="602"/>
      <c r="F665" s="600"/>
      <c r="G665" s="600"/>
      <c r="H665" s="600"/>
      <c r="I665" s="600"/>
      <c r="J665" s="601"/>
      <c r="K665" s="219"/>
      <c r="L665" s="601"/>
      <c r="M665" s="219"/>
      <c r="N665" s="601"/>
      <c r="O665" s="219"/>
      <c r="P665" s="219"/>
      <c r="Q665" s="219"/>
      <c r="R665" s="219"/>
      <c r="S665" s="219"/>
      <c r="T665" s="219"/>
      <c r="U665" s="219"/>
      <c r="V665" s="219"/>
      <c r="W665" s="600"/>
      <c r="X665" s="600"/>
      <c r="Y665" s="28"/>
      <c r="Z665" s="28"/>
      <c r="AA665" s="28"/>
      <c r="AB665" s="28"/>
      <c r="AC665" s="28"/>
      <c r="AD665" s="28"/>
      <c r="AE665" s="28"/>
      <c r="AF665" s="28"/>
      <c r="AG665" s="28"/>
      <c r="AH665" s="28"/>
      <c r="AI665" s="28"/>
      <c r="AJ665" s="28"/>
      <c r="AK665" s="28"/>
    </row>
    <row r="666" spans="3:37" ht="15.75" x14ac:dyDescent="0.25">
      <c r="C666" s="95"/>
      <c r="D666" s="600"/>
      <c r="E666" s="602"/>
      <c r="F666" s="600"/>
      <c r="G666" s="600"/>
      <c r="H666" s="600"/>
      <c r="I666" s="600"/>
      <c r="J666" s="601"/>
      <c r="K666" s="219"/>
      <c r="L666" s="601"/>
      <c r="M666" s="219"/>
      <c r="N666" s="601"/>
      <c r="O666" s="219"/>
      <c r="P666" s="219"/>
      <c r="Q666" s="219"/>
      <c r="R666" s="219"/>
      <c r="S666" s="219"/>
      <c r="T666" s="219"/>
      <c r="U666" s="219"/>
      <c r="V666" s="219"/>
      <c r="W666" s="600"/>
      <c r="X666" s="600"/>
      <c r="Y666" s="28"/>
      <c r="Z666" s="28"/>
      <c r="AA666" s="28"/>
      <c r="AB666" s="28"/>
      <c r="AC666" s="28"/>
      <c r="AD666" s="28"/>
      <c r="AE666" s="28"/>
      <c r="AF666" s="28"/>
      <c r="AG666" s="28"/>
      <c r="AH666" s="28"/>
      <c r="AI666" s="28"/>
      <c r="AJ666" s="28"/>
      <c r="AK666" s="28"/>
    </row>
    <row r="667" spans="3:37" ht="15.75" x14ac:dyDescent="0.25">
      <c r="C667" s="95"/>
      <c r="D667" s="600"/>
      <c r="E667" s="602"/>
      <c r="F667" s="600"/>
      <c r="G667" s="600"/>
      <c r="H667" s="600"/>
      <c r="I667" s="600"/>
      <c r="J667" s="601"/>
      <c r="K667" s="219"/>
      <c r="L667" s="601"/>
      <c r="M667" s="219"/>
      <c r="N667" s="601"/>
      <c r="O667" s="219"/>
      <c r="P667" s="219"/>
      <c r="Q667" s="219"/>
      <c r="R667" s="219"/>
      <c r="S667" s="219"/>
      <c r="T667" s="219"/>
      <c r="U667" s="219"/>
      <c r="V667" s="219"/>
      <c r="W667" s="600"/>
      <c r="X667" s="600"/>
      <c r="Y667" s="28"/>
      <c r="Z667" s="28"/>
      <c r="AA667" s="28"/>
      <c r="AB667" s="28"/>
      <c r="AC667" s="28"/>
      <c r="AD667" s="28"/>
      <c r="AE667" s="28"/>
      <c r="AF667" s="28"/>
      <c r="AG667" s="28"/>
      <c r="AH667" s="28"/>
      <c r="AI667" s="28"/>
      <c r="AJ667" s="28"/>
      <c r="AK667" s="28"/>
    </row>
    <row r="668" spans="3:37" ht="15.75" x14ac:dyDescent="0.25">
      <c r="C668" s="95"/>
      <c r="D668" s="600"/>
      <c r="E668" s="602"/>
      <c r="F668" s="600"/>
      <c r="G668" s="600"/>
      <c r="H668" s="600"/>
      <c r="I668" s="600"/>
      <c r="J668" s="601"/>
      <c r="K668" s="219"/>
      <c r="L668" s="601"/>
      <c r="M668" s="219"/>
      <c r="N668" s="601"/>
      <c r="O668" s="219"/>
      <c r="P668" s="219"/>
      <c r="Q668" s="219"/>
      <c r="R668" s="219"/>
      <c r="S668" s="219"/>
      <c r="T668" s="219"/>
      <c r="U668" s="219"/>
      <c r="V668" s="219"/>
      <c r="W668" s="600"/>
      <c r="X668" s="600"/>
      <c r="Y668" s="28"/>
      <c r="Z668" s="28"/>
      <c r="AA668" s="28"/>
      <c r="AB668" s="28"/>
      <c r="AC668" s="28"/>
      <c r="AD668" s="28"/>
      <c r="AE668" s="28"/>
      <c r="AF668" s="28"/>
      <c r="AG668" s="28"/>
      <c r="AH668" s="28"/>
      <c r="AI668" s="28"/>
      <c r="AJ668" s="28"/>
      <c r="AK668" s="28"/>
    </row>
    <row r="669" spans="3:37" ht="15.75" x14ac:dyDescent="0.25">
      <c r="C669" s="95"/>
      <c r="D669" s="600"/>
      <c r="E669" s="602"/>
      <c r="F669" s="600"/>
      <c r="G669" s="600"/>
      <c r="H669" s="600"/>
      <c r="I669" s="600"/>
      <c r="J669" s="601"/>
      <c r="K669" s="219"/>
      <c r="L669" s="601"/>
      <c r="M669" s="219"/>
      <c r="N669" s="601"/>
      <c r="O669" s="219"/>
      <c r="P669" s="219"/>
      <c r="Q669" s="219"/>
      <c r="R669" s="219"/>
      <c r="S669" s="219"/>
      <c r="T669" s="219"/>
      <c r="U669" s="219"/>
      <c r="V669" s="219"/>
      <c r="W669" s="600"/>
      <c r="X669" s="600"/>
      <c r="Y669" s="28"/>
      <c r="Z669" s="28"/>
      <c r="AA669" s="28"/>
      <c r="AB669" s="28"/>
      <c r="AC669" s="28"/>
      <c r="AD669" s="28"/>
      <c r="AE669" s="28"/>
      <c r="AF669" s="28"/>
      <c r="AG669" s="28"/>
      <c r="AH669" s="28"/>
      <c r="AI669" s="28"/>
      <c r="AJ669" s="28"/>
      <c r="AK669" s="28"/>
    </row>
    <row r="670" spans="3:37" ht="15.75" x14ac:dyDescent="0.25">
      <c r="C670" s="95"/>
      <c r="D670" s="600"/>
      <c r="E670" s="602"/>
      <c r="F670" s="600"/>
      <c r="G670" s="600"/>
      <c r="H670" s="600"/>
      <c r="I670" s="600"/>
      <c r="J670" s="601"/>
      <c r="K670" s="219"/>
      <c r="L670" s="601"/>
      <c r="M670" s="219"/>
      <c r="N670" s="601"/>
      <c r="O670" s="219"/>
      <c r="P670" s="219"/>
      <c r="Q670" s="219"/>
      <c r="R670" s="219"/>
      <c r="S670" s="219"/>
      <c r="T670" s="219"/>
      <c r="U670" s="219"/>
      <c r="V670" s="219"/>
      <c r="W670" s="600"/>
      <c r="X670" s="600"/>
      <c r="Y670" s="28"/>
      <c r="Z670" s="28"/>
      <c r="AA670" s="28"/>
      <c r="AB670" s="28"/>
      <c r="AC670" s="28"/>
      <c r="AD670" s="28"/>
      <c r="AE670" s="28"/>
      <c r="AF670" s="28"/>
      <c r="AG670" s="28"/>
      <c r="AH670" s="28"/>
      <c r="AI670" s="28"/>
      <c r="AJ670" s="28"/>
      <c r="AK670" s="28"/>
    </row>
    <row r="671" spans="3:37" ht="15.75" x14ac:dyDescent="0.25">
      <c r="C671" s="95"/>
      <c r="D671" s="600"/>
      <c r="E671" s="602"/>
      <c r="F671" s="600"/>
      <c r="G671" s="600"/>
      <c r="H671" s="600"/>
      <c r="I671" s="600"/>
      <c r="J671" s="601"/>
      <c r="K671" s="219"/>
      <c r="L671" s="601"/>
      <c r="M671" s="219"/>
      <c r="N671" s="601"/>
      <c r="O671" s="219"/>
      <c r="P671" s="219"/>
      <c r="Q671" s="219"/>
      <c r="R671" s="219"/>
      <c r="S671" s="219"/>
      <c r="T671" s="219"/>
      <c r="U671" s="219"/>
      <c r="V671" s="219"/>
      <c r="W671" s="600"/>
      <c r="X671" s="600"/>
      <c r="Y671" s="28"/>
      <c r="Z671" s="28"/>
      <c r="AA671" s="28"/>
      <c r="AB671" s="28"/>
      <c r="AC671" s="28"/>
      <c r="AD671" s="28"/>
      <c r="AE671" s="28"/>
      <c r="AF671" s="28"/>
      <c r="AG671" s="28"/>
      <c r="AH671" s="28"/>
      <c r="AI671" s="28"/>
      <c r="AJ671" s="28"/>
      <c r="AK671" s="28"/>
    </row>
    <row r="672" spans="3:37" ht="15.75" x14ac:dyDescent="0.25">
      <c r="C672" s="95"/>
      <c r="D672" s="600"/>
      <c r="E672" s="602"/>
      <c r="F672" s="600"/>
      <c r="G672" s="600"/>
      <c r="H672" s="600"/>
      <c r="I672" s="600"/>
      <c r="J672" s="601"/>
      <c r="K672" s="219"/>
      <c r="L672" s="601"/>
      <c r="M672" s="219"/>
      <c r="N672" s="601"/>
      <c r="O672" s="219"/>
      <c r="P672" s="219"/>
      <c r="Q672" s="219"/>
      <c r="R672" s="219"/>
      <c r="S672" s="219"/>
      <c r="T672" s="219"/>
      <c r="U672" s="219"/>
      <c r="V672" s="219"/>
      <c r="W672" s="600"/>
      <c r="X672" s="600"/>
      <c r="Y672" s="28"/>
      <c r="Z672" s="28"/>
      <c r="AA672" s="28"/>
      <c r="AB672" s="28"/>
      <c r="AC672" s="28"/>
      <c r="AD672" s="28"/>
      <c r="AE672" s="28"/>
      <c r="AF672" s="28"/>
      <c r="AG672" s="28"/>
      <c r="AH672" s="28"/>
      <c r="AI672" s="28"/>
      <c r="AJ672" s="28"/>
      <c r="AK672" s="28"/>
    </row>
    <row r="673" spans="3:37" ht="15.75" x14ac:dyDescent="0.25">
      <c r="C673" s="95"/>
      <c r="D673" s="600"/>
      <c r="E673" s="602"/>
      <c r="F673" s="600"/>
      <c r="G673" s="600"/>
      <c r="H673" s="600"/>
      <c r="I673" s="600"/>
      <c r="J673" s="601"/>
      <c r="K673" s="219"/>
      <c r="L673" s="601"/>
      <c r="M673" s="219"/>
      <c r="N673" s="601"/>
      <c r="O673" s="219"/>
      <c r="P673" s="219"/>
      <c r="Q673" s="219"/>
      <c r="R673" s="219"/>
      <c r="S673" s="219"/>
      <c r="T673" s="219"/>
      <c r="U673" s="219"/>
      <c r="V673" s="219"/>
      <c r="W673" s="600"/>
      <c r="X673" s="600"/>
      <c r="Y673" s="28"/>
      <c r="Z673" s="28"/>
      <c r="AA673" s="28"/>
      <c r="AB673" s="28"/>
      <c r="AC673" s="28"/>
      <c r="AD673" s="28"/>
      <c r="AE673" s="28"/>
      <c r="AF673" s="28"/>
      <c r="AG673" s="28"/>
      <c r="AH673" s="28"/>
      <c r="AI673" s="28"/>
      <c r="AJ673" s="28"/>
      <c r="AK673" s="28"/>
    </row>
    <row r="674" spans="3:37" ht="15.75" x14ac:dyDescent="0.25">
      <c r="C674" s="95"/>
      <c r="D674" s="600"/>
      <c r="E674" s="602"/>
      <c r="F674" s="600"/>
      <c r="G674" s="600"/>
      <c r="H674" s="600"/>
      <c r="I674" s="600"/>
      <c r="J674" s="601"/>
      <c r="K674" s="219"/>
      <c r="L674" s="601"/>
      <c r="M674" s="219"/>
      <c r="N674" s="601"/>
      <c r="O674" s="219"/>
      <c r="P674" s="219"/>
      <c r="Q674" s="219"/>
      <c r="R674" s="219"/>
      <c r="S674" s="219"/>
      <c r="T674" s="219"/>
      <c r="U674" s="219"/>
      <c r="V674" s="219"/>
      <c r="W674" s="600"/>
      <c r="X674" s="600"/>
      <c r="Y674" s="28"/>
      <c r="Z674" s="28"/>
      <c r="AA674" s="28"/>
      <c r="AB674" s="28"/>
      <c r="AC674" s="28"/>
      <c r="AD674" s="28"/>
      <c r="AE674" s="28"/>
      <c r="AF674" s="28"/>
      <c r="AG674" s="28"/>
      <c r="AH674" s="28"/>
      <c r="AI674" s="28"/>
      <c r="AJ674" s="28"/>
      <c r="AK674" s="28"/>
    </row>
    <row r="675" spans="3:37" ht="15.75" x14ac:dyDescent="0.25">
      <c r="C675" s="95"/>
      <c r="D675" s="600"/>
      <c r="E675" s="602"/>
      <c r="F675" s="600"/>
      <c r="G675" s="600"/>
      <c r="H675" s="600"/>
      <c r="I675" s="600"/>
      <c r="J675" s="601"/>
      <c r="K675" s="219"/>
      <c r="L675" s="601"/>
      <c r="M675" s="219"/>
      <c r="N675" s="601"/>
      <c r="O675" s="219"/>
      <c r="P675" s="219"/>
      <c r="Q675" s="219"/>
      <c r="R675" s="219"/>
      <c r="S675" s="219"/>
      <c r="T675" s="219"/>
      <c r="U675" s="219"/>
      <c r="V675" s="219"/>
      <c r="W675" s="600"/>
      <c r="X675" s="600"/>
      <c r="Y675" s="28"/>
      <c r="Z675" s="28"/>
      <c r="AA675" s="28"/>
      <c r="AB675" s="28"/>
      <c r="AC675" s="28"/>
      <c r="AD675" s="28"/>
      <c r="AE675" s="28"/>
      <c r="AF675" s="28"/>
      <c r="AG675" s="28"/>
      <c r="AH675" s="28"/>
      <c r="AI675" s="28"/>
      <c r="AJ675" s="28"/>
      <c r="AK675" s="28"/>
    </row>
    <row r="676" spans="3:37" ht="15.75" x14ac:dyDescent="0.25">
      <c r="C676" s="95"/>
      <c r="D676" s="600"/>
      <c r="E676" s="602"/>
      <c r="F676" s="600"/>
      <c r="G676" s="600"/>
      <c r="H676" s="600"/>
      <c r="I676" s="600"/>
      <c r="J676" s="601"/>
      <c r="K676" s="219"/>
      <c r="L676" s="601"/>
      <c r="M676" s="219"/>
      <c r="N676" s="601"/>
      <c r="O676" s="219"/>
      <c r="P676" s="219"/>
      <c r="Q676" s="219"/>
      <c r="R676" s="219"/>
      <c r="S676" s="219"/>
      <c r="T676" s="219"/>
      <c r="U676" s="219"/>
      <c r="V676" s="219"/>
      <c r="W676" s="600"/>
      <c r="X676" s="600"/>
      <c r="Y676" s="28"/>
      <c r="Z676" s="28"/>
      <c r="AA676" s="28"/>
      <c r="AB676" s="28"/>
      <c r="AC676" s="28"/>
      <c r="AD676" s="28"/>
      <c r="AE676" s="28"/>
      <c r="AF676" s="28"/>
      <c r="AG676" s="28"/>
      <c r="AH676" s="28"/>
      <c r="AI676" s="28"/>
      <c r="AJ676" s="28"/>
      <c r="AK676" s="28"/>
    </row>
    <row r="677" spans="3:37" ht="15.75" x14ac:dyDescent="0.25">
      <c r="C677" s="95"/>
      <c r="D677" s="600"/>
      <c r="E677" s="602"/>
      <c r="F677" s="600"/>
      <c r="G677" s="600"/>
      <c r="H677" s="600"/>
      <c r="I677" s="600"/>
      <c r="J677" s="601"/>
      <c r="K677" s="219"/>
      <c r="L677" s="601"/>
      <c r="M677" s="219"/>
      <c r="N677" s="601"/>
      <c r="O677" s="219"/>
      <c r="P677" s="219"/>
      <c r="Q677" s="219"/>
      <c r="R677" s="219"/>
      <c r="S677" s="219"/>
      <c r="T677" s="219"/>
      <c r="U677" s="219"/>
      <c r="V677" s="219"/>
      <c r="W677" s="600"/>
      <c r="X677" s="600"/>
      <c r="Y677" s="28"/>
      <c r="Z677" s="28"/>
      <c r="AA677" s="28"/>
      <c r="AB677" s="28"/>
      <c r="AC677" s="28"/>
      <c r="AD677" s="28"/>
      <c r="AE677" s="28"/>
      <c r="AF677" s="28"/>
      <c r="AG677" s="28"/>
      <c r="AH677" s="28"/>
      <c r="AI677" s="28"/>
      <c r="AJ677" s="28"/>
      <c r="AK677" s="28"/>
    </row>
    <row r="678" spans="3:37" ht="15.75" x14ac:dyDescent="0.25">
      <c r="C678" s="95"/>
      <c r="D678" s="600"/>
      <c r="E678" s="602"/>
      <c r="F678" s="600"/>
      <c r="G678" s="600"/>
      <c r="H678" s="600"/>
      <c r="I678" s="600"/>
      <c r="J678" s="601"/>
      <c r="K678" s="219"/>
      <c r="L678" s="601"/>
      <c r="M678" s="219"/>
      <c r="N678" s="601"/>
      <c r="O678" s="219"/>
      <c r="P678" s="219"/>
      <c r="Q678" s="219"/>
      <c r="R678" s="219"/>
      <c r="S678" s="219"/>
      <c r="T678" s="219"/>
      <c r="U678" s="219"/>
      <c r="V678" s="219"/>
      <c r="W678" s="600"/>
      <c r="X678" s="600"/>
      <c r="Y678" s="28"/>
      <c r="Z678" s="28"/>
      <c r="AA678" s="28"/>
      <c r="AB678" s="28"/>
      <c r="AC678" s="28"/>
      <c r="AD678" s="28"/>
      <c r="AE678" s="28"/>
      <c r="AF678" s="28"/>
      <c r="AG678" s="28"/>
      <c r="AH678" s="28"/>
      <c r="AI678" s="28"/>
      <c r="AJ678" s="28"/>
      <c r="AK678" s="28"/>
    </row>
    <row r="679" spans="3:37" ht="15.75" x14ac:dyDescent="0.25">
      <c r="C679" s="95"/>
      <c r="D679" s="600"/>
      <c r="E679" s="602"/>
      <c r="F679" s="600"/>
      <c r="G679" s="600"/>
      <c r="H679" s="600"/>
      <c r="I679" s="600"/>
      <c r="J679" s="601"/>
      <c r="K679" s="219"/>
      <c r="L679" s="601"/>
      <c r="M679" s="219"/>
      <c r="N679" s="601"/>
      <c r="O679" s="219"/>
      <c r="P679" s="219"/>
      <c r="Q679" s="219"/>
      <c r="R679" s="219"/>
      <c r="S679" s="219"/>
      <c r="T679" s="219"/>
      <c r="U679" s="219"/>
      <c r="V679" s="219"/>
      <c r="W679" s="600"/>
      <c r="X679" s="600"/>
      <c r="Y679" s="28"/>
      <c r="Z679" s="28"/>
      <c r="AA679" s="28"/>
      <c r="AB679" s="28"/>
      <c r="AC679" s="28"/>
      <c r="AD679" s="28"/>
      <c r="AE679" s="28"/>
      <c r="AF679" s="28"/>
      <c r="AG679" s="28"/>
      <c r="AH679" s="28"/>
      <c r="AI679" s="28"/>
      <c r="AJ679" s="28"/>
      <c r="AK679" s="28"/>
    </row>
    <row r="680" spans="3:37" ht="15.75" x14ac:dyDescent="0.25">
      <c r="C680" s="95"/>
      <c r="D680" s="600"/>
      <c r="E680" s="602"/>
      <c r="F680" s="600"/>
      <c r="G680" s="600"/>
      <c r="H680" s="600"/>
      <c r="I680" s="600"/>
      <c r="J680" s="601"/>
      <c r="K680" s="219"/>
      <c r="L680" s="601"/>
      <c r="M680" s="219"/>
      <c r="N680" s="601"/>
      <c r="O680" s="219"/>
      <c r="P680" s="219"/>
      <c r="Q680" s="219"/>
      <c r="R680" s="219"/>
      <c r="S680" s="219"/>
      <c r="T680" s="219"/>
      <c r="U680" s="219"/>
      <c r="V680" s="219"/>
      <c r="W680" s="600"/>
      <c r="X680" s="600"/>
      <c r="Y680" s="28"/>
      <c r="Z680" s="28"/>
      <c r="AA680" s="28"/>
      <c r="AB680" s="28"/>
      <c r="AC680" s="28"/>
      <c r="AD680" s="28"/>
      <c r="AE680" s="28"/>
      <c r="AF680" s="28"/>
      <c r="AG680" s="28"/>
      <c r="AH680" s="28"/>
      <c r="AI680" s="28"/>
      <c r="AJ680" s="28"/>
      <c r="AK680" s="28"/>
    </row>
    <row r="681" spans="3:37" ht="15.75" x14ac:dyDescent="0.25">
      <c r="C681" s="95"/>
      <c r="D681" s="600"/>
      <c r="E681" s="602"/>
      <c r="F681" s="600"/>
      <c r="G681" s="600"/>
      <c r="H681" s="600"/>
      <c r="I681" s="600"/>
      <c r="J681" s="601"/>
      <c r="K681" s="219"/>
      <c r="L681" s="601"/>
      <c r="M681" s="219"/>
      <c r="N681" s="601"/>
      <c r="O681" s="219"/>
      <c r="P681" s="219"/>
      <c r="Q681" s="219"/>
      <c r="R681" s="219"/>
      <c r="S681" s="219"/>
      <c r="T681" s="219"/>
      <c r="U681" s="219"/>
      <c r="V681" s="219"/>
      <c r="W681" s="600"/>
      <c r="X681" s="600"/>
      <c r="Y681" s="28"/>
      <c r="Z681" s="28"/>
      <c r="AA681" s="28"/>
      <c r="AB681" s="28"/>
      <c r="AC681" s="28"/>
      <c r="AD681" s="28"/>
      <c r="AE681" s="28"/>
      <c r="AF681" s="28"/>
      <c r="AG681" s="28"/>
      <c r="AH681" s="28"/>
      <c r="AI681" s="28"/>
      <c r="AJ681" s="28"/>
      <c r="AK681" s="28"/>
    </row>
    <row r="682" spans="3:37" ht="15.75" x14ac:dyDescent="0.25">
      <c r="C682" s="95"/>
      <c r="D682" s="600"/>
      <c r="E682" s="602"/>
      <c r="F682" s="600"/>
      <c r="G682" s="600"/>
      <c r="H682" s="600"/>
      <c r="I682" s="600"/>
      <c r="J682" s="601"/>
      <c r="K682" s="219"/>
      <c r="L682" s="601"/>
      <c r="M682" s="219"/>
      <c r="N682" s="601"/>
      <c r="O682" s="219"/>
      <c r="P682" s="219"/>
      <c r="Q682" s="219"/>
      <c r="R682" s="219"/>
      <c r="S682" s="219"/>
      <c r="T682" s="219"/>
      <c r="U682" s="219"/>
      <c r="V682" s="219"/>
      <c r="W682" s="600"/>
      <c r="X682" s="600"/>
      <c r="Y682" s="28"/>
      <c r="Z682" s="28"/>
      <c r="AA682" s="28"/>
      <c r="AB682" s="28"/>
      <c r="AC682" s="28"/>
      <c r="AD682" s="28"/>
      <c r="AE682" s="28"/>
      <c r="AF682" s="28"/>
      <c r="AG682" s="28"/>
      <c r="AH682" s="28"/>
      <c r="AI682" s="28"/>
      <c r="AJ682" s="28"/>
      <c r="AK682" s="28"/>
    </row>
    <row r="683" spans="3:37" ht="15.75" x14ac:dyDescent="0.25">
      <c r="C683" s="95"/>
      <c r="D683" s="600"/>
      <c r="E683" s="602"/>
      <c r="F683" s="600"/>
      <c r="G683" s="600"/>
      <c r="H683" s="600"/>
      <c r="I683" s="600"/>
      <c r="J683" s="601"/>
      <c r="K683" s="219"/>
      <c r="L683" s="601"/>
      <c r="M683" s="219"/>
      <c r="N683" s="601"/>
      <c r="O683" s="219"/>
      <c r="P683" s="219"/>
      <c r="Q683" s="219"/>
      <c r="R683" s="219"/>
      <c r="S683" s="219"/>
      <c r="T683" s="219"/>
      <c r="U683" s="219"/>
      <c r="V683" s="219"/>
      <c r="W683" s="600"/>
      <c r="X683" s="600"/>
      <c r="Y683" s="28"/>
      <c r="Z683" s="28"/>
      <c r="AA683" s="28"/>
      <c r="AB683" s="28"/>
      <c r="AC683" s="28"/>
      <c r="AD683" s="28"/>
      <c r="AE683" s="28"/>
      <c r="AF683" s="28"/>
      <c r="AG683" s="28"/>
      <c r="AH683" s="28"/>
      <c r="AI683" s="28"/>
      <c r="AJ683" s="28"/>
      <c r="AK683" s="28"/>
    </row>
    <row r="684" spans="3:37" ht="15.75" x14ac:dyDescent="0.25">
      <c r="C684" s="95"/>
      <c r="D684" s="600"/>
      <c r="E684" s="602"/>
      <c r="F684" s="600"/>
      <c r="G684" s="600"/>
      <c r="H684" s="600"/>
      <c r="I684" s="600"/>
      <c r="J684" s="601"/>
      <c r="K684" s="219"/>
      <c r="L684" s="601"/>
      <c r="M684" s="219"/>
      <c r="N684" s="601"/>
      <c r="O684" s="219"/>
      <c r="P684" s="219"/>
      <c r="Q684" s="219"/>
      <c r="R684" s="219"/>
      <c r="S684" s="219"/>
      <c r="T684" s="219"/>
      <c r="U684" s="219"/>
      <c r="V684" s="219"/>
      <c r="W684" s="600"/>
      <c r="X684" s="600"/>
      <c r="Y684" s="28"/>
      <c r="Z684" s="28"/>
      <c r="AA684" s="28"/>
      <c r="AB684" s="28"/>
      <c r="AC684" s="28"/>
      <c r="AD684" s="28"/>
      <c r="AE684" s="28"/>
      <c r="AF684" s="28"/>
      <c r="AG684" s="28"/>
      <c r="AH684" s="28"/>
      <c r="AI684" s="28"/>
      <c r="AJ684" s="28"/>
      <c r="AK684" s="28"/>
    </row>
    <row r="685" spans="3:37" ht="15.75" x14ac:dyDescent="0.25">
      <c r="C685" s="95"/>
      <c r="D685" s="600"/>
      <c r="E685" s="602"/>
      <c r="F685" s="600"/>
      <c r="G685" s="600"/>
      <c r="H685" s="600"/>
      <c r="I685" s="600"/>
      <c r="J685" s="601"/>
      <c r="K685" s="219"/>
      <c r="L685" s="601"/>
      <c r="M685" s="219"/>
      <c r="N685" s="601"/>
      <c r="O685" s="219"/>
      <c r="P685" s="219"/>
      <c r="Q685" s="219"/>
      <c r="R685" s="219"/>
      <c r="S685" s="219"/>
      <c r="T685" s="219"/>
      <c r="U685" s="219"/>
      <c r="V685" s="219"/>
      <c r="W685" s="600"/>
      <c r="X685" s="600"/>
      <c r="Y685" s="28"/>
      <c r="Z685" s="28"/>
      <c r="AA685" s="28"/>
      <c r="AB685" s="28"/>
      <c r="AC685" s="28"/>
      <c r="AD685" s="28"/>
      <c r="AE685" s="28"/>
      <c r="AF685" s="28"/>
      <c r="AG685" s="28"/>
      <c r="AH685" s="28"/>
      <c r="AI685" s="28"/>
      <c r="AJ685" s="28"/>
      <c r="AK685" s="28"/>
    </row>
    <row r="686" spans="3:37" ht="15.75" x14ac:dyDescent="0.25">
      <c r="C686" s="95"/>
      <c r="D686" s="600"/>
      <c r="E686" s="602"/>
      <c r="F686" s="600"/>
      <c r="G686" s="600"/>
      <c r="H686" s="600"/>
      <c r="I686" s="600"/>
      <c r="J686" s="601"/>
      <c r="K686" s="219"/>
      <c r="L686" s="601"/>
      <c r="M686" s="219"/>
      <c r="N686" s="601"/>
      <c r="O686" s="219"/>
      <c r="P686" s="219"/>
      <c r="Q686" s="219"/>
      <c r="R686" s="219"/>
      <c r="S686" s="219"/>
      <c r="T686" s="219"/>
      <c r="U686" s="219"/>
      <c r="V686" s="219"/>
      <c r="W686" s="600"/>
      <c r="X686" s="600"/>
      <c r="Y686" s="28"/>
      <c r="Z686" s="28"/>
      <c r="AA686" s="28"/>
      <c r="AB686" s="28"/>
      <c r="AC686" s="28"/>
      <c r="AD686" s="28"/>
      <c r="AE686" s="28"/>
      <c r="AF686" s="28"/>
      <c r="AG686" s="28"/>
      <c r="AH686" s="28"/>
      <c r="AI686" s="28"/>
      <c r="AJ686" s="28"/>
      <c r="AK686" s="28"/>
    </row>
    <row r="687" spans="3:37" ht="15.75" x14ac:dyDescent="0.25">
      <c r="C687" s="95"/>
      <c r="D687" s="600"/>
      <c r="E687" s="602"/>
      <c r="F687" s="600"/>
      <c r="G687" s="600"/>
      <c r="H687" s="600"/>
      <c r="I687" s="600"/>
      <c r="J687" s="601"/>
      <c r="K687" s="219"/>
      <c r="L687" s="601"/>
      <c r="M687" s="219"/>
      <c r="N687" s="601"/>
      <c r="O687" s="219"/>
      <c r="P687" s="219"/>
      <c r="Q687" s="219"/>
      <c r="R687" s="219"/>
      <c r="S687" s="219"/>
      <c r="T687" s="219"/>
      <c r="U687" s="219"/>
      <c r="V687" s="219"/>
      <c r="W687" s="600"/>
      <c r="X687" s="600"/>
      <c r="Y687" s="28"/>
      <c r="Z687" s="28"/>
      <c r="AA687" s="28"/>
      <c r="AB687" s="28"/>
      <c r="AC687" s="28"/>
      <c r="AD687" s="28"/>
      <c r="AE687" s="28"/>
      <c r="AF687" s="28"/>
      <c r="AG687" s="28"/>
      <c r="AH687" s="28"/>
      <c r="AI687" s="28"/>
      <c r="AJ687" s="28"/>
      <c r="AK687" s="28"/>
    </row>
    <row r="688" spans="3:37" ht="15.75" x14ac:dyDescent="0.25">
      <c r="C688" s="95"/>
      <c r="D688" s="600"/>
      <c r="E688" s="602"/>
      <c r="F688" s="600"/>
      <c r="G688" s="600"/>
      <c r="H688" s="600"/>
      <c r="I688" s="600"/>
      <c r="J688" s="601"/>
      <c r="K688" s="219"/>
      <c r="L688" s="601"/>
      <c r="M688" s="219"/>
      <c r="N688" s="601"/>
      <c r="O688" s="219"/>
      <c r="P688" s="219"/>
      <c r="Q688" s="219"/>
      <c r="R688" s="219"/>
      <c r="S688" s="219"/>
      <c r="T688" s="219"/>
      <c r="U688" s="219"/>
      <c r="V688" s="219"/>
      <c r="W688" s="600"/>
      <c r="X688" s="600"/>
      <c r="Y688" s="28"/>
      <c r="Z688" s="28"/>
      <c r="AA688" s="28"/>
      <c r="AB688" s="28"/>
      <c r="AC688" s="28"/>
      <c r="AD688" s="28"/>
      <c r="AE688" s="28"/>
      <c r="AF688" s="28"/>
      <c r="AG688" s="28"/>
      <c r="AH688" s="28"/>
      <c r="AI688" s="28"/>
      <c r="AJ688" s="28"/>
      <c r="AK688" s="28"/>
    </row>
    <row r="689" spans="3:37" ht="15.75" x14ac:dyDescent="0.25">
      <c r="C689" s="95"/>
      <c r="D689" s="600"/>
      <c r="E689" s="602"/>
      <c r="F689" s="600"/>
      <c r="G689" s="600"/>
      <c r="H689" s="600"/>
      <c r="I689" s="600"/>
      <c r="J689" s="601"/>
      <c r="K689" s="219"/>
      <c r="L689" s="601"/>
      <c r="M689" s="219"/>
      <c r="N689" s="601"/>
      <c r="O689" s="219"/>
      <c r="P689" s="219"/>
      <c r="Q689" s="219"/>
      <c r="R689" s="219"/>
      <c r="S689" s="219"/>
      <c r="T689" s="219"/>
      <c r="U689" s="219"/>
      <c r="V689" s="219"/>
      <c r="W689" s="600"/>
      <c r="X689" s="600"/>
      <c r="Y689" s="28"/>
      <c r="Z689" s="28"/>
      <c r="AA689" s="28"/>
      <c r="AB689" s="28"/>
      <c r="AC689" s="28"/>
      <c r="AD689" s="28"/>
      <c r="AE689" s="28"/>
      <c r="AF689" s="28"/>
      <c r="AG689" s="28"/>
      <c r="AH689" s="28"/>
      <c r="AI689" s="28"/>
      <c r="AJ689" s="28"/>
      <c r="AK689" s="28"/>
    </row>
    <row r="690" spans="3:37" ht="15.75" x14ac:dyDescent="0.25">
      <c r="C690" s="95"/>
      <c r="D690" s="600"/>
      <c r="E690" s="602"/>
      <c r="F690" s="600"/>
      <c r="G690" s="600"/>
      <c r="H690" s="600"/>
      <c r="I690" s="600"/>
      <c r="J690" s="601"/>
      <c r="K690" s="219"/>
      <c r="L690" s="601"/>
      <c r="M690" s="219"/>
      <c r="N690" s="601"/>
      <c r="O690" s="219"/>
      <c r="P690" s="219"/>
      <c r="Q690" s="219"/>
      <c r="R690" s="219"/>
      <c r="S690" s="219"/>
      <c r="T690" s="219"/>
      <c r="U690" s="219"/>
      <c r="V690" s="219"/>
      <c r="W690" s="600"/>
      <c r="X690" s="600"/>
      <c r="Y690" s="28"/>
      <c r="Z690" s="28"/>
      <c r="AA690" s="28"/>
      <c r="AB690" s="28"/>
      <c r="AC690" s="28"/>
      <c r="AD690" s="28"/>
      <c r="AE690" s="28"/>
      <c r="AF690" s="28"/>
      <c r="AG690" s="28"/>
      <c r="AH690" s="28"/>
      <c r="AI690" s="28"/>
      <c r="AJ690" s="28"/>
      <c r="AK690" s="28"/>
    </row>
    <row r="691" spans="3:37" ht="15.75" x14ac:dyDescent="0.25">
      <c r="C691" s="95"/>
      <c r="D691" s="600"/>
      <c r="E691" s="602"/>
      <c r="F691" s="600"/>
      <c r="G691" s="600"/>
      <c r="H691" s="600"/>
      <c r="I691" s="600"/>
      <c r="J691" s="601"/>
      <c r="K691" s="219"/>
      <c r="L691" s="601"/>
      <c r="M691" s="219"/>
      <c r="N691" s="601"/>
      <c r="O691" s="219"/>
      <c r="P691" s="219"/>
      <c r="Q691" s="219"/>
      <c r="R691" s="219"/>
      <c r="S691" s="219"/>
      <c r="T691" s="219"/>
      <c r="U691" s="219"/>
      <c r="V691" s="219"/>
      <c r="W691" s="600"/>
      <c r="X691" s="600"/>
      <c r="Y691" s="28"/>
      <c r="Z691" s="28"/>
      <c r="AA691" s="28"/>
      <c r="AB691" s="28"/>
      <c r="AC691" s="28"/>
      <c r="AD691" s="28"/>
      <c r="AE691" s="28"/>
      <c r="AF691" s="28"/>
      <c r="AG691" s="28"/>
      <c r="AH691" s="28"/>
      <c r="AI691" s="28"/>
      <c r="AJ691" s="28"/>
      <c r="AK691" s="28"/>
    </row>
    <row r="692" spans="3:37" ht="15.75" x14ac:dyDescent="0.25">
      <c r="C692" s="95"/>
      <c r="D692" s="600"/>
      <c r="E692" s="602"/>
      <c r="F692" s="600"/>
      <c r="G692" s="600"/>
      <c r="H692" s="600"/>
      <c r="I692" s="600"/>
      <c r="J692" s="601"/>
      <c r="K692" s="219"/>
      <c r="L692" s="601"/>
      <c r="M692" s="219"/>
      <c r="N692" s="601"/>
      <c r="O692" s="219"/>
      <c r="P692" s="219"/>
      <c r="Q692" s="219"/>
      <c r="R692" s="219"/>
      <c r="S692" s="219"/>
      <c r="T692" s="219"/>
      <c r="U692" s="219"/>
      <c r="V692" s="219"/>
      <c r="W692" s="600"/>
      <c r="X692" s="600"/>
      <c r="Y692" s="28"/>
      <c r="Z692" s="28"/>
      <c r="AA692" s="28"/>
      <c r="AB692" s="28"/>
      <c r="AC692" s="28"/>
      <c r="AD692" s="28"/>
      <c r="AE692" s="28"/>
      <c r="AF692" s="28"/>
      <c r="AG692" s="28"/>
      <c r="AH692" s="28"/>
      <c r="AI692" s="28"/>
      <c r="AJ692" s="28"/>
      <c r="AK692" s="28"/>
    </row>
    <row r="693" spans="3:37" ht="15.75" x14ac:dyDescent="0.25">
      <c r="C693" s="95"/>
      <c r="D693" s="600"/>
      <c r="E693" s="602"/>
      <c r="F693" s="600"/>
      <c r="G693" s="600"/>
      <c r="H693" s="600"/>
      <c r="I693" s="600"/>
      <c r="J693" s="601"/>
      <c r="K693" s="219"/>
      <c r="L693" s="601"/>
      <c r="M693" s="219"/>
      <c r="N693" s="601"/>
      <c r="O693" s="219"/>
      <c r="P693" s="219"/>
      <c r="Q693" s="219"/>
      <c r="R693" s="219"/>
      <c r="S693" s="219"/>
      <c r="T693" s="219"/>
      <c r="U693" s="219"/>
      <c r="V693" s="219"/>
      <c r="W693" s="600"/>
      <c r="X693" s="600"/>
      <c r="Y693" s="28"/>
      <c r="Z693" s="28"/>
      <c r="AA693" s="28"/>
      <c r="AB693" s="28"/>
      <c r="AC693" s="28"/>
      <c r="AD693" s="28"/>
      <c r="AE693" s="28"/>
      <c r="AF693" s="28"/>
      <c r="AG693" s="28"/>
      <c r="AH693" s="28"/>
      <c r="AI693" s="28"/>
      <c r="AJ693" s="28"/>
      <c r="AK693" s="28"/>
    </row>
    <row r="694" spans="3:37" ht="15.75" x14ac:dyDescent="0.25">
      <c r="C694" s="95"/>
      <c r="D694" s="600"/>
      <c r="E694" s="602"/>
      <c r="F694" s="600"/>
      <c r="G694" s="600"/>
      <c r="H694" s="600"/>
      <c r="I694" s="600"/>
      <c r="J694" s="601"/>
      <c r="K694" s="219"/>
      <c r="L694" s="601"/>
      <c r="M694" s="219"/>
      <c r="N694" s="601"/>
      <c r="O694" s="219"/>
      <c r="P694" s="219"/>
      <c r="Q694" s="219"/>
      <c r="R694" s="219"/>
      <c r="S694" s="219"/>
      <c r="T694" s="219"/>
      <c r="U694" s="219"/>
      <c r="V694" s="219"/>
      <c r="W694" s="600"/>
      <c r="X694" s="600"/>
      <c r="Y694" s="28"/>
      <c r="Z694" s="28"/>
      <c r="AA694" s="28"/>
      <c r="AB694" s="28"/>
      <c r="AC694" s="28"/>
      <c r="AD694" s="28"/>
      <c r="AE694" s="28"/>
      <c r="AF694" s="28"/>
      <c r="AG694" s="28"/>
      <c r="AH694" s="28"/>
      <c r="AI694" s="28"/>
      <c r="AJ694" s="28"/>
      <c r="AK694" s="28"/>
    </row>
    <row r="695" spans="3:37" ht="15.75" x14ac:dyDescent="0.25">
      <c r="C695" s="95"/>
      <c r="D695" s="600"/>
      <c r="E695" s="602"/>
      <c r="F695" s="600"/>
      <c r="G695" s="600"/>
      <c r="H695" s="600"/>
      <c r="I695" s="600"/>
      <c r="J695" s="601"/>
      <c r="K695" s="219"/>
      <c r="L695" s="601"/>
      <c r="M695" s="219"/>
      <c r="N695" s="601"/>
      <c r="O695" s="219"/>
      <c r="P695" s="219"/>
      <c r="Q695" s="219"/>
      <c r="R695" s="219"/>
      <c r="S695" s="219"/>
      <c r="T695" s="219"/>
      <c r="U695" s="219"/>
      <c r="V695" s="219"/>
      <c r="W695" s="600"/>
      <c r="X695" s="600"/>
      <c r="Y695" s="28"/>
      <c r="Z695" s="28"/>
      <c r="AA695" s="28"/>
      <c r="AB695" s="28"/>
      <c r="AC695" s="28"/>
      <c r="AD695" s="28"/>
      <c r="AE695" s="28"/>
      <c r="AF695" s="28"/>
      <c r="AG695" s="28"/>
      <c r="AH695" s="28"/>
      <c r="AI695" s="28"/>
      <c r="AJ695" s="28"/>
      <c r="AK695" s="28"/>
    </row>
    <row r="696" spans="3:37" ht="15.75" x14ac:dyDescent="0.25">
      <c r="C696" s="95"/>
      <c r="D696" s="600"/>
      <c r="E696" s="602"/>
      <c r="F696" s="600"/>
      <c r="G696" s="600"/>
      <c r="H696" s="600"/>
      <c r="I696" s="600"/>
      <c r="J696" s="601"/>
      <c r="K696" s="219"/>
      <c r="L696" s="601"/>
      <c r="M696" s="219"/>
      <c r="N696" s="601"/>
      <c r="O696" s="219"/>
      <c r="P696" s="219"/>
      <c r="Q696" s="219"/>
      <c r="R696" s="219"/>
      <c r="S696" s="219"/>
      <c r="T696" s="219"/>
      <c r="U696" s="219"/>
      <c r="V696" s="219"/>
      <c r="W696" s="600"/>
      <c r="X696" s="600"/>
      <c r="Y696" s="28"/>
      <c r="Z696" s="28"/>
      <c r="AA696" s="28"/>
      <c r="AB696" s="28"/>
      <c r="AC696" s="28"/>
      <c r="AD696" s="28"/>
      <c r="AE696" s="28"/>
      <c r="AF696" s="28"/>
      <c r="AG696" s="28"/>
      <c r="AH696" s="28"/>
      <c r="AI696" s="28"/>
      <c r="AJ696" s="28"/>
      <c r="AK696" s="28"/>
    </row>
    <row r="697" spans="3:37" ht="15.75" x14ac:dyDescent="0.25">
      <c r="C697" s="95"/>
      <c r="D697" s="600"/>
      <c r="E697" s="602"/>
      <c r="F697" s="600"/>
      <c r="G697" s="600"/>
      <c r="H697" s="600"/>
      <c r="I697" s="600"/>
      <c r="J697" s="601"/>
      <c r="K697" s="219"/>
      <c r="L697" s="601"/>
      <c r="M697" s="219"/>
      <c r="N697" s="601"/>
      <c r="O697" s="219"/>
      <c r="P697" s="219"/>
      <c r="Q697" s="219"/>
      <c r="R697" s="219"/>
      <c r="S697" s="219"/>
      <c r="T697" s="219"/>
      <c r="U697" s="219"/>
      <c r="V697" s="219"/>
      <c r="W697" s="600"/>
      <c r="X697" s="600"/>
      <c r="Y697" s="28"/>
      <c r="Z697" s="28"/>
      <c r="AA697" s="28"/>
      <c r="AB697" s="28"/>
      <c r="AC697" s="28"/>
      <c r="AD697" s="28"/>
      <c r="AE697" s="28"/>
      <c r="AF697" s="28"/>
      <c r="AG697" s="28"/>
      <c r="AH697" s="28"/>
      <c r="AI697" s="28"/>
      <c r="AJ697" s="28"/>
      <c r="AK697" s="28"/>
    </row>
    <row r="698" spans="3:37" ht="15.75" x14ac:dyDescent="0.25">
      <c r="C698" s="95"/>
      <c r="D698" s="600"/>
      <c r="E698" s="602"/>
      <c r="F698" s="600"/>
      <c r="G698" s="600"/>
      <c r="H698" s="600"/>
      <c r="I698" s="600"/>
      <c r="J698" s="601"/>
      <c r="K698" s="219"/>
      <c r="L698" s="601"/>
      <c r="M698" s="219"/>
      <c r="N698" s="601"/>
      <c r="O698" s="219"/>
      <c r="P698" s="219"/>
      <c r="Q698" s="219"/>
      <c r="R698" s="219"/>
      <c r="S698" s="219"/>
      <c r="T698" s="219"/>
      <c r="U698" s="219"/>
      <c r="V698" s="219"/>
      <c r="W698" s="600"/>
      <c r="X698" s="600"/>
      <c r="Y698" s="28"/>
      <c r="Z698" s="28"/>
      <c r="AA698" s="28"/>
      <c r="AB698" s="28"/>
      <c r="AC698" s="28"/>
      <c r="AD698" s="28"/>
      <c r="AE698" s="28"/>
      <c r="AF698" s="28"/>
      <c r="AG698" s="28"/>
      <c r="AH698" s="28"/>
      <c r="AI698" s="28"/>
      <c r="AJ698" s="28"/>
      <c r="AK698" s="28"/>
    </row>
    <row r="699" spans="3:37" ht="15.75" x14ac:dyDescent="0.25">
      <c r="C699" s="95"/>
      <c r="D699" s="600"/>
      <c r="E699" s="602"/>
      <c r="F699" s="600"/>
      <c r="G699" s="600"/>
      <c r="H699" s="600"/>
      <c r="I699" s="600"/>
      <c r="J699" s="601"/>
      <c r="K699" s="219"/>
      <c r="L699" s="601"/>
      <c r="M699" s="219"/>
      <c r="N699" s="601"/>
      <c r="O699" s="219"/>
      <c r="P699" s="219"/>
      <c r="Q699" s="219"/>
      <c r="R699" s="219"/>
      <c r="S699" s="219"/>
      <c r="T699" s="219"/>
      <c r="U699" s="219"/>
      <c r="V699" s="219"/>
      <c r="W699" s="600"/>
      <c r="X699" s="600"/>
      <c r="Y699" s="28"/>
      <c r="Z699" s="28"/>
      <c r="AA699" s="28"/>
      <c r="AB699" s="28"/>
      <c r="AC699" s="28"/>
      <c r="AD699" s="28"/>
      <c r="AE699" s="28"/>
      <c r="AF699" s="28"/>
      <c r="AG699" s="28"/>
      <c r="AH699" s="28"/>
      <c r="AI699" s="28"/>
      <c r="AJ699" s="28"/>
      <c r="AK699" s="28"/>
    </row>
    <row r="700" spans="3:37" ht="15.75" x14ac:dyDescent="0.25">
      <c r="C700" s="95"/>
      <c r="D700" s="600"/>
      <c r="E700" s="602"/>
      <c r="F700" s="600"/>
      <c r="G700" s="600"/>
      <c r="H700" s="600"/>
      <c r="I700" s="600"/>
      <c r="J700" s="601"/>
      <c r="K700" s="219"/>
      <c r="L700" s="601"/>
      <c r="M700" s="219"/>
      <c r="N700" s="601"/>
      <c r="O700" s="219"/>
      <c r="P700" s="219"/>
      <c r="Q700" s="219"/>
      <c r="R700" s="219"/>
      <c r="S700" s="219"/>
      <c r="T700" s="219"/>
      <c r="U700" s="219"/>
      <c r="V700" s="219"/>
      <c r="W700" s="600"/>
      <c r="X700" s="600"/>
      <c r="Y700" s="28"/>
      <c r="Z700" s="28"/>
      <c r="AA700" s="28"/>
      <c r="AB700" s="28"/>
      <c r="AC700" s="28"/>
      <c r="AD700" s="28"/>
      <c r="AE700" s="28"/>
      <c r="AF700" s="28"/>
      <c r="AG700" s="28"/>
      <c r="AH700" s="28"/>
      <c r="AI700" s="28"/>
      <c r="AJ700" s="28"/>
      <c r="AK700" s="28"/>
    </row>
    <row r="701" spans="3:37" ht="15.75" x14ac:dyDescent="0.25">
      <c r="C701" s="95"/>
      <c r="D701" s="600"/>
      <c r="E701" s="602"/>
      <c r="F701" s="600"/>
      <c r="G701" s="600"/>
      <c r="H701" s="600"/>
      <c r="I701" s="600"/>
      <c r="J701" s="601"/>
      <c r="K701" s="219"/>
      <c r="L701" s="601"/>
      <c r="M701" s="219"/>
      <c r="N701" s="601"/>
      <c r="O701" s="219"/>
      <c r="P701" s="219"/>
      <c r="Q701" s="219"/>
      <c r="R701" s="219"/>
      <c r="S701" s="219"/>
      <c r="T701" s="219"/>
      <c r="U701" s="219"/>
      <c r="V701" s="219"/>
      <c r="W701" s="600"/>
      <c r="X701" s="600"/>
      <c r="Y701" s="28"/>
      <c r="Z701" s="28"/>
      <c r="AA701" s="28"/>
      <c r="AB701" s="28"/>
      <c r="AC701" s="28"/>
      <c r="AD701" s="28"/>
      <c r="AE701" s="28"/>
      <c r="AF701" s="28"/>
      <c r="AG701" s="28"/>
      <c r="AH701" s="28"/>
      <c r="AI701" s="28"/>
      <c r="AJ701" s="28"/>
      <c r="AK701" s="28"/>
    </row>
    <row r="702" spans="3:37" ht="15.75" x14ac:dyDescent="0.25">
      <c r="C702" s="95"/>
      <c r="D702" s="600"/>
      <c r="E702" s="602"/>
      <c r="F702" s="600"/>
      <c r="G702" s="600"/>
      <c r="H702" s="600"/>
      <c r="I702" s="600"/>
      <c r="J702" s="601"/>
      <c r="K702" s="219"/>
      <c r="L702" s="601"/>
      <c r="M702" s="219"/>
      <c r="N702" s="601"/>
      <c r="O702" s="219"/>
      <c r="P702" s="219"/>
      <c r="Q702" s="219"/>
      <c r="R702" s="219"/>
      <c r="S702" s="219"/>
      <c r="T702" s="219"/>
      <c r="U702" s="219"/>
      <c r="V702" s="219"/>
      <c r="W702" s="600"/>
      <c r="X702" s="600"/>
      <c r="Y702" s="28"/>
      <c r="Z702" s="28"/>
      <c r="AA702" s="28"/>
      <c r="AB702" s="28"/>
      <c r="AC702" s="28"/>
      <c r="AD702" s="28"/>
      <c r="AE702" s="28"/>
      <c r="AF702" s="28"/>
      <c r="AG702" s="28"/>
      <c r="AH702" s="28"/>
      <c r="AI702" s="28"/>
      <c r="AJ702" s="28"/>
      <c r="AK702" s="28"/>
    </row>
    <row r="703" spans="3:37" ht="15.75" x14ac:dyDescent="0.25">
      <c r="C703" s="95"/>
      <c r="D703" s="600"/>
      <c r="E703" s="602"/>
      <c r="F703" s="600"/>
      <c r="G703" s="600"/>
      <c r="H703" s="600"/>
      <c r="I703" s="600"/>
      <c r="J703" s="601"/>
      <c r="K703" s="219"/>
      <c r="L703" s="601"/>
      <c r="M703" s="219"/>
      <c r="N703" s="601"/>
      <c r="O703" s="219"/>
      <c r="P703" s="219"/>
      <c r="Q703" s="219"/>
      <c r="R703" s="219"/>
      <c r="S703" s="219"/>
      <c r="T703" s="219"/>
      <c r="U703" s="219"/>
      <c r="V703" s="219"/>
      <c r="W703" s="600"/>
      <c r="X703" s="600"/>
      <c r="Y703" s="28"/>
      <c r="Z703" s="28"/>
      <c r="AA703" s="28"/>
      <c r="AB703" s="28"/>
      <c r="AC703" s="28"/>
      <c r="AD703" s="28"/>
      <c r="AE703" s="28"/>
      <c r="AF703" s="28"/>
      <c r="AG703" s="28"/>
      <c r="AH703" s="28"/>
      <c r="AI703" s="28"/>
      <c r="AJ703" s="28"/>
      <c r="AK703" s="28"/>
    </row>
    <row r="704" spans="3:37" ht="15.75" x14ac:dyDescent="0.25">
      <c r="C704" s="95"/>
      <c r="D704" s="600"/>
      <c r="E704" s="602"/>
      <c r="F704" s="600"/>
      <c r="G704" s="600"/>
      <c r="H704" s="600"/>
      <c r="I704" s="600"/>
      <c r="J704" s="601"/>
      <c r="K704" s="219"/>
      <c r="L704" s="601"/>
      <c r="M704" s="219"/>
      <c r="N704" s="601"/>
      <c r="O704" s="219"/>
      <c r="P704" s="219"/>
      <c r="Q704" s="219"/>
      <c r="R704" s="219"/>
      <c r="S704" s="219"/>
      <c r="T704" s="219"/>
      <c r="U704" s="219"/>
      <c r="V704" s="219"/>
      <c r="W704" s="600"/>
      <c r="X704" s="600"/>
      <c r="Y704" s="28"/>
      <c r="Z704" s="28"/>
      <c r="AA704" s="28"/>
      <c r="AB704" s="28"/>
      <c r="AC704" s="28"/>
      <c r="AD704" s="28"/>
      <c r="AE704" s="28"/>
      <c r="AF704" s="28"/>
      <c r="AG704" s="28"/>
      <c r="AH704" s="28"/>
      <c r="AI704" s="28"/>
      <c r="AJ704" s="28"/>
      <c r="AK704" s="28"/>
    </row>
    <row r="705" spans="3:37" ht="15.75" x14ac:dyDescent="0.25">
      <c r="C705" s="95"/>
      <c r="D705" s="600"/>
      <c r="E705" s="602"/>
      <c r="F705" s="600"/>
      <c r="G705" s="600"/>
      <c r="H705" s="600"/>
      <c r="I705" s="600"/>
      <c r="J705" s="601"/>
      <c r="K705" s="219"/>
      <c r="L705" s="601"/>
      <c r="M705" s="219"/>
      <c r="N705" s="601"/>
      <c r="O705" s="219"/>
      <c r="P705" s="219"/>
      <c r="Q705" s="219"/>
      <c r="R705" s="219"/>
      <c r="S705" s="219"/>
      <c r="T705" s="219"/>
      <c r="U705" s="219"/>
      <c r="V705" s="219"/>
      <c r="W705" s="600"/>
      <c r="X705" s="600"/>
      <c r="Y705" s="28"/>
      <c r="Z705" s="28"/>
      <c r="AA705" s="28"/>
      <c r="AB705" s="28"/>
      <c r="AC705" s="28"/>
      <c r="AD705" s="28"/>
      <c r="AE705" s="28"/>
      <c r="AF705" s="28"/>
      <c r="AG705" s="28"/>
      <c r="AH705" s="28"/>
      <c r="AI705" s="28"/>
      <c r="AJ705" s="28"/>
      <c r="AK705" s="28"/>
    </row>
    <row r="706" spans="3:37" ht="15.75" x14ac:dyDescent="0.25">
      <c r="C706" s="95"/>
      <c r="D706" s="600"/>
      <c r="E706" s="602"/>
      <c r="F706" s="600"/>
      <c r="G706" s="600"/>
      <c r="H706" s="600"/>
      <c r="I706" s="600"/>
      <c r="J706" s="601"/>
      <c r="K706" s="219"/>
      <c r="L706" s="601"/>
      <c r="M706" s="219"/>
      <c r="N706" s="601"/>
      <c r="O706" s="219"/>
      <c r="P706" s="219"/>
      <c r="Q706" s="219"/>
      <c r="R706" s="219"/>
      <c r="S706" s="219"/>
      <c r="T706" s="219"/>
      <c r="U706" s="219"/>
      <c r="V706" s="219"/>
      <c r="W706" s="600"/>
      <c r="X706" s="600"/>
      <c r="Y706" s="28"/>
      <c r="Z706" s="28"/>
      <c r="AA706" s="28"/>
      <c r="AB706" s="28"/>
      <c r="AC706" s="28"/>
      <c r="AD706" s="28"/>
      <c r="AE706" s="28"/>
      <c r="AF706" s="28"/>
      <c r="AG706" s="28"/>
      <c r="AH706" s="28"/>
      <c r="AI706" s="28"/>
      <c r="AJ706" s="28"/>
      <c r="AK706" s="28"/>
    </row>
    <row r="707" spans="3:37" ht="15.75" x14ac:dyDescent="0.25">
      <c r="C707" s="95"/>
      <c r="D707" s="600"/>
      <c r="E707" s="602"/>
      <c r="F707" s="600"/>
      <c r="G707" s="600"/>
      <c r="H707" s="600"/>
      <c r="I707" s="600"/>
      <c r="J707" s="601"/>
      <c r="K707" s="219"/>
      <c r="L707" s="601"/>
      <c r="M707" s="219"/>
      <c r="N707" s="601"/>
      <c r="O707" s="219"/>
      <c r="P707" s="219"/>
      <c r="Q707" s="219"/>
      <c r="R707" s="219"/>
      <c r="S707" s="219"/>
      <c r="T707" s="219"/>
      <c r="U707" s="219"/>
      <c r="V707" s="219"/>
      <c r="W707" s="600"/>
      <c r="X707" s="600"/>
      <c r="Y707" s="28"/>
      <c r="Z707" s="28"/>
      <c r="AA707" s="28"/>
      <c r="AB707" s="28"/>
      <c r="AC707" s="28"/>
      <c r="AD707" s="28"/>
      <c r="AE707" s="28"/>
      <c r="AF707" s="28"/>
      <c r="AG707" s="28"/>
      <c r="AH707" s="28"/>
      <c r="AI707" s="28"/>
      <c r="AJ707" s="28"/>
      <c r="AK707" s="28"/>
    </row>
    <row r="708" spans="3:37" ht="15.75" x14ac:dyDescent="0.25">
      <c r="C708" s="95"/>
      <c r="D708" s="600"/>
      <c r="E708" s="602"/>
      <c r="F708" s="600"/>
      <c r="G708" s="600"/>
      <c r="H708" s="600"/>
      <c r="I708" s="600"/>
      <c r="J708" s="601"/>
      <c r="K708" s="219"/>
      <c r="L708" s="601"/>
      <c r="M708" s="219"/>
      <c r="N708" s="601"/>
      <c r="O708" s="219"/>
      <c r="P708" s="219"/>
      <c r="Q708" s="219"/>
      <c r="R708" s="219"/>
      <c r="S708" s="219"/>
      <c r="T708" s="219"/>
      <c r="U708" s="219"/>
      <c r="V708" s="219"/>
      <c r="W708" s="600"/>
      <c r="X708" s="600"/>
      <c r="Y708" s="28"/>
      <c r="Z708" s="28"/>
      <c r="AA708" s="28"/>
      <c r="AB708" s="28"/>
      <c r="AC708" s="28"/>
      <c r="AD708" s="28"/>
      <c r="AE708" s="28"/>
      <c r="AF708" s="28"/>
      <c r="AG708" s="28"/>
      <c r="AH708" s="28"/>
      <c r="AI708" s="28"/>
      <c r="AJ708" s="28"/>
      <c r="AK708" s="28"/>
    </row>
    <row r="709" spans="3:37" ht="15.75" x14ac:dyDescent="0.25">
      <c r="C709" s="95"/>
      <c r="D709" s="600"/>
      <c r="E709" s="602"/>
      <c r="F709" s="600"/>
      <c r="G709" s="600"/>
      <c r="H709" s="600"/>
      <c r="I709" s="600"/>
      <c r="J709" s="601"/>
      <c r="K709" s="219"/>
      <c r="L709" s="601"/>
      <c r="M709" s="219"/>
      <c r="N709" s="601"/>
      <c r="O709" s="219"/>
      <c r="P709" s="219"/>
      <c r="Q709" s="219"/>
      <c r="R709" s="219"/>
      <c r="S709" s="219"/>
      <c r="T709" s="219"/>
      <c r="U709" s="219"/>
      <c r="V709" s="219"/>
      <c r="W709" s="600"/>
      <c r="X709" s="600"/>
      <c r="Y709" s="28"/>
      <c r="Z709" s="28"/>
      <c r="AA709" s="28"/>
      <c r="AB709" s="28"/>
      <c r="AC709" s="28"/>
      <c r="AD709" s="28"/>
      <c r="AE709" s="28"/>
      <c r="AF709" s="28"/>
      <c r="AG709" s="28"/>
      <c r="AH709" s="28"/>
      <c r="AI709" s="28"/>
      <c r="AJ709" s="28"/>
      <c r="AK709" s="28"/>
    </row>
    <row r="710" spans="3:37" ht="15.75" x14ac:dyDescent="0.25">
      <c r="C710" s="95"/>
      <c r="D710" s="600"/>
      <c r="E710" s="602"/>
      <c r="F710" s="600"/>
      <c r="G710" s="600"/>
      <c r="H710" s="600"/>
      <c r="I710" s="600"/>
      <c r="J710" s="601"/>
      <c r="K710" s="219"/>
      <c r="L710" s="601"/>
      <c r="M710" s="219"/>
      <c r="N710" s="601"/>
      <c r="O710" s="219"/>
      <c r="P710" s="219"/>
      <c r="Q710" s="219"/>
      <c r="R710" s="219"/>
      <c r="S710" s="219"/>
      <c r="T710" s="219"/>
      <c r="U710" s="219"/>
      <c r="V710" s="219"/>
      <c r="W710" s="600"/>
      <c r="X710" s="600"/>
      <c r="Y710" s="28"/>
      <c r="Z710" s="28"/>
      <c r="AA710" s="28"/>
      <c r="AB710" s="28"/>
      <c r="AC710" s="28"/>
      <c r="AD710" s="28"/>
      <c r="AE710" s="28"/>
      <c r="AF710" s="28"/>
      <c r="AG710" s="28"/>
      <c r="AH710" s="28"/>
      <c r="AI710" s="28"/>
      <c r="AJ710" s="28"/>
      <c r="AK710" s="28"/>
    </row>
    <row r="711" spans="3:37" ht="15.75" x14ac:dyDescent="0.25">
      <c r="C711" s="95"/>
      <c r="D711" s="600"/>
      <c r="E711" s="602"/>
      <c r="F711" s="600"/>
      <c r="G711" s="600"/>
      <c r="H711" s="600"/>
      <c r="I711" s="600"/>
      <c r="J711" s="601"/>
      <c r="K711" s="219"/>
      <c r="L711" s="601"/>
      <c r="M711" s="219"/>
      <c r="N711" s="601"/>
      <c r="O711" s="219"/>
      <c r="P711" s="219"/>
      <c r="Q711" s="219"/>
      <c r="R711" s="219"/>
      <c r="S711" s="219"/>
      <c r="T711" s="219"/>
      <c r="U711" s="219"/>
      <c r="V711" s="219"/>
      <c r="W711" s="600"/>
      <c r="X711" s="600"/>
      <c r="Y711" s="28"/>
      <c r="Z711" s="28"/>
      <c r="AA711" s="28"/>
      <c r="AB711" s="28"/>
      <c r="AC711" s="28"/>
      <c r="AD711" s="28"/>
      <c r="AE711" s="28"/>
      <c r="AF711" s="28"/>
      <c r="AG711" s="28"/>
      <c r="AH711" s="28"/>
      <c r="AI711" s="28"/>
      <c r="AJ711" s="28"/>
      <c r="AK711" s="28"/>
    </row>
    <row r="712" spans="3:37" ht="15.75" x14ac:dyDescent="0.25">
      <c r="C712" s="95"/>
      <c r="D712" s="600"/>
      <c r="E712" s="602"/>
      <c r="F712" s="600"/>
      <c r="G712" s="600"/>
      <c r="H712" s="600"/>
      <c r="I712" s="600"/>
      <c r="J712" s="601"/>
      <c r="K712" s="219"/>
      <c r="L712" s="601"/>
      <c r="M712" s="219"/>
      <c r="N712" s="601"/>
      <c r="O712" s="219"/>
      <c r="P712" s="219"/>
      <c r="Q712" s="219"/>
      <c r="R712" s="219"/>
      <c r="S712" s="219"/>
      <c r="T712" s="219"/>
      <c r="U712" s="219"/>
      <c r="V712" s="219"/>
      <c r="W712" s="600"/>
      <c r="X712" s="600"/>
      <c r="Y712" s="28"/>
      <c r="Z712" s="28"/>
      <c r="AA712" s="28"/>
      <c r="AB712" s="28"/>
      <c r="AC712" s="28"/>
      <c r="AD712" s="28"/>
      <c r="AE712" s="28"/>
      <c r="AF712" s="28"/>
      <c r="AG712" s="28"/>
      <c r="AH712" s="28"/>
      <c r="AI712" s="28"/>
      <c r="AJ712" s="28"/>
      <c r="AK712" s="28"/>
    </row>
    <row r="713" spans="3:37" ht="15.75" x14ac:dyDescent="0.25">
      <c r="C713" s="95"/>
      <c r="D713" s="600"/>
      <c r="E713" s="602"/>
      <c r="F713" s="600"/>
      <c r="G713" s="600"/>
      <c r="H713" s="600"/>
      <c r="I713" s="600"/>
      <c r="J713" s="601"/>
      <c r="K713" s="219"/>
      <c r="L713" s="601"/>
      <c r="M713" s="219"/>
      <c r="N713" s="601"/>
      <c r="O713" s="219"/>
      <c r="P713" s="219"/>
      <c r="Q713" s="219"/>
      <c r="R713" s="219"/>
      <c r="S713" s="219"/>
      <c r="T713" s="219"/>
      <c r="U713" s="219"/>
      <c r="V713" s="219"/>
      <c r="W713" s="600"/>
      <c r="X713" s="600"/>
      <c r="Y713" s="28"/>
      <c r="Z713" s="28"/>
      <c r="AA713" s="28"/>
      <c r="AB713" s="28"/>
      <c r="AC713" s="28"/>
      <c r="AD713" s="28"/>
      <c r="AE713" s="28"/>
      <c r="AF713" s="28"/>
      <c r="AG713" s="28"/>
      <c r="AH713" s="28"/>
      <c r="AI713" s="28"/>
      <c r="AJ713" s="28"/>
      <c r="AK713" s="28"/>
    </row>
    <row r="714" spans="3:37" ht="15.75" x14ac:dyDescent="0.25">
      <c r="C714" s="95"/>
      <c r="D714" s="600"/>
      <c r="E714" s="602"/>
      <c r="F714" s="600"/>
      <c r="G714" s="600"/>
      <c r="H714" s="600"/>
      <c r="I714" s="600"/>
      <c r="J714" s="601"/>
      <c r="K714" s="219"/>
      <c r="L714" s="601"/>
      <c r="M714" s="219"/>
      <c r="N714" s="601"/>
      <c r="O714" s="219"/>
      <c r="P714" s="219"/>
      <c r="Q714" s="219"/>
      <c r="R714" s="219"/>
      <c r="S714" s="219"/>
      <c r="T714" s="219"/>
      <c r="U714" s="219"/>
      <c r="V714" s="219"/>
      <c r="W714" s="600"/>
      <c r="X714" s="600"/>
      <c r="Y714" s="28"/>
      <c r="Z714" s="28"/>
      <c r="AA714" s="28"/>
      <c r="AB714" s="28"/>
      <c r="AC714" s="28"/>
      <c r="AD714" s="28"/>
      <c r="AE714" s="28"/>
      <c r="AF714" s="28"/>
      <c r="AG714" s="28"/>
      <c r="AH714" s="28"/>
      <c r="AI714" s="28"/>
      <c r="AJ714" s="28"/>
      <c r="AK714" s="28"/>
    </row>
    <row r="715" spans="3:37" ht="15.75" x14ac:dyDescent="0.25">
      <c r="C715" s="95"/>
      <c r="D715" s="600"/>
      <c r="E715" s="602"/>
      <c r="F715" s="600"/>
      <c r="G715" s="600"/>
      <c r="H715" s="600"/>
      <c r="I715" s="600"/>
      <c r="J715" s="601"/>
      <c r="K715" s="219"/>
      <c r="L715" s="601"/>
      <c r="M715" s="219"/>
      <c r="N715" s="601"/>
      <c r="O715" s="219"/>
      <c r="P715" s="219"/>
      <c r="Q715" s="219"/>
      <c r="R715" s="219"/>
      <c r="S715" s="219"/>
      <c r="T715" s="219"/>
      <c r="U715" s="219"/>
      <c r="V715" s="219"/>
      <c r="W715" s="600"/>
      <c r="X715" s="600"/>
      <c r="Y715" s="28"/>
      <c r="Z715" s="28"/>
      <c r="AA715" s="28"/>
      <c r="AB715" s="28"/>
      <c r="AC715" s="28"/>
      <c r="AD715" s="28"/>
      <c r="AE715" s="28"/>
      <c r="AF715" s="28"/>
      <c r="AG715" s="28"/>
      <c r="AH715" s="28"/>
      <c r="AI715" s="28"/>
      <c r="AJ715" s="28"/>
      <c r="AK715" s="28"/>
    </row>
    <row r="716" spans="3:37" ht="15.75" x14ac:dyDescent="0.25">
      <c r="C716" s="95"/>
      <c r="D716" s="600"/>
      <c r="E716" s="602"/>
      <c r="F716" s="600"/>
      <c r="G716" s="600"/>
      <c r="H716" s="600"/>
      <c r="I716" s="600"/>
      <c r="J716" s="601"/>
      <c r="K716" s="219"/>
      <c r="L716" s="601"/>
      <c r="M716" s="219"/>
      <c r="N716" s="601"/>
      <c r="O716" s="219"/>
      <c r="P716" s="219"/>
      <c r="Q716" s="219"/>
      <c r="R716" s="219"/>
      <c r="S716" s="219"/>
      <c r="T716" s="219"/>
      <c r="U716" s="219"/>
      <c r="V716" s="219"/>
      <c r="W716" s="600"/>
      <c r="X716" s="600"/>
      <c r="Y716" s="28"/>
      <c r="Z716" s="28"/>
      <c r="AA716" s="28"/>
      <c r="AB716" s="28"/>
      <c r="AC716" s="28"/>
      <c r="AD716" s="28"/>
      <c r="AE716" s="28"/>
      <c r="AF716" s="28"/>
      <c r="AG716" s="28"/>
      <c r="AH716" s="28"/>
      <c r="AI716" s="28"/>
      <c r="AJ716" s="28"/>
      <c r="AK716" s="28"/>
    </row>
    <row r="717" spans="3:37" ht="15.75" x14ac:dyDescent="0.25">
      <c r="C717" s="95"/>
      <c r="D717" s="600"/>
      <c r="E717" s="602"/>
      <c r="F717" s="600"/>
      <c r="G717" s="600"/>
      <c r="H717" s="600"/>
      <c r="I717" s="600"/>
      <c r="J717" s="601"/>
      <c r="K717" s="219"/>
      <c r="L717" s="601"/>
      <c r="M717" s="219"/>
      <c r="N717" s="601"/>
      <c r="O717" s="219"/>
      <c r="P717" s="219"/>
      <c r="Q717" s="219"/>
      <c r="R717" s="219"/>
      <c r="S717" s="219"/>
      <c r="T717" s="219"/>
      <c r="U717" s="219"/>
      <c r="V717" s="219"/>
      <c r="W717" s="600"/>
      <c r="X717" s="600"/>
      <c r="Y717" s="28"/>
      <c r="Z717" s="28"/>
      <c r="AA717" s="28"/>
      <c r="AB717" s="28"/>
      <c r="AC717" s="28"/>
      <c r="AD717" s="28"/>
      <c r="AE717" s="28"/>
      <c r="AF717" s="28"/>
      <c r="AG717" s="28"/>
      <c r="AH717" s="28"/>
      <c r="AI717" s="28"/>
      <c r="AJ717" s="28"/>
      <c r="AK717" s="28"/>
    </row>
    <row r="718" spans="3:37" ht="15.75" x14ac:dyDescent="0.25">
      <c r="C718" s="95"/>
      <c r="D718" s="600"/>
      <c r="E718" s="602"/>
      <c r="F718" s="600"/>
      <c r="G718" s="600"/>
      <c r="H718" s="600"/>
      <c r="I718" s="600"/>
      <c r="J718" s="601"/>
      <c r="K718" s="219"/>
      <c r="L718" s="601"/>
      <c r="M718" s="219"/>
      <c r="N718" s="601"/>
      <c r="O718" s="219"/>
      <c r="P718" s="219"/>
      <c r="Q718" s="219"/>
      <c r="R718" s="219"/>
      <c r="S718" s="219"/>
      <c r="T718" s="219"/>
      <c r="U718" s="219"/>
      <c r="V718" s="219"/>
      <c r="W718" s="600"/>
      <c r="X718" s="600"/>
      <c r="Y718" s="28"/>
      <c r="Z718" s="28"/>
      <c r="AA718" s="28"/>
      <c r="AB718" s="28"/>
      <c r="AC718" s="28"/>
      <c r="AD718" s="28"/>
      <c r="AE718" s="28"/>
      <c r="AF718" s="28"/>
      <c r="AG718" s="28"/>
      <c r="AH718" s="28"/>
      <c r="AI718" s="28"/>
      <c r="AJ718" s="28"/>
      <c r="AK718" s="28"/>
    </row>
    <row r="719" spans="3:37" ht="15.75" x14ac:dyDescent="0.25">
      <c r="C719" s="95"/>
      <c r="D719" s="600"/>
      <c r="E719" s="602"/>
      <c r="F719" s="600"/>
      <c r="G719" s="600"/>
      <c r="H719" s="600"/>
      <c r="I719" s="600"/>
      <c r="J719" s="601"/>
      <c r="K719" s="219"/>
      <c r="L719" s="601"/>
      <c r="M719" s="219"/>
      <c r="N719" s="601"/>
      <c r="O719" s="219"/>
      <c r="P719" s="219"/>
      <c r="Q719" s="219"/>
      <c r="R719" s="219"/>
      <c r="S719" s="219"/>
      <c r="T719" s="219"/>
      <c r="U719" s="219"/>
      <c r="V719" s="219"/>
      <c r="W719" s="600"/>
      <c r="X719" s="600"/>
      <c r="Y719" s="28"/>
      <c r="Z719" s="28"/>
      <c r="AA719" s="28"/>
      <c r="AB719" s="28"/>
      <c r="AC719" s="28"/>
      <c r="AD719" s="28"/>
      <c r="AE719" s="28"/>
      <c r="AF719" s="28"/>
      <c r="AG719" s="28"/>
      <c r="AH719" s="28"/>
      <c r="AI719" s="28"/>
      <c r="AJ719" s="28"/>
      <c r="AK719" s="28"/>
    </row>
    <row r="720" spans="3:37" ht="15.75" x14ac:dyDescent="0.25">
      <c r="C720" s="95"/>
      <c r="D720" s="600"/>
      <c r="E720" s="602"/>
      <c r="F720" s="600"/>
      <c r="G720" s="600"/>
      <c r="H720" s="600"/>
      <c r="I720" s="600"/>
      <c r="J720" s="601"/>
      <c r="K720" s="219"/>
      <c r="L720" s="601"/>
      <c r="M720" s="219"/>
      <c r="N720" s="601"/>
      <c r="O720" s="219"/>
      <c r="P720" s="219"/>
      <c r="Q720" s="219"/>
      <c r="R720" s="219"/>
      <c r="S720" s="219"/>
      <c r="T720" s="219"/>
      <c r="U720" s="219"/>
      <c r="V720" s="219"/>
      <c r="W720" s="600"/>
      <c r="X720" s="600"/>
      <c r="Y720" s="28"/>
      <c r="Z720" s="28"/>
      <c r="AA720" s="28"/>
      <c r="AB720" s="28"/>
      <c r="AC720" s="28"/>
      <c r="AD720" s="28"/>
      <c r="AE720" s="28"/>
      <c r="AF720" s="28"/>
      <c r="AG720" s="28"/>
      <c r="AH720" s="28"/>
      <c r="AI720" s="28"/>
      <c r="AJ720" s="28"/>
      <c r="AK720" s="28"/>
    </row>
    <row r="721" spans="3:37" ht="15.75" x14ac:dyDescent="0.25">
      <c r="C721" s="95"/>
      <c r="D721" s="600"/>
      <c r="E721" s="602"/>
      <c r="F721" s="600"/>
      <c r="G721" s="600"/>
      <c r="H721" s="600"/>
      <c r="I721" s="600"/>
      <c r="J721" s="601"/>
      <c r="K721" s="219"/>
      <c r="L721" s="601"/>
      <c r="M721" s="219"/>
      <c r="N721" s="601"/>
      <c r="O721" s="219"/>
      <c r="P721" s="219"/>
      <c r="Q721" s="219"/>
      <c r="R721" s="219"/>
      <c r="S721" s="219"/>
      <c r="T721" s="219"/>
      <c r="U721" s="219"/>
      <c r="V721" s="219"/>
      <c r="W721" s="600"/>
      <c r="X721" s="600"/>
      <c r="Y721" s="28"/>
      <c r="Z721" s="28"/>
      <c r="AA721" s="28"/>
      <c r="AB721" s="28"/>
      <c r="AC721" s="28"/>
      <c r="AD721" s="28"/>
      <c r="AE721" s="28"/>
      <c r="AF721" s="28"/>
      <c r="AG721" s="28"/>
      <c r="AH721" s="28"/>
      <c r="AI721" s="28"/>
      <c r="AJ721" s="28"/>
      <c r="AK721" s="28"/>
    </row>
  </sheetData>
  <autoFilter ref="B3:AK4" xr:uid="{CD0E05B0-E82B-4978-B30D-7156B2BB7621}"/>
  <mergeCells count="23">
    <mergeCell ref="D438:I438"/>
    <mergeCell ref="S3:S4"/>
    <mergeCell ref="T3:T4"/>
    <mergeCell ref="U3:U4"/>
    <mergeCell ref="V3:V4"/>
    <mergeCell ref="E3:E4"/>
    <mergeCell ref="F3:F4"/>
    <mergeCell ref="H3:H4"/>
    <mergeCell ref="P3:P4"/>
    <mergeCell ref="Q3:Q4"/>
    <mergeCell ref="R3:R4"/>
    <mergeCell ref="Y3:Y4"/>
    <mergeCell ref="D71:E71"/>
    <mergeCell ref="D72:E72"/>
    <mergeCell ref="E292:I292"/>
    <mergeCell ref="E318:I318"/>
    <mergeCell ref="W3:W4"/>
    <mergeCell ref="X3:X4"/>
    <mergeCell ref="D498:G498"/>
    <mergeCell ref="A508:Q508"/>
    <mergeCell ref="A511:E511"/>
    <mergeCell ref="P514:Q514"/>
    <mergeCell ref="T514:U514"/>
  </mergeCells>
  <hyperlinks>
    <hyperlink ref="W465" r:id="rId1"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1%2Epdf&amp;parent=%2Fpersonal%2Flaidy%5Fgonzalez%5Fgobiernobogota%5Fgov%5Fco%2FDocuments%2FCOTIZACIONES%2FCOTIZACIONES%202026%2FCOTIZACIONES%20DAPS%2FCOTIZACIONES%20NUEVA%202026%2FCOTIZACIONES%20ALEJANDRA%20PE%C3%91A&amp;parentview=7" xr:uid="{03FD98E9-C211-4B7E-9A21-4C5652905F53}"/>
    <hyperlink ref="X465" r:id="rId2"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2%2Epdf&amp;parent=%2Fpersonal%2Flaidy%5Fgonzalez%5Fgobiernobogota%5Fgov%5Fco%2FDocuments%2FCOTIZACIONES%2FCOTIZACIONES%202026%2FCOTIZACIONES%20DAPS%2FCOTIZACIONES%20NUEVA%202026%2FCOTIZACIONES%20ALEJANDRA%20PE%C3%91A&amp;parentview=7" xr:uid="{993708E6-540A-4812-A05F-58E36B07A33E}"/>
    <hyperlink ref="Y465" r:id="rId3"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3%2Epdf&amp;parent=%2Fpersonal%2Flaidy%5Fgonzalez%5Fgobiernobogota%5Fgov%5Fco%2FDocuments%2FCOTIZACIONES%2FCOTIZACIONES%202026%2FCOTIZACIONES%20DAPS%2FCOTIZACIONES%20NUEVA%202026%2FCOTIZACIONES%20ALEJANDRA%20PE%C3%91A&amp;parentview=7" xr:uid="{E5D5DACD-45AC-473D-AD2D-BAB94EA6A233}"/>
    <hyperlink ref="W468" r:id="rId4"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1%2Epdf&amp;parent=%2Fpersonal%2Flaidy%5Fgonzalez%5Fgobiernobogota%5Fgov%5Fco%2FDocuments%2FCOTIZACIONES%2FCOTIZACIONES%202026%2FCOTIZACIONES%20DAPS%2FCOTIZACIONES%20NUEVA%202026%2FCOTIZACIONES%20ALEJANDRA%20PE%C3%91A&amp;parentview=7" xr:uid="{E9DA930F-F60A-41A8-A2BB-8E310701D13E}"/>
    <hyperlink ref="X468" r:id="rId5"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2%2Epdf&amp;parent=%2Fpersonal%2Flaidy%5Fgonzalez%5Fgobiernobogota%5Fgov%5Fco%2FDocuments%2FCOTIZACIONES%2FCOTIZACIONES%202026%2FCOTIZACIONES%20DAPS%2FCOTIZACIONES%20NUEVA%202026%2FCOTIZACIONES%20ALEJANDRA%20PE%C3%91A&amp;parentview=7" xr:uid="{C8C11F75-ADFB-416B-A290-5ECB4E95463A}"/>
    <hyperlink ref="Y468" r:id="rId6"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3%2Epdf&amp;parent=%2Fpersonal%2Flaidy%5Fgonzalez%5Fgobiernobogota%5Fgov%5Fco%2FDocuments%2FCOTIZACIONES%2FCOTIZACIONES%202026%2FCOTIZACIONES%20DAPS%2FCOTIZACIONES%20NUEVA%202026%2FCOTIZACIONES%20ALEJANDRA%20PE%C3%91A&amp;parentview=7" xr:uid="{69CDC887-AD4B-4165-BB28-597510C4FEA5}"/>
    <hyperlink ref="W470" r:id="rId7"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1%2Epdf&amp;parent=%2Fpersonal%2Flaidy%5Fgonzalez%5Fgobiernobogota%5Fgov%5Fco%2FDocuments%2FCOTIZACIONES%2FCOTIZACIONES%202026%2FCOTIZACIONES%20DAPS%2FCOTIZACIONES%20NUEVA%202026%2FCOTIZACIONES%20ALEJANDRA%20PE%C3%91A&amp;parentview=7" xr:uid="{8EA3DFD3-1236-442B-AFA9-18B09329C5A0}"/>
    <hyperlink ref="X470" r:id="rId8"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2%2Epdf&amp;parent=%2Fpersonal%2Flaidy%5Fgonzalez%5Fgobiernobogota%5Fgov%5Fco%2FDocuments%2FCOTIZACIONES%2FCOTIZACIONES%202026%2FCOTIZACIONES%20DAPS%2FCOTIZACIONES%20NUEVA%202026%2FCOTIZACIONES%20ALEJANDRA%20PE%C3%91A&amp;parentview=7" xr:uid="{C84BD82E-752F-4931-BBA8-C5C9794DC075}"/>
    <hyperlink ref="W473" r:id="rId9" display="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1%2Epdf&amp;parent=%2Fpersonal%2Flaidy%5Fgonzalez%5Fgobiernobogota%5Fgov%5Fco%2FDocuments%2FCOTIZACIONES%2FCOTIZACIONES%202026%2FCOTIZACIONES%20DAPS%2FCOTIZACIONES%20NUEVA%202026%2FCOTIZACIONES%20ALEJANDRA%20PE%C3%91A&amp;parentview=7" xr:uid="{0634D37F-D232-4CF7-8A00-54A3D0D5935F}"/>
    <hyperlink ref="X473" r:id="rId10" display="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2%2Epdf&amp;parent=%2Fpersonal%2Flaidy%5Fgonzalez%5Fgobiernobogota%5Fgov%5Fco%2FDocuments%2FCOTIZACIONES%2FCOTIZACIONES%202026%2FCOTIZACIONES%20DAPS%2FCOTIZACIONES%20NUEVA%202026%2FCOTIZACIONES%20ALEJANDRA%20PE%C3%91A&amp;parentview=7" xr:uid="{33BFD4D1-9200-4C85-87D9-960F7BF63BF3}"/>
    <hyperlink ref="Y473" r:id="rId11" display="https://gobiernobogota-my.sharepoint.com/query?listurl=%2Fpersonal%2Flaidy%5Fgonzalez%5Fgobiernobogota%5Fgov%5Fco%2FDocuments&amp;q=cordon&amp;searchScope=folder&amp;id=%2Fpersonal%2Flaidy%5Fgonzalez%5Fgobiernobogota%5Fgov%5Fco%2FDocuments%2FCOTIZACIONES%2FCOTIZACIONES%202026%2FCOTIZACIONES%20DAPS%2FCOTIZACIONES%20NUEVA%202026%2FCOTIZACIONES%20ALEJANDRA%20PE%C3%91A%2FITEM%20Cordon%20encerado%20cotizacion%203%2Epdf&amp;parent=%2Fpersonal%2Flaidy%5Fgonzalez%5Fgobiernobogota%5Fgov%5Fco%2FDocuments%2FCOTIZACIONES%2FCOTIZACIONES%202026%2FCOTIZACIONES%20DAPS%2FCOTIZACIONES%20NUEVA%202026%2FCOTIZACIONES%20ALEJANDRA%20PE%C3%91A&amp;parentview=7" xr:uid="{358BA759-EEA0-4CFE-B2C1-27E78A488389}"/>
    <hyperlink ref="W474" r:id="rId12"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1%2Epdf&amp;parent=%2Fpersonal%2Flaidy%5Fgonzalez%5Fgobiernobogota%5Fgov%5Fco%2FDocuments%2FCOTIZACIONES%2FCOTIZACIONES%202026%2FCOTIZACIONES%20DAPS%2FCOTIZACIONES%20NUEVA%202026%2FCOTIZACIONES%20ALEJANDRA%20PE%C3%91A&amp;parentview=7" xr:uid="{07E2BCDF-6258-4467-A8EB-1B7C216CE3B5}"/>
    <hyperlink ref="X474" r:id="rId13"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2%2Epdf&amp;parent=%2Fpersonal%2Flaidy%5Fgonzalez%5Fgobiernobogota%5Fgov%5Fco%2FDocuments%2FCOTIZACIONES%2FCOTIZACIONES%202026%2FCOTIZACIONES%20DAPS%2FCOTIZACIONES%20NUEVA%202026%2FCOTIZACIONES%20ALEJANDRA%20PE%C3%91A&amp;parentview=7" xr:uid="{8309C409-C0E6-4A46-8239-F9D03E145077}"/>
    <hyperlink ref="Y474" r:id="rId14"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3%2Epdf&amp;parent=%2Fpersonal%2Flaidy%5Fgonzalez%5Fgobiernobogota%5Fgov%5Fco%2FDocuments%2FCOTIZACIONES%2FCOTIZACIONES%202026%2FCOTIZACIONES%20DAPS%2FCOTIZACIONES%20NUEVA%202026%2FCOTIZACIONES%20ALEJANDRA%20PE%C3%91A&amp;parentview=7" xr:uid="{A3261F9C-7405-4AFB-9FDB-31857B63FC42}"/>
    <hyperlink ref="W476" r:id="rId15"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1%2Epdf&amp;parent=%2Fpersonal%2Flaidy%5Fgonzalez%5Fgobiernobogota%5Fgov%5Fco%2FDocuments%2FCOTIZACIONES%2FCOTIZACIONES%202026%2FCOTIZACIONES%20DAPS%2FCOTIZACIONES%20NUEVA%202026%2FCOTIZACIONES%20ALEJANDRA%20PE%C3%91A&amp;parentview=7" xr:uid="{6C82D8AA-A000-4112-9678-6B259C0DBF59}"/>
    <hyperlink ref="X476" r:id="rId16"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2%2Epdf&amp;parent=%2Fpersonal%2Flaidy%5Fgonzalez%5Fgobiernobogota%5Fgov%5Fco%2FDocuments%2FCOTIZACIONES%2FCOTIZACIONES%202026%2FCOTIZACIONES%20DAPS%2FCOTIZACIONES%20NUEVA%202026%2FCOTIZACIONES%20ALEJANDRA%20PE%C3%91A&amp;parentview=7" xr:uid="{53216310-216B-40A4-B026-F60124C40B60}"/>
    <hyperlink ref="Y476" r:id="rId17"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3%2Epdf&amp;parent=%2Fpersonal%2Flaidy%5Fgonzalez%5Fgobiernobogota%5Fgov%5Fco%2FDocuments%2FCOTIZACIONES%2FCOTIZACIONES%202026%2FCOTIZACIONES%20DAPS%2FCOTIZACIONES%20NUEVA%202026%2FCOTIZACIONES%20ALEJANDRA%20PE%C3%91A&amp;parentview=7" xr:uid="{D324929B-3FCC-4C99-8068-185C1EB2C3B3}"/>
    <hyperlink ref="W477" r:id="rId18"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1%2Epdf&amp;parent=%2Fpersonal%2Flaidy%5Fgonzalez%5Fgobiernobogota%5Fgov%5Fco%2FDocuments%2FCOTIZACIONES%2FCOTIZACIONES%202026%2FCOTIZACIONES%20DAPS%2FCOTIZACIONES%20NUEVA%202026%2FCOTIZACIONES%20ALEJANDRA%20PE%C3%91A&amp;parentview=7" xr:uid="{C7424A6F-8BEE-4792-8ADE-1157D2207232}"/>
    <hyperlink ref="X477" r:id="rId19"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2%2Epdf&amp;parent=%2Fpersonal%2Flaidy%5Fgonzalez%5Fgobiernobogota%5Fgov%5Fco%2FDocuments%2FCOTIZACIONES%2FCOTIZACIONES%202026%2FCOTIZACIONES%20DAPS%2FCOTIZACIONES%20NUEVA%202026%2FCOTIZACIONES%20ALEJANDRA%20PE%C3%91A&amp;parentview=7" xr:uid="{6F56F4A1-E2C3-4D94-9583-2BA706568AE7}"/>
    <hyperlink ref="Y477" r:id="rId20"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3%2Epdf&amp;parent=%2Fpersonal%2Flaidy%5Fgonzalez%5Fgobiernobogota%5Fgov%5Fco%2FDocuments%2FCOTIZACIONES%2FCOTIZACIONES%202026%2FCOTIZACIONES%20DAPS%2FCOTIZACIONES%20NUEVA%202026%2FCOTIZACIONES%20ALEJANDRA%20PE%C3%91A&amp;parentview=7" xr:uid="{FF7C23D9-87E9-401C-8D1E-2D638DA5910B}"/>
    <hyperlink ref="W479" r:id="rId21"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1%2Epdf&amp;parent=%2Fpersonal%2Flaidy%5Fgonzalez%5Fgobiernobogota%5Fgov%5Fco%2FDocuments%2FCOTIZACIONES%2FCOTIZACIONES%202026%2FCOTIZACIONES%20DAPS%2FCOTIZACIONES%20NUEVA%202026%2FCOTIZACIONES%20ALEJANDRA%20PE%C3%91A&amp;parentview=7" xr:uid="{52377B45-A4BF-4318-B929-A82CDEA37260}"/>
    <hyperlink ref="X479" r:id="rId22"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2%2Epdf&amp;parent=%2Fpersonal%2Flaidy%5Fgonzalez%5Fgobiernobogota%5Fgov%5Fco%2FDocuments%2FCOTIZACIONES%2FCOTIZACIONES%202026%2FCOTIZACIONES%20DAPS%2FCOTIZACIONES%20NUEVA%202026%2FCOTIZACIONES%20ALEJANDRA%20PE%C3%91A&amp;parentview=7" xr:uid="{1FD0E091-A4DD-484D-B243-ACE190C8F507}"/>
  </hyperlinks>
  <pageMargins left="0.7" right="0.7" top="0.75" bottom="0.75" header="0" footer="0"/>
  <pageSetup scale="27" orientation="landscape"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BC8FE-0980-4EEE-A046-201BD0EDFCCB}">
  <dimension ref="A10:X539"/>
  <sheetViews>
    <sheetView workbookViewId="0">
      <selection activeCell="H10" sqref="H10"/>
    </sheetView>
  </sheetViews>
  <sheetFormatPr baseColWidth="10" defaultRowHeight="15.75" x14ac:dyDescent="0.25"/>
  <cols>
    <col min="6" max="6" width="19.625" customWidth="1"/>
    <col min="7" max="7" width="25.125" customWidth="1"/>
    <col min="8" max="8" width="19.75" customWidth="1"/>
    <col min="9" max="9" width="13.625" bestFit="1" customWidth="1"/>
  </cols>
  <sheetData>
    <row r="10" spans="4:15" x14ac:dyDescent="0.25">
      <c r="F10" s="616" t="s">
        <v>1065</v>
      </c>
      <c r="G10" s="616" t="s">
        <v>1066</v>
      </c>
      <c r="H10" s="617">
        <v>795000000</v>
      </c>
      <c r="I10" s="617">
        <v>28929979.294117648</v>
      </c>
    </row>
    <row r="11" spans="4:15" x14ac:dyDescent="0.25">
      <c r="H11" s="618">
        <f>+H10-I10</f>
        <v>766070020.70588231</v>
      </c>
      <c r="I11" s="180"/>
      <c r="J11" s="180"/>
      <c r="K11" s="180"/>
      <c r="L11" s="180"/>
      <c r="M11" s="180"/>
      <c r="N11" s="180"/>
      <c r="O11" s="180"/>
    </row>
    <row r="13" spans="4:15" x14ac:dyDescent="0.25">
      <c r="D13" s="619"/>
    </row>
    <row r="14" spans="4:15" x14ac:dyDescent="0.25">
      <c r="I14" s="617">
        <v>498073607.40472281</v>
      </c>
    </row>
    <row r="17" spans="3:8" x14ac:dyDescent="0.25">
      <c r="D17" s="619"/>
    </row>
    <row r="18" spans="3:8" x14ac:dyDescent="0.25">
      <c r="H18" s="620"/>
    </row>
    <row r="25" spans="3:8" x14ac:dyDescent="0.25">
      <c r="G25" s="621"/>
    </row>
    <row r="26" spans="3:8" x14ac:dyDescent="0.25">
      <c r="F26" s="7"/>
      <c r="G26" s="617"/>
    </row>
    <row r="27" spans="3:8" x14ac:dyDescent="0.25">
      <c r="C27" s="180"/>
      <c r="F27" s="622"/>
      <c r="G27" s="617"/>
    </row>
    <row r="28" spans="3:8" x14ac:dyDescent="0.25">
      <c r="F28" s="622"/>
      <c r="G28" s="623"/>
    </row>
    <row r="29" spans="3:8" x14ac:dyDescent="0.25">
      <c r="G29" s="624"/>
    </row>
    <row r="61" s="167" customFormat="1" x14ac:dyDescent="0.25"/>
    <row r="125" spans="1:4" x14ac:dyDescent="0.25">
      <c r="A125" s="180"/>
      <c r="B125" s="180"/>
      <c r="C125" s="180"/>
      <c r="D125" s="180"/>
    </row>
    <row r="126" spans="1:4" x14ac:dyDescent="0.25">
      <c r="A126" s="180"/>
      <c r="B126" s="180"/>
      <c r="C126" s="180"/>
      <c r="D126" s="180"/>
    </row>
    <row r="127" spans="1:4" x14ac:dyDescent="0.25">
      <c r="A127" s="180"/>
      <c r="B127" s="180"/>
      <c r="C127" s="180"/>
      <c r="D127" s="180"/>
    </row>
    <row r="128" spans="1:4" x14ac:dyDescent="0.25">
      <c r="A128" s="180"/>
      <c r="B128" s="180"/>
      <c r="C128" s="180"/>
      <c r="D128" s="180"/>
    </row>
    <row r="129" spans="1:24" x14ac:dyDescent="0.25">
      <c r="A129" s="180"/>
      <c r="B129" s="180"/>
      <c r="C129" s="180"/>
      <c r="D129" s="180"/>
    </row>
    <row r="130" spans="1:24" x14ac:dyDescent="0.25">
      <c r="A130" s="180"/>
      <c r="B130" s="180"/>
      <c r="C130" s="180"/>
      <c r="D130" s="180"/>
    </row>
    <row r="131" spans="1:24" x14ac:dyDescent="0.25">
      <c r="A131" s="180"/>
      <c r="B131" s="180"/>
      <c r="C131" s="180"/>
      <c r="D131" s="180"/>
    </row>
    <row r="132" spans="1:24" x14ac:dyDescent="0.25">
      <c r="A132" s="180"/>
      <c r="B132" s="180"/>
      <c r="C132" s="180"/>
      <c r="D132" s="180"/>
    </row>
    <row r="133" spans="1:24" x14ac:dyDescent="0.25">
      <c r="A133" s="180"/>
      <c r="B133" s="180"/>
      <c r="C133" s="180"/>
      <c r="D133" s="180"/>
    </row>
    <row r="134" spans="1:24" x14ac:dyDescent="0.25">
      <c r="A134" s="180"/>
      <c r="B134" s="180"/>
      <c r="C134" s="180"/>
      <c r="D134" s="180"/>
      <c r="N134" s="180"/>
      <c r="O134" s="180"/>
      <c r="P134" s="180"/>
      <c r="Q134" s="180"/>
      <c r="R134" s="180"/>
      <c r="S134" s="180"/>
      <c r="T134" s="180"/>
      <c r="U134" s="180"/>
      <c r="V134" s="180"/>
      <c r="W134" s="180"/>
      <c r="X134" s="180"/>
    </row>
    <row r="135" spans="1:24" x14ac:dyDescent="0.25">
      <c r="A135" s="180"/>
      <c r="B135" s="180"/>
      <c r="C135" s="180"/>
      <c r="D135" s="180"/>
    </row>
    <row r="136" spans="1:24" x14ac:dyDescent="0.25">
      <c r="A136" s="180"/>
      <c r="B136" s="180"/>
      <c r="C136" s="180"/>
      <c r="D136" s="180"/>
    </row>
    <row r="137" spans="1:24" x14ac:dyDescent="0.25">
      <c r="A137" s="180"/>
      <c r="B137" s="180"/>
      <c r="C137" s="180"/>
      <c r="D137" s="180"/>
    </row>
    <row r="138" spans="1:24" x14ac:dyDescent="0.25">
      <c r="A138" s="180"/>
      <c r="B138" s="180"/>
      <c r="C138" s="180"/>
      <c r="D138" s="180"/>
    </row>
    <row r="139" spans="1:24" x14ac:dyDescent="0.25">
      <c r="A139" s="180"/>
      <c r="B139" s="180"/>
      <c r="C139" s="180"/>
      <c r="D139" s="180"/>
      <c r="I139" s="625"/>
      <c r="J139" s="180"/>
      <c r="K139" s="180"/>
      <c r="L139" s="180"/>
      <c r="M139" s="180"/>
      <c r="N139" s="180"/>
      <c r="O139" s="180"/>
    </row>
    <row r="140" spans="1:24" x14ac:dyDescent="0.25">
      <c r="A140" s="180"/>
      <c r="B140" s="180"/>
      <c r="C140" s="180"/>
      <c r="D140" s="180"/>
    </row>
    <row r="141" spans="1:24" x14ac:dyDescent="0.25">
      <c r="A141" s="180"/>
      <c r="B141" s="180"/>
      <c r="C141" s="180"/>
      <c r="D141" s="180"/>
    </row>
    <row r="142" spans="1:24" x14ac:dyDescent="0.25">
      <c r="A142" s="180"/>
      <c r="B142" s="180"/>
      <c r="C142" s="180"/>
      <c r="D142" s="180"/>
    </row>
    <row r="143" spans="1:24" x14ac:dyDescent="0.25">
      <c r="D143" s="626"/>
    </row>
    <row r="150" spans="3:3" x14ac:dyDescent="0.25">
      <c r="C150" s="180"/>
    </row>
    <row r="151" spans="3:3" x14ac:dyDescent="0.25">
      <c r="C151" s="180"/>
    </row>
    <row r="152" spans="3:3" x14ac:dyDescent="0.25">
      <c r="C152" s="180"/>
    </row>
    <row r="153" spans="3:3" x14ac:dyDescent="0.25">
      <c r="C153" s="180"/>
    </row>
    <row r="154" spans="3:3" x14ac:dyDescent="0.25">
      <c r="C154" s="180"/>
    </row>
    <row r="155" spans="3:3" x14ac:dyDescent="0.25">
      <c r="C155" s="180"/>
    </row>
    <row r="156" spans="3:3" x14ac:dyDescent="0.25">
      <c r="C156" s="180"/>
    </row>
    <row r="157" spans="3:3" x14ac:dyDescent="0.25">
      <c r="C157" s="180"/>
    </row>
    <row r="158" spans="3:3" x14ac:dyDescent="0.25">
      <c r="C158" s="180"/>
    </row>
    <row r="159" spans="3:3" x14ac:dyDescent="0.25">
      <c r="C159" s="180"/>
    </row>
    <row r="160" spans="3:3" x14ac:dyDescent="0.25">
      <c r="C160" s="180"/>
    </row>
    <row r="161" spans="3:3" x14ac:dyDescent="0.25">
      <c r="C161" s="180"/>
    </row>
    <row r="162" spans="3:3" x14ac:dyDescent="0.25">
      <c r="C162" s="180"/>
    </row>
    <row r="163" spans="3:3" x14ac:dyDescent="0.25">
      <c r="C163" s="180"/>
    </row>
    <row r="164" spans="3:3" x14ac:dyDescent="0.25">
      <c r="C164" s="180"/>
    </row>
    <row r="170" spans="3:3" x14ac:dyDescent="0.25">
      <c r="C170" s="180"/>
    </row>
    <row r="179" spans="3:3" x14ac:dyDescent="0.25">
      <c r="C179" s="180"/>
    </row>
    <row r="180" spans="3:3" x14ac:dyDescent="0.25">
      <c r="C180" s="180"/>
    </row>
    <row r="181" spans="3:3" x14ac:dyDescent="0.25">
      <c r="C181" s="180"/>
    </row>
    <row r="182" spans="3:3" s="303" customFormat="1" x14ac:dyDescent="0.25"/>
    <row r="183" spans="3:3" x14ac:dyDescent="0.25">
      <c r="C183" s="180"/>
    </row>
    <row r="184" spans="3:3" x14ac:dyDescent="0.25">
      <c r="C184" s="180"/>
    </row>
    <row r="185" spans="3:3" x14ac:dyDescent="0.25">
      <c r="C185" s="180"/>
    </row>
    <row r="186" spans="3:3" x14ac:dyDescent="0.25">
      <c r="C186" s="180"/>
    </row>
    <row r="187" spans="3:3" x14ac:dyDescent="0.25">
      <c r="C187" s="180"/>
    </row>
    <row r="188" spans="3:3" x14ac:dyDescent="0.25">
      <c r="C188" s="180"/>
    </row>
    <row r="215" spans="3:3" s="167" customFormat="1" x14ac:dyDescent="0.25"/>
    <row r="218" spans="3:3" x14ac:dyDescent="0.25">
      <c r="C218" s="180"/>
    </row>
    <row r="219" spans="3:3" x14ac:dyDescent="0.25">
      <c r="C219" s="180"/>
    </row>
    <row r="220" spans="3:3" x14ac:dyDescent="0.25">
      <c r="C220" s="180"/>
    </row>
    <row r="221" spans="3:3" x14ac:dyDescent="0.25">
      <c r="C221" s="180"/>
    </row>
    <row r="222" spans="3:3" x14ac:dyDescent="0.25">
      <c r="C222" s="180"/>
    </row>
    <row r="223" spans="3:3" x14ac:dyDescent="0.25">
      <c r="C223" s="180"/>
    </row>
    <row r="224" spans="3:3" x14ac:dyDescent="0.25">
      <c r="C224" s="180"/>
    </row>
    <row r="225" spans="3:3" x14ac:dyDescent="0.25">
      <c r="C225" s="180"/>
    </row>
    <row r="226" spans="3:3" x14ac:dyDescent="0.25">
      <c r="C226" s="180"/>
    </row>
    <row r="227" spans="3:3" x14ac:dyDescent="0.25">
      <c r="C227" s="180"/>
    </row>
    <row r="228" spans="3:3" x14ac:dyDescent="0.25">
      <c r="C228" s="180"/>
    </row>
    <row r="229" spans="3:3" x14ac:dyDescent="0.25">
      <c r="C229" s="180"/>
    </row>
    <row r="230" spans="3:3" x14ac:dyDescent="0.25">
      <c r="C230" s="180"/>
    </row>
    <row r="231" spans="3:3" x14ac:dyDescent="0.25">
      <c r="C231" s="180"/>
    </row>
    <row r="232" spans="3:3" x14ac:dyDescent="0.25">
      <c r="C232" s="180"/>
    </row>
    <row r="246" spans="3:19" x14ac:dyDescent="0.25">
      <c r="C246" s="180"/>
    </row>
    <row r="247" spans="3:19" x14ac:dyDescent="0.25">
      <c r="C247" s="180"/>
    </row>
    <row r="248" spans="3:19" x14ac:dyDescent="0.25">
      <c r="C248" s="180"/>
    </row>
    <row r="249" spans="3:19" x14ac:dyDescent="0.25">
      <c r="C249" s="180"/>
    </row>
    <row r="250" spans="3:19" x14ac:dyDescent="0.25">
      <c r="C250" s="180"/>
    </row>
    <row r="251" spans="3:19" x14ac:dyDescent="0.25">
      <c r="C251" s="180"/>
    </row>
    <row r="252" spans="3:19" x14ac:dyDescent="0.25">
      <c r="C252" s="180"/>
      <c r="H252" s="180"/>
      <c r="I252" s="180"/>
      <c r="J252" s="180"/>
      <c r="K252" s="180"/>
      <c r="L252" s="180"/>
      <c r="M252" s="180"/>
      <c r="N252" s="180"/>
      <c r="O252" s="180"/>
      <c r="P252" s="180"/>
      <c r="Q252" s="180"/>
      <c r="R252" s="180"/>
      <c r="S252" s="180"/>
    </row>
    <row r="253" spans="3:19" x14ac:dyDescent="0.25">
      <c r="C253" s="180"/>
      <c r="H253" s="180"/>
      <c r="I253" s="180"/>
      <c r="J253" s="180"/>
      <c r="K253" s="180"/>
      <c r="L253" s="180"/>
      <c r="M253" s="180"/>
      <c r="N253" s="180"/>
      <c r="O253" s="180"/>
      <c r="P253" s="180"/>
      <c r="Q253" s="180"/>
      <c r="R253" s="180"/>
      <c r="S253" s="180"/>
    </row>
    <row r="254" spans="3:19" x14ac:dyDescent="0.25">
      <c r="C254" s="180"/>
      <c r="H254" s="180"/>
      <c r="I254" s="180"/>
      <c r="J254" s="180"/>
      <c r="K254" s="180"/>
      <c r="L254" s="180"/>
      <c r="M254" s="180"/>
      <c r="N254" s="180"/>
      <c r="O254" s="180"/>
      <c r="P254" s="180"/>
      <c r="Q254" s="180"/>
      <c r="R254" s="180"/>
      <c r="S254" s="180"/>
    </row>
    <row r="255" spans="3:19" x14ac:dyDescent="0.25">
      <c r="C255" s="180"/>
      <c r="H255" s="180"/>
      <c r="I255" s="180"/>
      <c r="J255" s="180"/>
      <c r="K255" s="180"/>
      <c r="L255" s="180"/>
      <c r="M255" s="180"/>
      <c r="N255" s="180"/>
      <c r="O255" s="180"/>
      <c r="P255" s="180"/>
      <c r="Q255" s="180"/>
      <c r="R255" s="180"/>
      <c r="S255" s="180"/>
    </row>
    <row r="288" spans="3:3" x14ac:dyDescent="0.25">
      <c r="C288" s="180"/>
    </row>
    <row r="289" spans="3:3" x14ac:dyDescent="0.25">
      <c r="C289" s="180"/>
    </row>
    <row r="290" spans="3:3" x14ac:dyDescent="0.25">
      <c r="C290" s="180"/>
    </row>
    <row r="291" spans="3:3" x14ac:dyDescent="0.25">
      <c r="C291" s="180"/>
    </row>
    <row r="292" spans="3:3" x14ac:dyDescent="0.25">
      <c r="C292" s="180"/>
    </row>
    <row r="293" spans="3:3" x14ac:dyDescent="0.25">
      <c r="C293" s="180"/>
    </row>
    <row r="294" spans="3:3" x14ac:dyDescent="0.25">
      <c r="C294" s="180"/>
    </row>
    <row r="313" spans="9:16" s="180" customFormat="1" x14ac:dyDescent="0.25">
      <c r="I313" s="180">
        <v>15000000</v>
      </c>
      <c r="P313" s="180" t="s">
        <v>1067</v>
      </c>
    </row>
    <row r="332" spans="3:3" x14ac:dyDescent="0.25">
      <c r="C332" s="180"/>
    </row>
    <row r="333" spans="3:3" x14ac:dyDescent="0.25">
      <c r="C333" s="180"/>
    </row>
    <row r="334" spans="3:3" x14ac:dyDescent="0.25">
      <c r="C334" s="180"/>
    </row>
    <row r="335" spans="3:3" x14ac:dyDescent="0.25">
      <c r="C335" s="180"/>
    </row>
    <row r="336" spans="3:3" x14ac:dyDescent="0.25">
      <c r="C336" s="180"/>
    </row>
    <row r="337" spans="3:3" x14ac:dyDescent="0.25">
      <c r="C337" s="180"/>
    </row>
    <row r="338" spans="3:3" x14ac:dyDescent="0.25">
      <c r="C338" s="180"/>
    </row>
    <row r="339" spans="3:3" x14ac:dyDescent="0.25">
      <c r="C339" s="180"/>
    </row>
    <row r="407" spans="3:3" x14ac:dyDescent="0.25">
      <c r="C407" s="180"/>
    </row>
    <row r="408" spans="3:3" x14ac:dyDescent="0.25">
      <c r="C408" s="180"/>
    </row>
    <row r="409" spans="3:3" x14ac:dyDescent="0.25">
      <c r="C409" s="180"/>
    </row>
    <row r="410" spans="3:3" x14ac:dyDescent="0.25">
      <c r="C410" s="180"/>
    </row>
    <row r="411" spans="3:3" x14ac:dyDescent="0.25">
      <c r="C411" s="180"/>
    </row>
    <row r="412" spans="3:3" s="180" customFormat="1" x14ac:dyDescent="0.25"/>
    <row r="413" spans="3:3" x14ac:dyDescent="0.25">
      <c r="C413" s="627"/>
    </row>
    <row r="418" spans="8:13" s="180" customFormat="1" x14ac:dyDescent="0.25"/>
    <row r="419" spans="8:13" s="180" customFormat="1" x14ac:dyDescent="0.25"/>
    <row r="421" spans="8:13" s="180" customFormat="1" x14ac:dyDescent="0.25"/>
    <row r="430" spans="8:13" x14ac:dyDescent="0.25">
      <c r="H430" s="180"/>
      <c r="I430" s="180"/>
      <c r="J430" s="180"/>
      <c r="K430" s="180"/>
      <c r="L430" s="180"/>
      <c r="M430" s="180"/>
    </row>
    <row r="431" spans="8:13" x14ac:dyDescent="0.25">
      <c r="H431" s="180"/>
      <c r="I431" s="180"/>
      <c r="J431" s="180"/>
      <c r="K431" s="180"/>
      <c r="L431" s="180"/>
      <c r="M431" s="180"/>
    </row>
    <row r="432" spans="8:13" x14ac:dyDescent="0.25">
      <c r="H432" s="180"/>
      <c r="I432" s="180"/>
      <c r="J432" s="180"/>
      <c r="K432" s="180"/>
      <c r="L432" s="180"/>
      <c r="M432" s="180"/>
    </row>
    <row r="433" spans="3:13" x14ac:dyDescent="0.25">
      <c r="H433" s="180"/>
      <c r="I433" s="180"/>
      <c r="J433" s="180"/>
      <c r="K433" s="180"/>
      <c r="L433" s="180"/>
      <c r="M433" s="180"/>
    </row>
    <row r="434" spans="3:13" x14ac:dyDescent="0.25">
      <c r="H434" s="180"/>
      <c r="I434" s="180"/>
      <c r="J434" s="180"/>
      <c r="K434" s="180"/>
      <c r="L434" s="180"/>
      <c r="M434" s="180"/>
    </row>
    <row r="435" spans="3:13" x14ac:dyDescent="0.25">
      <c r="H435" s="180"/>
      <c r="I435" s="180"/>
      <c r="J435" s="180"/>
      <c r="K435" s="180"/>
      <c r="L435" s="180"/>
      <c r="M435" s="180"/>
    </row>
    <row r="436" spans="3:13" x14ac:dyDescent="0.25">
      <c r="H436" s="180"/>
      <c r="I436" s="180"/>
      <c r="J436" s="180"/>
      <c r="K436" s="180"/>
      <c r="L436" s="180"/>
      <c r="M436" s="180"/>
    </row>
    <row r="437" spans="3:13" x14ac:dyDescent="0.25">
      <c r="C437" s="180"/>
    </row>
    <row r="438" spans="3:13" x14ac:dyDescent="0.25">
      <c r="C438" s="180"/>
    </row>
    <row r="453" spans="3:3" x14ac:dyDescent="0.25">
      <c r="C453" s="180"/>
    </row>
    <row r="454" spans="3:3" x14ac:dyDescent="0.25">
      <c r="C454" s="180"/>
    </row>
    <row r="455" spans="3:3" x14ac:dyDescent="0.25">
      <c r="C455" s="180"/>
    </row>
    <row r="456" spans="3:3" x14ac:dyDescent="0.25">
      <c r="C456" s="180"/>
    </row>
    <row r="457" spans="3:3" x14ac:dyDescent="0.25">
      <c r="C457" s="180"/>
    </row>
    <row r="458" spans="3:3" x14ac:dyDescent="0.25">
      <c r="C458" s="180"/>
    </row>
    <row r="459" spans="3:3" x14ac:dyDescent="0.25">
      <c r="C459" s="180"/>
    </row>
    <row r="460" spans="3:3" x14ac:dyDescent="0.25">
      <c r="C460" s="180"/>
    </row>
    <row r="461" spans="3:3" x14ac:dyDescent="0.25">
      <c r="C461" s="180"/>
    </row>
    <row r="462" spans="3:3" s="180" customFormat="1" x14ac:dyDescent="0.25"/>
    <row r="463" spans="3:3" x14ac:dyDescent="0.25">
      <c r="C463" s="180"/>
    </row>
    <row r="464" spans="3:3" x14ac:dyDescent="0.25">
      <c r="C464" s="180"/>
    </row>
    <row r="524" spans="20:20" s="167" customFormat="1" x14ac:dyDescent="0.25">
      <c r="T524" s="167" t="s">
        <v>1068</v>
      </c>
    </row>
    <row r="525" spans="20:20" s="167" customFormat="1" x14ac:dyDescent="0.25"/>
    <row r="527" spans="20:20" s="167" customFormat="1" x14ac:dyDescent="0.25"/>
    <row r="528" spans="20:20" s="167" customFormat="1" x14ac:dyDescent="0.25"/>
    <row r="529" spans="5:7" s="167" customFormat="1" x14ac:dyDescent="0.25">
      <c r="E529" s="167">
        <v>59</v>
      </c>
      <c r="G529" s="167">
        <v>19</v>
      </c>
    </row>
    <row r="530" spans="5:7" s="167" customFormat="1" x14ac:dyDescent="0.25"/>
    <row r="531" spans="5:7" s="167" customFormat="1" ht="72" customHeight="1" x14ac:dyDescent="0.25"/>
    <row r="532" spans="5:7" s="167" customFormat="1" x14ac:dyDescent="0.25"/>
    <row r="533" spans="5:7" s="167" customFormat="1" x14ac:dyDescent="0.25"/>
    <row r="534" spans="5:7" s="167" customFormat="1" ht="108.75" customHeight="1" x14ac:dyDescent="0.25"/>
    <row r="535" spans="5:7" s="167" customFormat="1" x14ac:dyDescent="0.25"/>
    <row r="536" spans="5:7" s="180" customFormat="1" x14ac:dyDescent="0.25"/>
    <row r="538" spans="5:7" s="180" customFormat="1" x14ac:dyDescent="0.25"/>
    <row r="539" spans="5:7" s="180" customForma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CULTURA UNIFICADO</vt:lpstr>
      <vt:lpstr>Hoja1</vt:lpstr>
      <vt:lpstr>'CULTURA UNIFICADO'!Área_de_impresión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Molano Lozada</dc:creator>
  <cp:lastModifiedBy>RAFAEL ENRIQUE ROMERO PAYARES</cp:lastModifiedBy>
  <dcterms:created xsi:type="dcterms:W3CDTF">2026-07-27T20:25:01Z</dcterms:created>
  <dcterms:modified xsi:type="dcterms:W3CDTF">2026-10-07T03:19:38Z</dcterms:modified>
</cp:coreProperties>
</file>