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mc:AlternateContent xmlns:mc="http://schemas.openxmlformats.org/markup-compatibility/2006">
    <mc:Choice Requires="x15">
      <x15ac:absPath xmlns:x15ac="http://schemas.microsoft.com/office/spreadsheetml/2010/11/ac" url="https://d.docs.live.net/7b4742faa0837b2a/Documentos/TRABAJO/FISCALIA/PROCESOS/ELEMENTOS DE LABORATORIO/"/>
    </mc:Choice>
  </mc:AlternateContent>
  <xr:revisionPtr revIDLastSave="16" documentId="8_{7A48E58A-317D-420A-9148-6B83B9EF9EF4}" xr6:coauthVersionLast="47" xr6:coauthVersionMax="47" xr10:uidLastSave="{21C46587-D14D-4212-AECB-24EB817A90B9}"/>
  <bookViews>
    <workbookView xWindow="-98" yWindow="-98" windowWidth="21795" windowHeight="12975" tabRatio="500" firstSheet="1" activeTab="1" xr2:uid="{00000000-000D-0000-FFFF-FFFF00000000}"/>
  </bookViews>
  <sheets>
    <sheet name="PORTADA" sheetId="1" r:id="rId1"/>
    <sheet name="ANEXO 1 - COTIZACIONES" sheetId="2" r:id="rId2"/>
    <sheet name="ANEXO 2 - HISTÓRICO" sheetId="3" r:id="rId3"/>
    <sheet name="ANEXO 3 - CONSOLIDADO" sheetId="4" r:id="rId4"/>
    <sheet name="ANEXO 4 - MERCADO DEFINITIVO" sheetId="5" r:id="rId5"/>
    <sheet name="ÍNDICES IPC" sheetId="7" r:id="rId6"/>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ExcelA1"/>
    </ext>
  </extLst>
</workbook>
</file>

<file path=xl/calcChain.xml><?xml version="1.0" encoding="utf-8"?>
<calcChain xmlns="http://schemas.openxmlformats.org/spreadsheetml/2006/main">
  <c r="K21" i="4" l="1"/>
  <c r="K19" i="4"/>
  <c r="J11" i="4"/>
  <c r="I11" i="4"/>
  <c r="H11" i="4"/>
  <c r="G11" i="4"/>
  <c r="F11" i="4"/>
  <c r="E11" i="4"/>
  <c r="E21" i="4" s="1"/>
  <c r="E29" i="4" s="1"/>
  <c r="F10" i="5" s="1"/>
  <c r="J10" i="4"/>
  <c r="I10" i="4"/>
  <c r="H10" i="4"/>
  <c r="G10" i="4"/>
  <c r="F10" i="4"/>
  <c r="E10" i="4"/>
  <c r="E20" i="4" s="1"/>
  <c r="E28" i="4" s="1"/>
  <c r="F9" i="5" s="1"/>
  <c r="J9" i="4"/>
  <c r="I9" i="4"/>
  <c r="H9" i="4"/>
  <c r="G9" i="4"/>
  <c r="F9" i="4"/>
  <c r="E9" i="4"/>
  <c r="E19" i="4" s="1"/>
  <c r="E27" i="4" s="1"/>
  <c r="F8" i="5" s="1"/>
  <c r="J8" i="4"/>
  <c r="I8" i="4"/>
  <c r="H8" i="4"/>
  <c r="G8" i="4"/>
  <c r="F8" i="4"/>
  <c r="E8" i="4"/>
  <c r="E18" i="4" s="1"/>
  <c r="E26" i="4" s="1"/>
  <c r="F7" i="5" s="1"/>
  <c r="D4" i="4"/>
  <c r="G16" i="3"/>
  <c r="H16" i="3" s="1"/>
  <c r="P15" i="3"/>
  <c r="L15" i="3"/>
  <c r="G15" i="3"/>
  <c r="H15" i="3" s="1"/>
  <c r="G14" i="3"/>
  <c r="H14" i="3" s="1"/>
  <c r="G13" i="3"/>
  <c r="H13" i="3" s="1"/>
  <c r="P12" i="3"/>
  <c r="L12" i="3"/>
  <c r="G12" i="3"/>
  <c r="H12" i="3" s="1"/>
  <c r="H17" i="3" s="1"/>
  <c r="D8" i="3"/>
  <c r="E19" i="7" s="1"/>
  <c r="P11" i="2"/>
  <c r="N11" i="2"/>
  <c r="M11" i="2"/>
  <c r="L11" i="2"/>
  <c r="K11" i="2"/>
  <c r="P10" i="2"/>
  <c r="N10" i="2"/>
  <c r="M10" i="2"/>
  <c r="L10" i="2"/>
  <c r="K10" i="2"/>
  <c r="P9" i="2"/>
  <c r="N9" i="2"/>
  <c r="M9" i="2"/>
  <c r="L9" i="2"/>
  <c r="K9" i="2"/>
  <c r="P8" i="2"/>
  <c r="N8" i="2"/>
  <c r="M8" i="2"/>
  <c r="L8" i="2"/>
  <c r="K8" i="2"/>
  <c r="M15" i="3" l="1"/>
  <c r="M12" i="3"/>
  <c r="O11" i="2"/>
  <c r="S10" i="2"/>
  <c r="S9" i="2"/>
  <c r="S8" i="2"/>
  <c r="L11" i="4"/>
  <c r="N11" i="4"/>
  <c r="M11" i="4"/>
  <c r="L9" i="4"/>
  <c r="M9" i="4"/>
  <c r="N9" i="4"/>
  <c r="N15" i="3"/>
  <c r="O15" i="3"/>
  <c r="Q15" i="3" s="1"/>
  <c r="F22" i="3"/>
  <c r="K10" i="4"/>
  <c r="N12" i="3"/>
  <c r="O12" i="3"/>
  <c r="Q12" i="3" s="1"/>
  <c r="Q17" i="3" s="1"/>
  <c r="F21" i="3"/>
  <c r="K8" i="4"/>
  <c r="N8" i="4" s="1"/>
  <c r="R11" i="2"/>
  <c r="S11" i="2"/>
  <c r="Q11" i="2"/>
  <c r="T11" i="2" s="1"/>
  <c r="R10" i="2"/>
  <c r="Q10" i="2"/>
  <c r="T10" i="2" s="1"/>
  <c r="I22" i="3"/>
  <c r="O10" i="2"/>
  <c r="R9" i="2"/>
  <c r="Q9" i="2"/>
  <c r="T9" i="2" s="1"/>
  <c r="O9" i="2"/>
  <c r="I21" i="3"/>
  <c r="Q8" i="2"/>
  <c r="T8" i="2" s="1"/>
  <c r="R8" i="2"/>
  <c r="O8" i="2"/>
  <c r="O11" i="4" l="1"/>
  <c r="P11" i="4"/>
  <c r="O9" i="4"/>
  <c r="P9" i="4"/>
  <c r="L10" i="4"/>
  <c r="L22" i="3"/>
  <c r="N22" i="3"/>
  <c r="L21" i="3"/>
  <c r="N21" i="3"/>
  <c r="N10" i="4"/>
  <c r="M10" i="4"/>
  <c r="L8" i="4"/>
  <c r="M8" i="4"/>
  <c r="F21" i="4" l="1"/>
  <c r="I21" i="4"/>
  <c r="G21" i="4"/>
  <c r="H21" i="4"/>
  <c r="J21" i="4"/>
  <c r="Q11" i="4"/>
  <c r="F19" i="4"/>
  <c r="G19" i="4"/>
  <c r="H19" i="4"/>
  <c r="I19" i="4"/>
  <c r="J19" i="4"/>
  <c r="Q9" i="4"/>
  <c r="P10" i="4"/>
  <c r="O10" i="4"/>
  <c r="P8" i="4"/>
  <c r="O8" i="4"/>
  <c r="L21" i="4" l="1"/>
  <c r="Q21" i="4"/>
  <c r="N21" i="4"/>
  <c r="M21" i="4"/>
  <c r="N19" i="4"/>
  <c r="M19" i="4"/>
  <c r="L19" i="4"/>
  <c r="Q19" i="4"/>
  <c r="K20" i="4"/>
  <c r="F20" i="4"/>
  <c r="H20" i="4"/>
  <c r="G20" i="4"/>
  <c r="I20" i="4"/>
  <c r="J20" i="4"/>
  <c r="Q10" i="4"/>
  <c r="H18" i="4"/>
  <c r="K18" i="4"/>
  <c r="I18" i="4"/>
  <c r="J18" i="4"/>
  <c r="Q8" i="4"/>
  <c r="F18" i="4"/>
  <c r="G18" i="4"/>
  <c r="O21" i="4" l="1"/>
  <c r="P21" i="4"/>
  <c r="O19" i="4"/>
  <c r="P19" i="4"/>
  <c r="Q20" i="4"/>
  <c r="N20" i="4"/>
  <c r="M20" i="4"/>
  <c r="L20" i="4"/>
  <c r="L18" i="4"/>
  <c r="M18" i="4"/>
  <c r="N18" i="4"/>
  <c r="Q18" i="4"/>
  <c r="R21" i="4" l="1"/>
  <c r="S21" i="4"/>
  <c r="R19" i="4"/>
  <c r="S19" i="4"/>
  <c r="O20" i="4"/>
  <c r="P20" i="4"/>
  <c r="O18" i="4"/>
  <c r="P18" i="4"/>
  <c r="F29" i="4" l="1"/>
  <c r="F27" i="4"/>
  <c r="R20" i="4"/>
  <c r="S20" i="4"/>
  <c r="R18" i="4"/>
  <c r="S18" i="4"/>
  <c r="G29" i="4" l="1"/>
  <c r="G10" i="5"/>
  <c r="G27" i="4"/>
  <c r="G8" i="5"/>
  <c r="F28" i="4"/>
  <c r="F26" i="4"/>
  <c r="H8" i="5" l="1"/>
  <c r="I8" i="5" s="1"/>
  <c r="J8" i="5" s="1"/>
  <c r="H27" i="4"/>
  <c r="I27" i="4" s="1"/>
  <c r="G28" i="4"/>
  <c r="G9" i="5"/>
  <c r="G26" i="4"/>
  <c r="H26" i="4" s="1"/>
  <c r="I26" i="4" s="1"/>
  <c r="I30" i="4"/>
  <c r="G7" i="5"/>
  <c r="H10" i="5"/>
  <c r="I10" i="5" s="1"/>
  <c r="J10" i="5" s="1"/>
  <c r="H29" i="4"/>
  <c r="I29" i="4" s="1"/>
  <c r="H9" i="5" l="1"/>
  <c r="I9" i="5" s="1"/>
  <c r="J9" i="5" s="1"/>
  <c r="H28" i="4"/>
  <c r="I28" i="4" s="1"/>
  <c r="I31" i="4"/>
  <c r="H7" i="5"/>
  <c r="J11" i="5"/>
  <c r="I32" i="4"/>
  <c r="J12" i="5" l="1"/>
  <c r="I7" i="5"/>
  <c r="J7" i="5" s="1"/>
  <c r="J13" i="5" s="1"/>
  <c r="I15" i="5" l="1"/>
  <c r="C33"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Unknown Author</author>
  </authors>
  <commentList>
    <comment ref="D6" authorId="0" shapeId="0" xr:uid="{00000000-0006-0000-0200-000001000000}">
      <text>
        <r>
          <rPr>
            <sz val="10"/>
            <rFont val="Arial"/>
            <family val="2"/>
          </rPr>
          <t>DANE, Índices de Precios al Consumidor – Serie de empalme, base diciembre de 2018 = 100. Archivo anexIPCIndicesjul2026.xlsx, actualizado el 10 de agosto de 2026.</t>
        </r>
      </text>
    </comment>
  </commentList>
</comments>
</file>

<file path=xl/sharedStrings.xml><?xml version="1.0" encoding="utf-8"?>
<sst xmlns="http://schemas.openxmlformats.org/spreadsheetml/2006/main" count="352" uniqueCount="225">
  <si>
    <t>ESTUDIO DEL SECTOR – ANÁLISIS ECONÓMICO Y DETERMINACIÓN DEL VALOR DE MERCADO</t>
  </si>
  <si>
    <t>Entidad</t>
  </si>
  <si>
    <t>Fiscalía General de la Nación – Nivel Central</t>
  </si>
  <si>
    <t>Dependencia solicitante</t>
  </si>
  <si>
    <t>Grupo Genética – Departamento de Criminalística – Dirección del Cuerpo Técnico de Investigación (CTI)</t>
  </si>
  <si>
    <t>Objeto</t>
  </si>
  <si>
    <t>ADQUISICIÓN DE ELEMENTOS DE LABORATORIO PARA EXTRACCIÓN DE ADN Y PCR CON DESTINO AL GRUPO DE GENÉTICA DEL CUERPO TÉCNICO DE INVESTIGACIÓN - CTI DE LA FISCALÍA GENERAL DE LA NACIÓN.</t>
  </si>
  <si>
    <t>Modalidad de selección (PAA)</t>
  </si>
  <si>
    <t>Mínima cuantía</t>
  </si>
  <si>
    <t>Tipo de contrato</t>
  </si>
  <si>
    <t>Compraventa</t>
  </si>
  <si>
    <t>Presupuesto registrado en el PAA</t>
  </si>
  <si>
    <t>Proceso de solicitud de información</t>
  </si>
  <si>
    <t>SIP FGN-SIP-481-2026 – SECOP II (Id CO1.REQ.10832270)</t>
  </si>
  <si>
    <t>Antecedente contractual</t>
  </si>
  <si>
    <t>FGN-NC-MC-0072-2024 / Contrato 287 de 2024 (propuesta económica aportada por el área)</t>
  </si>
  <si>
    <t>Fecha de elaboración</t>
  </si>
  <si>
    <t>26 de agosto de 2026</t>
  </si>
  <si>
    <t>CONTENIDO DEL LIBRO</t>
  </si>
  <si>
    <t>ANEXO 1 - COTIZACIONES</t>
  </si>
  <si>
    <t>Matriz de las cinco (5) cotizaciones y estadística descriptiva por ítem: mínimo, promedio, máximo, mediana, media aritmética baja, desviación estándar, límite superior y mínimo aceptado.</t>
  </si>
  <si>
    <t>ANEXO 2 - HISTÓRICO</t>
  </si>
  <si>
    <t>Contrato 287 de 2024: homologación de la unidad de medida e indexación por IPC de diciembre de 2024 a julio de 2026.</t>
  </si>
  <si>
    <t>ANEXO 3 - CONSOLIDADO</t>
  </si>
  <si>
    <t>Consolidación de cotizaciones e histórico indexado, depuración estadística en dos rondas y determinación del valor unitario adoptado.</t>
  </si>
  <si>
    <t>ANEXO 4 - MERCADO DEFINITIVO</t>
  </si>
  <si>
    <t>Cuadro definitivo del estudio de mercado y comparación con el presupuesto del Plan Anual de Adquisiciones.</t>
  </si>
  <si>
    <t>ÍNDICES IPC</t>
  </si>
  <si>
    <t>Serie de empalme del DANE utilizada para la indexación.</t>
  </si>
  <si>
    <t>METODOLOGÍA APLICADA PARA LA DETERMINACIÓN DEL PRECIO</t>
  </si>
  <si>
    <t>Universo de datos</t>
  </si>
  <si>
    <t>Cinco (5) cotizaciones comparables más el valor histórico del contrato 287 de 2024 homologado a la unidad de medida requerida e indexado a julio de 2026. Los ítems 1 y 3 cuentan con seis (6) datos y los ítems 2 y 4 con cinco (5), por cuanto el contrato histórico no incluyó puntas de 20 µl ni tubos de 15 ml.</t>
  </si>
  <si>
    <t>Unidad de comparación</t>
  </si>
  <si>
    <t>Valor unitario SIN IVA por caja en la presentación exigida (caja x 4.800 puntas y caja x 500 tubos).</t>
  </si>
  <si>
    <t>Primera ronda – depuración</t>
  </si>
  <si>
    <t>Se calculan el promedio y la desviación estándar muestral del conjunto completo. Se define el LÍMITE SUPERIOR como promedio + una (1) desviación estándar. Los datos que superan ese límite se subrayan y se excluyen del cálculo por considerarse atípicos por exceso.</t>
  </si>
  <si>
    <t>Segunda ronda – estadística depurada</t>
  </si>
  <si>
    <t>Con los datos retenidos se recalculan el promedio y la desviación estándar, y se define el MÍNIMO ACEPTADO como promedio − una (1) desviación estándar.</t>
  </si>
  <si>
    <t>Determinación del precio</t>
  </si>
  <si>
    <t>Se evalúa si el menor valor del conjunto depurado es razonable, esto es, si resulta igual o superior al mínimo aceptado. Si lo es, se adopta ese menor valor como precio de mercado del ítem. Si no lo es, se descarta por atípico por defecto y se adopta el menor valor que sí alcance el mínimo aceptado.</t>
  </si>
  <si>
    <t>Fundamento del criterio</t>
  </si>
  <si>
    <t>El intervalo promedio ± una desviación estándar permite excluir simultáneamente los valores atípicos por exceso —que inflarían el presupuesto oficial— y los valores atípicos por defecto, asociados al riesgo de oferta artificialmente baja. La selección del menor valor razonable maximiza la eficiencia en el gasto sin sustentar el presupuesto en un dato no representativo.</t>
  </si>
  <si>
    <t>Tratamiento del IVA</t>
  </si>
  <si>
    <t>Tarifa general del 19 % sobre el valor unitario sin IVA. En la modalidad de mínima cuantía el valor que se compara es el valor total incluidos los impuestos.</t>
  </si>
  <si>
    <t>Tratamiento del descuento</t>
  </si>
  <si>
    <t>El descuento del 5 % ofrecido por EXPERT está condicionado a la compra de la totalidad de los ítems en las cantidades de su propia propuesta (23/33/20/40), que no coinciden con las requeridas. Se toma el precio de lista; el escenario con descuento se presenta en el ANEXO 5.</t>
  </si>
  <si>
    <t>Cotizaciones excluidas</t>
  </si>
  <si>
    <t>La cotización 620-1 del 29/07/2026 de MR Y CÍA S.A.S. no se incorpora para no ponderar dos veces al mismo proveedor, cuya oferta del 18/08/2026 presentada en el SIP FGN-SIP-481-2026 sí se incluye por ser posterior y provenir de un evento público y abierto.</t>
  </si>
  <si>
    <t>RESULTADO</t>
  </si>
  <si>
    <t>VALOR DEL ESTUDIO DEL SECTOR (incluidos todos los costos directos e indirectos e IVA)</t>
  </si>
  <si>
    <t>ANEXO 1 – ANÁLISIS ESTADÍSTICO DE LAS COTIZACIONES</t>
  </si>
  <si>
    <t>NECESIDAD</t>
  </si>
  <si>
    <t>COTIZACIONES – VALOR UNITARIO SIN IVA (por caja)</t>
  </si>
  <si>
    <t>ESTADÍSTICA DESCRIPTIVA POR ÍTEM (sobre el valor unitario sin IVA)</t>
  </si>
  <si>
    <t>IDENTIFICACIÓN DEL BIEN REQUERIDO</t>
  </si>
  <si>
    <t>COTIZACIÓN 1
EQUIMED LTDA</t>
  </si>
  <si>
    <t>COTIZACIÓN 2
EXPERT INGENIERÍA E INSTRUMENTOS S.A.S.</t>
  </si>
  <si>
    <t>COTIZACIÓN 3
INSTRUMENTOS Y MEDICIONES INDUSTRIALES S.A.S. (INSYMED)</t>
  </si>
  <si>
    <t>COTIZACIÓN 4
MR Y CÍA S.A.S.</t>
  </si>
  <si>
    <t>COTIZACIÓN 5
CAHOZ INVERSIONES S.A.S. (NVP LAB)</t>
  </si>
  <si>
    <t>MÍNIMO</t>
  </si>
  <si>
    <t>PROMEDIO</t>
  </si>
  <si>
    <t>MÁXIMO</t>
  </si>
  <si>
    <t>MEDIANA</t>
  </si>
  <si>
    <t>MEDIA ARITMÉTICA BAJA</t>
  </si>
  <si>
    <t>DESVIACIÓN ESTÁNDAR</t>
  </si>
  <si>
    <t>LÍMITE SUPERIOR
(promedio + 1 σ)</t>
  </si>
  <si>
    <t>MÍNIMO ACEPTADO
(promedio − 1 σ)</t>
  </si>
  <si>
    <t>COEFICIENTE DE VARIACIÓN</t>
  </si>
  <si>
    <t>DATOS SOBRE EL LÍMITE</t>
  </si>
  <si>
    <t>ÍTEM</t>
  </si>
  <si>
    <t>DESCRIPCIÓN DEL BIEN (según especificaciones técnicas)</t>
  </si>
  <si>
    <t>UNIDAD DE MEDIDA</t>
  </si>
  <si>
    <t>CANTIDAD</t>
  </si>
  <si>
    <t>Puntas De Micropipetas 10 µl Con Filtro Anti-Aerosol</t>
  </si>
  <si>
    <t>CAJA X 4800</t>
  </si>
  <si>
    <t>Puntas De Micropipetas 20 µl Con Filtro Anti-Aerosol</t>
  </si>
  <si>
    <t>Tubos de centrífuga de 50 ml PP</t>
  </si>
  <si>
    <t>CAJA X 500</t>
  </si>
  <si>
    <t>Tubos de centrífuga de 15 ml PP</t>
  </si>
  <si>
    <t>Los valores subrayados y resaltados superan el límite superior (promedio + 1 desviación estándar) y se excluyen del cálculo en el ANEXO 3.</t>
  </si>
  <si>
    <t>N°</t>
  </si>
  <si>
    <t>RAZÓN SOCIAL</t>
  </si>
  <si>
    <t>NIT</t>
  </si>
  <si>
    <t>FECHA</t>
  </si>
  <si>
    <t>ORIGEN DEL INSUMO</t>
  </si>
  <si>
    <t>EQUIMED LTDA</t>
  </si>
  <si>
    <t>860.064.146-1</t>
  </si>
  <si>
    <t>16/07/2026</t>
  </si>
  <si>
    <t>Cotización SO27647 – sondeo directo</t>
  </si>
  <si>
    <t>EXPERT INGENIERÍA E INSTRUMENTOS S.A.S.</t>
  </si>
  <si>
    <t>830.009.701-7</t>
  </si>
  <si>
    <t>29/07/2026</t>
  </si>
  <si>
    <t>Cotización 20260212001100AC0406 – sondeo directo</t>
  </si>
  <si>
    <t>INSTRUMENTOS Y MEDICIONES INDUSTRIALES S.A.S. (INSYMED)</t>
  </si>
  <si>
    <t>830.512.338-2</t>
  </si>
  <si>
    <t>18/08/2026</t>
  </si>
  <si>
    <t>Oferta SECOP II – SIP FGN-SIP-481-2026</t>
  </si>
  <si>
    <t>MR Y CÍA S.A.S.</t>
  </si>
  <si>
    <t>811.026.956-0</t>
  </si>
  <si>
    <t>CAHOZ INVERSIONES S.A.S. (NVP LAB)</t>
  </si>
  <si>
    <t>900.730.558-4</t>
  </si>
  <si>
    <t>19/08/2026</t>
  </si>
  <si>
    <t>NOTAS:</t>
  </si>
  <si>
    <t>1) Las cinco cotizaciones ofertan en la presentación exigida por la Entidad (caja x 4.800 puntas y caja x 500 tubos), por lo que los valores unitarios son directamente comparables.</t>
  </si>
  <si>
    <t>2) La desviación estándar se calcula como desviación muestral (función STDEV), por tratarse de una muestra del mercado y no de su universo.</t>
  </si>
  <si>
    <t>3) El límite superior (promedio + 1 σ) y el mínimo aceptado (promedio − 1 σ) de esta hoja se calculan únicamente sobre las cotizaciones. La depuración y la determinación del precio se efectúan en el ANEXO 3, que incorpora además el histórico indexado.</t>
  </si>
  <si>
    <t>4) El coeficiente de variación mide la dispersión relativa de los precios cotizados y constituye el insumo del ítem 4 de la lista de chequeo de riesgo de colusión del numeral 8 del formato FGN-AP07-F-32.</t>
  </si>
  <si>
    <t>5) Las celdas en azul son datos de entrada tomados directamente de las cotizaciones; las celdas en negro son fórmulas.</t>
  </si>
  <si>
    <t>ANEXO 2 – ANÁLISIS DE COSTOS HISTÓRICOS DE LA FISCALÍA GENERAL DE LA NACIÓN (INDEXACIÓN IPC)</t>
  </si>
  <si>
    <t>Fuente: FORMATO PROPUESTA ECONÓMICA – Contrato 287 de 2024 (proceso FGN-NC-MC-0072-2024), aportado por el área requirente.</t>
  </si>
  <si>
    <t>Tarifa de IVA</t>
  </si>
  <si>
    <t>PARÁMETROS DE INDEXACIÓN</t>
  </si>
  <si>
    <t>Índice IPC diciembre de 2024</t>
  </si>
  <si>
    <t>Índice IPC julio de 2026</t>
  </si>
  <si>
    <t>Factor de indexación (jul-2026 / dic-2024)</t>
  </si>
  <si>
    <t>CONDICIONES DEL CONTRATO 287 DE 2024</t>
  </si>
  <si>
    <t>HOMOLOGACIÓN A LA UNIDAD DE MEDIDA REQUERIDA</t>
  </si>
  <si>
    <t>VALOR HISTÓRICO INDEXADO A JULIO DE 2026</t>
  </si>
  <si>
    <t>DESCRIPCIÓN DEL BIEN CONTRATADO EN 2024</t>
  </si>
  <si>
    <t>UNIDAD DE MEDIDA 2024</t>
  </si>
  <si>
    <t>CANTIDAD 2024</t>
  </si>
  <si>
    <t>VALOR UNITARIO SIN IVA 2024</t>
  </si>
  <si>
    <t>IVA UNITARIO 2024</t>
  </si>
  <si>
    <t>VALOR TOTAL CON IVA 2024</t>
  </si>
  <si>
    <t>ÍTEM ACTUAL</t>
  </si>
  <si>
    <t>UNIDAD REQUERIDA</t>
  </si>
  <si>
    <t>FACTOR DE CONVERSIÓN</t>
  </si>
  <si>
    <t>VALOR UNITARIO SIN IVA HOMOLOGADO</t>
  </si>
  <si>
    <t>VALOR UNITARIO SIN IVA INDEXADO</t>
  </si>
  <si>
    <t>IVA UNITARIO</t>
  </si>
  <si>
    <t>VALOR UNITARIO CON IVA</t>
  </si>
  <si>
    <t>CANTIDAD REQUERIDA</t>
  </si>
  <si>
    <t>VALOR TOTAL CON IVA</t>
  </si>
  <si>
    <t>Puntas capacidad de 10 µl con filtro anti aerosol para micropipetas</t>
  </si>
  <si>
    <t>Rack x 96 puntas</t>
  </si>
  <si>
    <t>Puntas capacidad de 200 µl con filtro anti aerosol para micropipetas</t>
  </si>
  <si>
    <t>NO COMPARABLE</t>
  </si>
  <si>
    <t>N/A</t>
  </si>
  <si>
    <t>Puntas capacidad de 1000 µl con filtro anti aerosol para micropipetas</t>
  </si>
  <si>
    <t>Tubos de centrífuga de 50 ml en polipropileno</t>
  </si>
  <si>
    <t>Tubos</t>
  </si>
  <si>
    <t>Unidades de filtrado desechables estériles Nalgene™ Rapid-Flow™</t>
  </si>
  <si>
    <t>Filtros</t>
  </si>
  <si>
    <t>TOTAL CONTRATO 287 DE 2024 (con IVA)</t>
  </si>
  <si>
    <t>TOTAL ÍTEMS HOMOLOGABLES INDEXADOS (con IVA)</t>
  </si>
  <si>
    <t>CONTRASTE DEL HISTÓRICO INDEXADO FRENTE AL PROMEDIO DE LAS COTIZACIONES</t>
  </si>
  <si>
    <t>DESCRIPCIÓN</t>
  </si>
  <si>
    <t>UNIDAD</t>
  </si>
  <si>
    <t>HISTÓRICO INDEXADO SIN IVA</t>
  </si>
  <si>
    <t>PROMEDIO DE COTIZACIONES SIN IVA</t>
  </si>
  <si>
    <t>DIFERENCIA</t>
  </si>
  <si>
    <t>VARIACIÓN %</t>
  </si>
  <si>
    <t>2) La proyección se efectúa sobre el valor unitario ANTES de IVA; el impuesto se recalcula sobre el valor indexado a la tarifa vigente.</t>
  </si>
  <si>
    <t>3) Solo dos (2) de los cinco (5) ítems del contrato 287 de 2024 son homologables. El contrato de 2024 no incluyó tubos de 15 ml y las puntas contratadas de 200 µl y 1.000 µl no corresponden a la necesidad actual.</t>
  </si>
  <si>
    <t>4) La homologación de la unidad de medida se efectúa por equivalencia de contenido: 4.800 puntas por caja / 96 puntas por rack = 50 racks por caja; y 500 tubos por caja.</t>
  </si>
  <si>
    <t>5) Los valores indexados de los ítems 1 y 3 se incorporan al conjunto de datos del ANEXO 3 como un dato más del mercado, sujeto a las mismas reglas de depuración estadística.</t>
  </si>
  <si>
    <t>ANEXO 3 – CONSOLIDADO DE COTIZACIONES E HISTÓRICO, DEPURACIÓN ESTADÍSTICA Y DETERMINACIÓN DEL PRECIO</t>
  </si>
  <si>
    <t>A. PRIMERA RONDA – CONJUNTO COMPLETO DE DATOS Y DEFINICIÓN DEL LÍMITE SUPERIOR</t>
  </si>
  <si>
    <t>VALOR UNITARIO SIN IVA POR CAJA – FUENTES DE MERCADO</t>
  </si>
  <si>
    <t>ESTADÍSTICA – PRIMERA RONDA</t>
  </si>
  <si>
    <t>INSYMED S.A.S.</t>
  </si>
  <si>
    <t>HISTÓRICO CTO 287/2024 INDEXADO</t>
  </si>
  <si>
    <t>n</t>
  </si>
  <si>
    <t>DATOS EXCLUIDOS POR EXCESO</t>
  </si>
  <si>
    <t>Regla de depuración: los valores subrayados y resaltados superan el LÍMITE SUPERIOR (promedio + 1 desviación estándar) y no se tienen en cuenta en la segunda ronda.</t>
  </si>
  <si>
    <t>B. SEGUNDA RONDA – DATOS DEPURADOS, MÍNIMO ACEPTADO Y SELECCIÓN DEL PRECIO</t>
  </si>
  <si>
    <t>MATRIZ DEPURADA (los datos excluidos se marcan como EXCLUIDO)</t>
  </si>
  <si>
    <t>ESTADÍSTICA – SEGUNDA RONDA</t>
  </si>
  <si>
    <t>EVALUACIÓN DEL MENOR VALOR Y PRECIO ADOPTADO</t>
  </si>
  <si>
    <t>PROMEDIO DEPURADO</t>
  </si>
  <si>
    <t>MENOR VALOR OBSERVADO</t>
  </si>
  <si>
    <t>¿EL MENOR VALOR ES RAZONABLE?</t>
  </si>
  <si>
    <t>VALOR UNITARIO ADOPTADO SIN IVA</t>
  </si>
  <si>
    <t>Cuando el menor valor observado no alcanza el MÍNIMO ACEPTADO se considera atípico por defecto —riesgo de precio artificialmente bajo— y se adopta el menor valor que sí lo alcanza.</t>
  </si>
  <si>
    <t>C. DETERMINACIÓN DEL VALOR DE MERCADO</t>
  </si>
  <si>
    <t>VALOR UNITARIO SIN IVA</t>
  </si>
  <si>
    <t>SUBTOTAL SIN IVA</t>
  </si>
  <si>
    <t>IVA TOTAL</t>
  </si>
  <si>
    <t>TOTAL VALOR DE MERCADO INCLUIDO IVA</t>
  </si>
  <si>
    <t>1) El conjunto de datos está integrado por las cinco (5) cotizaciones del ANEXO 1 y por el valor histórico del contrato 287 de 2024 homologado e indexado del ANEXO 2. Los ítems 2 y 4 cuentan con cinco (5) datos porque ese contrato no incluyó puntas de 20 µl ni tubos de 15 ml.</t>
  </si>
  <si>
    <t>2) La desviación estándar se calcula como desviación muestral (función STDEV).</t>
  </si>
  <si>
    <t>3) Primera ronda: se excluyen los valores superiores al promedio más una desviación estándar, por considerarse atípicos por exceso. Quedan subrayados y resaltados en el bloque A y marcados como EXCLUIDO en el bloque B.</t>
  </si>
  <si>
    <t>4) Segunda ronda: con los datos retenidos se recalculan el promedio y la desviación estándar y se define el mínimo aceptado como promedio menos una desviación estándar.</t>
  </si>
  <si>
    <t>5) Determinación del precio: se adopta el menor valor del conjunto depurado siempre que sea igual o superior al mínimo aceptado. Este criterio privilegia la eficiencia en el gasto y, a la vez, descarta los valores que por su distancia respecto del comportamiento del mercado podrían corresponder a precios artificialmente bajos.</t>
  </si>
  <si>
    <t>ANEXO 4 – CUADRO ESTUDIO DE MERCADO DEFINITIVO</t>
  </si>
  <si>
    <t>PRESUPUESTO OFICIAL ESTIMADO SEGÚN ESTUDIO DE MERCADO</t>
  </si>
  <si>
    <t>DESCRIPCIÓN DEL BIEN</t>
  </si>
  <si>
    <t>ESPECIFICACIONES</t>
  </si>
  <si>
    <t>VALOR UNITARIO INCLUIDO IVA</t>
  </si>
  <si>
    <t>VALOR TOTAL INCLUIDO IVA</t>
  </si>
  <si>
    <t>De acuerdo con lo establecido en la Ficha Técnica No. 1 remitida por la Entidad. Referencias admitidas: TXLF-10-R-S (Axygen®) o TS-10CE-FS (ExtraGENE) o 5030061C (CAPP ExpellPlus 10 XL)</t>
  </si>
  <si>
    <t>De acuerdo con lo establecido en la Ficha Técnica No. 2 remitida por la Entidad. Referencias admitidas: PTF-20-L-R-S (Axygen®) o CAPP ExpellPlus 5030062C o ExtraGENE TS-20C-FS</t>
  </si>
  <si>
    <t>De acuerdo con lo establecido en la Ficha Técnica No. 3 remitida por la Entidad. Referencias admitidas: 430290 (Corning®) o 227270 (Greiner bio-one)</t>
  </si>
  <si>
    <t>De acuerdo con lo establecido en la Ficha Técnica No. 4 remitida por la Entidad. Referencias admitidas: 430052 (Corning®) o 188261-N (Greiner bio-one)</t>
  </si>
  <si>
    <t>TOTAL PRESUPUESTO OFICIAL ESTIMADO INCLUIDO IVA</t>
  </si>
  <si>
    <t>VALOR DEL ESTUDIO DEL SECTOR</t>
  </si>
  <si>
    <t>1) El valor unitario sin IVA proviene del criterio de depuración estadística y selección del menor valor razonable desarrollado en el ANEXO 3.</t>
  </si>
  <si>
    <t>2) Las cantidades corresponden a las publicadas en la Solicitud de Información a Proveedores FGN-SIP-481-2026 y a las certificadas por el área requirente en el Formato Solicitud de Elaboración de Estudio del Sector suscrito el 28 de julio de 2026 (20/10/24/12).</t>
  </si>
  <si>
    <t>ÍNDICES DE PRECIOS AL CONSUMIDOR UTILIZADOS EN LA INDEXACIÓN</t>
  </si>
  <si>
    <t>MES</t>
  </si>
  <si>
    <t>AÑO 2024</t>
  </si>
  <si>
    <t>AÑO 2025</t>
  </si>
  <si>
    <t>AÑO 2026</t>
  </si>
  <si>
    <t>OBSERVACIÓN</t>
  </si>
  <si>
    <t>Enero</t>
  </si>
  <si>
    <t>Febrero</t>
  </si>
  <si>
    <t>Marzo</t>
  </si>
  <si>
    <t>Abril</t>
  </si>
  <si>
    <t>Mayo</t>
  </si>
  <si>
    <t>Junio</t>
  </si>
  <si>
    <t>Julio</t>
  </si>
  <si>
    <t>Índice de destino de la indexación (julio de 2026 = 159,79)</t>
  </si>
  <si>
    <t>Agosto</t>
  </si>
  <si>
    <t>n.d.</t>
  </si>
  <si>
    <t>Septiembre</t>
  </si>
  <si>
    <t>Octubre</t>
  </si>
  <si>
    <t>Noviembre</t>
  </si>
  <si>
    <t>Diciembre</t>
  </si>
  <si>
    <t>Índice base de la indexación (diciembre de 2024 = 144,88)</t>
  </si>
  <si>
    <t>Factor de indexación aplicado</t>
  </si>
  <si>
    <t>Índice de julio de 2026 dividido por el índice de diciembre de 2024.</t>
  </si>
  <si>
    <t>Fuente: DANE. https://www.dane.gov.co/index.php/estadisticas-por-tema/precios-y-costos/indice-de-precios-al-consumidor-ipc</t>
  </si>
  <si>
    <t>1) Para traer a valor presente los precios unitarios se toma el índice de la serie de empalme del mes vigente (julio de 2026) dividido por el índice del mes y año en que se contrató (diciembre de 2024).</t>
  </si>
  <si>
    <t>DANE – Total, Índice de Precios al Consumidor (IPC). Índices – Serie de empalme 2003-2026. Base diciembre de 2018 = 100,00.  actualizado el 10 de agosto de 2026.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</si>
</sst>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quot;($&quot;#,##0\);\-"/>
    <numFmt numFmtId="165" formatCode="0.0%"/>
    <numFmt numFmtId="166" formatCode="0.000000"/>
  </numFmts>
  <fonts count="18" x14ac:knownFonts="1">
    <font>
      <sz val="11"/>
      <color theme="1"/>
      <name val="Calibri"/>
      <family val="2"/>
      <charset val="1"/>
    </font>
    <font>
      <b/>
      <sz val="9"/>
      <color rgb="FFFFFFFF"/>
      <name val="Arial"/>
      <charset val="1"/>
    </font>
    <font>
      <b/>
      <sz val="9"/>
      <name val="Arial"/>
      <charset val="1"/>
    </font>
    <font>
      <sz val="9"/>
      <name val="Arial"/>
      <charset val="1"/>
    </font>
    <font>
      <b/>
      <sz val="12"/>
      <color rgb="FF008000"/>
      <name val="Arial"/>
      <charset val="1"/>
    </font>
    <font>
      <sz val="9"/>
      <color rgb="FF0000FF"/>
      <name val="Arial"/>
      <charset val="1"/>
    </font>
    <font>
      <b/>
      <sz val="9"/>
      <color rgb="FFC00000"/>
      <name val="Arial"/>
      <charset val="1"/>
    </font>
    <font>
      <b/>
      <sz val="8"/>
      <name val="Arial"/>
      <charset val="1"/>
    </font>
    <font>
      <sz val="8"/>
      <name val="Arial"/>
      <charset val="1"/>
    </font>
    <font>
      <i/>
      <sz val="8"/>
      <color rgb="FFC00000"/>
      <name val="Arial"/>
      <charset val="1"/>
    </font>
    <font>
      <i/>
      <sz val="8"/>
      <name val="Arial"/>
      <charset val="1"/>
    </font>
    <font>
      <sz val="9"/>
      <color rgb="FF008000"/>
      <name val="Arial"/>
      <charset val="1"/>
    </font>
    <font>
      <sz val="8"/>
      <color rgb="FFC00000"/>
      <name val="Arial"/>
      <charset val="1"/>
    </font>
    <font>
      <sz val="10"/>
      <name val="Arial"/>
      <family val="2"/>
    </font>
    <font>
      <sz val="8"/>
      <color rgb="FF808080"/>
      <name val="Arial"/>
      <charset val="1"/>
    </font>
    <font>
      <b/>
      <sz val="10"/>
      <color rgb="FF008000"/>
      <name val="Arial"/>
      <charset val="1"/>
    </font>
    <font>
      <b/>
      <sz val="11"/>
      <color rgb="FF008000"/>
      <name val="Arial"/>
      <charset val="1"/>
    </font>
    <font>
      <sz val="9"/>
      <color rgb="FF808080"/>
      <name val="Arial"/>
      <charset val="1"/>
    </font>
  </fonts>
  <fills count="8">
    <fill>
      <patternFill patternType="none"/>
    </fill>
    <fill>
      <patternFill patternType="gray125"/>
    </fill>
    <fill>
      <patternFill patternType="solid">
        <fgColor rgb="FF1F3864"/>
        <bgColor rgb="FF333333"/>
      </patternFill>
    </fill>
    <fill>
      <patternFill patternType="solid">
        <fgColor rgb="FFF2F2F2"/>
        <bgColor rgb="FFE2EFDA"/>
      </patternFill>
    </fill>
    <fill>
      <patternFill patternType="solid">
        <fgColor rgb="FFD9E2F3"/>
        <bgColor rgb="FFE2EFDA"/>
      </patternFill>
    </fill>
    <fill>
      <patternFill patternType="solid">
        <fgColor rgb="FFFFF2CC"/>
        <bgColor rgb="FFFCE4E4"/>
      </patternFill>
    </fill>
    <fill>
      <patternFill patternType="solid">
        <fgColor rgb="FFE2EFDA"/>
        <bgColor rgb="FFF2F2F2"/>
      </patternFill>
    </fill>
    <fill>
      <patternFill patternType="solid">
        <fgColor theme="0"/>
        <bgColor indexed="64"/>
      </patternFill>
    </fill>
  </fills>
  <borders count="7">
    <border>
      <left/>
      <right/>
      <top/>
      <bottom/>
      <diagonal/>
    </border>
    <border>
      <left style="thin">
        <color rgb="FF808080"/>
      </left>
      <right/>
      <top style="thin">
        <color rgb="FF808080"/>
      </top>
      <bottom style="thin">
        <color rgb="FF808080"/>
      </bottom>
      <diagonal/>
    </border>
    <border>
      <left style="thin">
        <color rgb="FF808080"/>
      </left>
      <right style="thin">
        <color rgb="FF808080"/>
      </right>
      <top style="thin">
        <color rgb="FF808080"/>
      </top>
      <bottom style="thin">
        <color rgb="FF808080"/>
      </bottom>
      <diagonal/>
    </border>
    <border>
      <left style="thin">
        <color rgb="FF808080"/>
      </left>
      <right/>
      <top style="thin">
        <color rgb="FF808080"/>
      </top>
      <bottom/>
      <diagonal/>
    </border>
    <border>
      <left style="thin">
        <color rgb="FF808080"/>
      </left>
      <right style="thin">
        <color rgb="FF808080"/>
      </right>
      <top style="thin">
        <color rgb="FF808080"/>
      </top>
      <bottom/>
      <diagonal/>
    </border>
    <border>
      <left/>
      <right/>
      <top style="thin">
        <color rgb="FF808080"/>
      </top>
      <bottom style="thin">
        <color rgb="FF808080"/>
      </bottom>
      <diagonal/>
    </border>
    <border>
      <left/>
      <right style="thin">
        <color rgb="FF808080"/>
      </right>
      <top style="thin">
        <color rgb="FF808080"/>
      </top>
      <bottom style="thin">
        <color rgb="FF808080"/>
      </bottom>
      <diagonal/>
    </border>
  </borders>
  <cellStyleXfs count="1">
    <xf numFmtId="0" fontId="0" fillId="0" borderId="0"/>
  </cellStyleXfs>
  <cellXfs count="59">
    <xf numFmtId="0" fontId="0" fillId="0" borderId="0" xfId="0"/>
    <xf numFmtId="0" fontId="2" fillId="0" borderId="2" xfId="0" applyFont="1" applyBorder="1" applyAlignment="1">
      <alignment horizontal="left" vertical="center" wrapText="1"/>
    </xf>
    <xf numFmtId="0" fontId="2" fillId="3" borderId="2" xfId="0" applyFont="1" applyFill="1" applyBorder="1" applyAlignment="1">
      <alignment horizontal="left" vertical="center" wrapText="1"/>
    </xf>
    <xf numFmtId="0" fontId="3" fillId="0" borderId="2" xfId="0" applyFont="1" applyBorder="1" applyAlignment="1">
      <alignment horizontal="left" vertical="center" wrapText="1"/>
    </xf>
    <xf numFmtId="0" fontId="2" fillId="5" borderId="2" xfId="0" applyFont="1" applyFill="1" applyBorder="1" applyAlignment="1">
      <alignment horizontal="left" vertical="center" wrapText="1"/>
    </xf>
    <xf numFmtId="164" fontId="4" fillId="5" borderId="2" xfId="0" applyNumberFormat="1" applyFont="1" applyFill="1" applyBorder="1" applyAlignment="1">
      <alignment horizontal="right" vertical="center"/>
    </xf>
    <xf numFmtId="164" fontId="5" fillId="0" borderId="2" xfId="0" applyNumberFormat="1" applyFont="1" applyBorder="1" applyAlignment="1">
      <alignment horizontal="right" vertical="center"/>
    </xf>
    <xf numFmtId="164" fontId="6" fillId="0" borderId="2" xfId="0" applyNumberFormat="1" applyFont="1" applyBorder="1" applyAlignment="1">
      <alignment horizontal="right" vertical="center"/>
    </xf>
    <xf numFmtId="0" fontId="7" fillId="4" borderId="2" xfId="0" applyFont="1" applyFill="1" applyBorder="1" applyAlignment="1">
      <alignment horizontal="center" vertical="center" wrapText="1"/>
    </xf>
    <xf numFmtId="0" fontId="3" fillId="0" borderId="2" xfId="0" applyFont="1" applyBorder="1" applyAlignment="1">
      <alignment horizontal="center" vertical="center" wrapText="1"/>
    </xf>
    <xf numFmtId="0" fontId="8" fillId="0" borderId="2" xfId="0" applyFont="1" applyBorder="1" applyAlignment="1">
      <alignment horizontal="left" vertical="center" wrapText="1"/>
    </xf>
    <xf numFmtId="0" fontId="5" fillId="0" borderId="2" xfId="0" applyFont="1" applyBorder="1" applyAlignment="1">
      <alignment horizontal="center" vertical="center" wrapText="1"/>
    </xf>
    <xf numFmtId="164" fontId="3" fillId="0" borderId="2" xfId="0" applyNumberFormat="1" applyFont="1" applyBorder="1" applyAlignment="1">
      <alignment horizontal="right" vertical="center"/>
    </xf>
    <xf numFmtId="164" fontId="2" fillId="0" borderId="2" xfId="0" applyNumberFormat="1" applyFont="1" applyBorder="1" applyAlignment="1">
      <alignment horizontal="right" vertical="center"/>
    </xf>
    <xf numFmtId="165" fontId="3" fillId="0" borderId="2" xfId="0" applyNumberFormat="1" applyFont="1" applyBorder="1" applyAlignment="1">
      <alignment horizontal="center" vertical="center" wrapText="1"/>
    </xf>
    <xf numFmtId="0" fontId="7" fillId="4" borderId="1" xfId="0" applyFont="1" applyFill="1" applyBorder="1" applyAlignment="1">
      <alignment horizontal="center" vertical="center" wrapText="1"/>
    </xf>
    <xf numFmtId="0" fontId="8" fillId="0" borderId="2" xfId="0" applyFont="1" applyBorder="1" applyAlignment="1">
      <alignment horizontal="center" vertical="center" wrapText="1"/>
    </xf>
    <xf numFmtId="0" fontId="8" fillId="0" borderId="1" xfId="0" applyFont="1" applyBorder="1" applyAlignment="1">
      <alignment horizontal="left" vertical="center" wrapText="1"/>
    </xf>
    <xf numFmtId="0" fontId="2" fillId="0" borderId="0" xfId="0" applyFont="1" applyAlignment="1">
      <alignment horizontal="left" vertical="center" wrapText="1"/>
    </xf>
    <xf numFmtId="165" fontId="5" fillId="5" borderId="2" xfId="0" applyNumberFormat="1" applyFont="1" applyFill="1" applyBorder="1" applyAlignment="1">
      <alignment horizontal="center" vertical="center" wrapText="1"/>
    </xf>
    <xf numFmtId="2" fontId="5" fillId="5" borderId="2" xfId="0" applyNumberFormat="1" applyFont="1" applyFill="1" applyBorder="1" applyAlignment="1">
      <alignment horizontal="center" vertical="center" wrapText="1"/>
    </xf>
    <xf numFmtId="166" fontId="2" fillId="0" borderId="2" xfId="0" applyNumberFormat="1" applyFont="1" applyBorder="1" applyAlignment="1">
      <alignment horizontal="center" vertical="center" wrapText="1"/>
    </xf>
    <xf numFmtId="0" fontId="2" fillId="0" borderId="2" xfId="0" applyFont="1" applyBorder="1" applyAlignment="1">
      <alignment horizontal="center" vertical="center" wrapText="1"/>
    </xf>
    <xf numFmtId="0" fontId="11" fillId="0" borderId="2" xfId="0" applyFont="1" applyBorder="1" applyAlignment="1">
      <alignment horizontal="center" vertical="center" wrapText="1"/>
    </xf>
    <xf numFmtId="0" fontId="12" fillId="0" borderId="2" xfId="0" applyFont="1" applyBorder="1" applyAlignment="1">
      <alignment horizontal="center" vertical="center" wrapText="1"/>
    </xf>
    <xf numFmtId="165" fontId="11" fillId="5" borderId="2" xfId="0" applyNumberFormat="1" applyFont="1" applyFill="1" applyBorder="1" applyAlignment="1">
      <alignment horizontal="center" vertical="center" wrapText="1"/>
    </xf>
    <xf numFmtId="0" fontId="7" fillId="6" borderId="2" xfId="0" applyFont="1" applyFill="1" applyBorder="1" applyAlignment="1">
      <alignment horizontal="center" vertical="center" wrapText="1"/>
    </xf>
    <xf numFmtId="164" fontId="11" fillId="0" borderId="2" xfId="0" applyNumberFormat="1" applyFont="1" applyBorder="1" applyAlignment="1">
      <alignment horizontal="right" vertical="center"/>
    </xf>
    <xf numFmtId="164" fontId="11" fillId="6" borderId="2" xfId="0" applyNumberFormat="1" applyFont="1" applyFill="1" applyBorder="1" applyAlignment="1">
      <alignment horizontal="right" vertical="center"/>
    </xf>
    <xf numFmtId="0" fontId="14" fillId="6" borderId="2" xfId="0" applyFont="1" applyFill="1" applyBorder="1" applyAlignment="1">
      <alignment horizontal="center" vertical="center" wrapText="1"/>
    </xf>
    <xf numFmtId="164" fontId="15" fillId="5" borderId="2" xfId="0" applyNumberFormat="1" applyFont="1" applyFill="1" applyBorder="1" applyAlignment="1">
      <alignment horizontal="right" vertical="center"/>
    </xf>
    <xf numFmtId="164" fontId="16" fillId="5" borderId="2" xfId="0" applyNumberFormat="1" applyFont="1" applyFill="1" applyBorder="1" applyAlignment="1">
      <alignment horizontal="right" vertical="center"/>
    </xf>
    <xf numFmtId="2" fontId="5" fillId="0" borderId="2" xfId="0" applyNumberFormat="1" applyFont="1" applyBorder="1" applyAlignment="1">
      <alignment horizontal="center" vertical="center" wrapText="1"/>
    </xf>
    <xf numFmtId="0" fontId="17" fillId="0" borderId="2" xfId="0" applyFont="1" applyBorder="1" applyAlignment="1">
      <alignment horizontal="center" vertical="center" wrapText="1"/>
    </xf>
    <xf numFmtId="166" fontId="2" fillId="5" borderId="2" xfId="0" applyNumberFormat="1" applyFont="1" applyFill="1" applyBorder="1" applyAlignment="1">
      <alignment horizontal="center" vertical="center" wrapText="1"/>
    </xf>
    <xf numFmtId="0" fontId="1" fillId="2" borderId="1" xfId="0" applyFont="1" applyFill="1" applyBorder="1" applyAlignment="1">
      <alignment horizontal="center" vertical="center" wrapText="1"/>
    </xf>
    <xf numFmtId="0" fontId="10" fillId="0" borderId="1" xfId="0" applyFont="1" applyBorder="1" applyAlignment="1">
      <alignment horizontal="left" vertical="center" wrapText="1"/>
    </xf>
    <xf numFmtId="0" fontId="2" fillId="4" borderId="2" xfId="0" applyFont="1" applyFill="1" applyBorder="1" applyAlignment="1">
      <alignment horizontal="left" vertical="center" wrapText="1"/>
    </xf>
    <xf numFmtId="0" fontId="10" fillId="0" borderId="0" xfId="0" applyFont="1" applyAlignment="1">
      <alignment horizontal="left" vertical="center" wrapText="1"/>
    </xf>
    <xf numFmtId="0" fontId="2" fillId="4" borderId="1" xfId="0" applyFont="1" applyFill="1" applyBorder="1" applyAlignment="1">
      <alignment horizontal="center" vertical="center" wrapText="1"/>
    </xf>
    <xf numFmtId="0" fontId="8" fillId="0" borderId="0" xfId="0" applyFont="1" applyAlignment="1">
      <alignment horizontal="left" vertical="center" wrapText="1"/>
    </xf>
    <xf numFmtId="0" fontId="2" fillId="0" borderId="0" xfId="0" applyFont="1" applyAlignment="1">
      <alignment horizontal="center" vertical="center" wrapText="1"/>
    </xf>
    <xf numFmtId="0" fontId="7" fillId="4" borderId="4" xfId="0" applyFont="1" applyFill="1" applyBorder="1" applyAlignment="1">
      <alignment horizontal="center" vertical="center" wrapText="1"/>
    </xf>
    <xf numFmtId="0" fontId="9" fillId="0" borderId="1" xfId="0" applyFont="1" applyBorder="1" applyAlignment="1">
      <alignment horizontal="left" vertical="center" wrapText="1"/>
    </xf>
    <xf numFmtId="0" fontId="2" fillId="4" borderId="3" xfId="0" applyFont="1" applyFill="1" applyBorder="1" applyAlignment="1">
      <alignment horizontal="center" vertical="center" wrapText="1"/>
    </xf>
    <xf numFmtId="0" fontId="2" fillId="4" borderId="2" xfId="0" applyFont="1" applyFill="1" applyBorder="1" applyAlignment="1">
      <alignment horizontal="center" vertical="center" wrapText="1"/>
    </xf>
    <xf numFmtId="0" fontId="2" fillId="0" borderId="1" xfId="0" applyFont="1" applyBorder="1" applyAlignment="1">
      <alignment horizontal="left" vertical="center" wrapText="1"/>
    </xf>
    <xf numFmtId="0" fontId="8" fillId="0" borderId="1" xfId="0" applyFont="1" applyBorder="1" applyAlignment="1">
      <alignment horizontal="center" vertical="center" wrapText="1"/>
    </xf>
    <xf numFmtId="164" fontId="3" fillId="0" borderId="1" xfId="0" applyNumberFormat="1" applyFont="1" applyBorder="1" applyAlignment="1">
      <alignment horizontal="right" vertical="center"/>
    </xf>
    <xf numFmtId="165" fontId="3" fillId="0" borderId="1" xfId="0" applyNumberFormat="1" applyFont="1" applyBorder="1" applyAlignment="1">
      <alignment horizontal="right" vertical="center"/>
    </xf>
    <xf numFmtId="0" fontId="2" fillId="4" borderId="1" xfId="0" applyFont="1" applyFill="1" applyBorder="1" applyAlignment="1">
      <alignment horizontal="right" vertical="center"/>
    </xf>
    <xf numFmtId="0" fontId="7" fillId="4" borderId="2" xfId="0" applyFont="1" applyFill="1" applyBorder="1" applyAlignment="1">
      <alignment horizontal="center" vertical="center" wrapText="1"/>
    </xf>
    <xf numFmtId="0" fontId="2" fillId="0" borderId="2" xfId="0" applyFont="1" applyBorder="1" applyAlignment="1">
      <alignment horizontal="left" vertical="center" wrapText="1"/>
    </xf>
    <xf numFmtId="0" fontId="2" fillId="3" borderId="1" xfId="0" applyFont="1" applyFill="1" applyBorder="1" applyAlignment="1">
      <alignment horizontal="right" vertical="center"/>
    </xf>
    <xf numFmtId="0" fontId="2" fillId="4" borderId="5" xfId="0" applyFont="1" applyFill="1" applyBorder="1" applyAlignment="1">
      <alignment horizontal="center" vertical="center" wrapText="1"/>
    </xf>
    <xf numFmtId="0" fontId="2" fillId="4" borderId="6" xfId="0" applyFont="1" applyFill="1" applyBorder="1" applyAlignment="1">
      <alignment horizontal="center" vertical="center" wrapText="1"/>
    </xf>
    <xf numFmtId="0" fontId="2" fillId="5" borderId="1" xfId="0" applyFont="1" applyFill="1" applyBorder="1" applyAlignment="1">
      <alignment horizontal="left" vertical="center" wrapText="1"/>
    </xf>
    <xf numFmtId="164" fontId="16" fillId="5" borderId="1" xfId="0" applyNumberFormat="1" applyFont="1" applyFill="1" applyBorder="1" applyAlignment="1">
      <alignment horizontal="right" vertical="center"/>
    </xf>
    <xf numFmtId="0" fontId="3" fillId="7" borderId="2" xfId="0" applyFont="1" applyFill="1" applyBorder="1" applyAlignment="1">
      <alignment horizontal="left" vertical="center" wrapText="1"/>
    </xf>
  </cellXfs>
  <cellStyles count="1">
    <cellStyle name="Normal" xfId="0" builtinId="0"/>
  </cellStyles>
  <dxfs count="2">
    <dxf>
      <font>
        <b/>
        <u/>
        <color rgb="FFC00000"/>
      </font>
      <fill>
        <patternFill>
          <bgColor rgb="FFFCE4E4"/>
        </patternFill>
      </fill>
    </dxf>
    <dxf>
      <font>
        <b/>
        <u/>
        <color rgb="FFC00000"/>
      </font>
      <fill>
        <patternFill>
          <bgColor rgb="FFFCE4E4"/>
        </patternFill>
      </fill>
    </dxf>
  </dxfs>
  <tableStyles count="0" defaultTableStyle="TableStyleMedium2" defaultPivotStyle="PivotStyleLight16"/>
  <colors>
    <indexedColors>
      <rgbColor rgb="FF000000"/>
      <rgbColor rgb="FFFFFFFF"/>
      <rgbColor rgb="FFC00000"/>
      <rgbColor rgb="FF00FF00"/>
      <rgbColor rgb="FF0000FF"/>
      <rgbColor rgb="FFFFFF00"/>
      <rgbColor rgb="FFFF00FF"/>
      <rgbColor rgb="FF00FFFF"/>
      <rgbColor rgb="FF800000"/>
      <rgbColor rgb="FF008000"/>
      <rgbColor rgb="FF000080"/>
      <rgbColor rgb="FF548235"/>
      <rgbColor rgb="FF800080"/>
      <rgbColor rgb="FF008080"/>
      <rgbColor rgb="FFC0C0C0"/>
      <rgbColor rgb="FF808080"/>
      <rgbColor rgb="FF9999FF"/>
      <rgbColor rgb="FF7030A0"/>
      <rgbColor rgb="FFFFF2CC"/>
      <rgbColor rgb="FFF2F2F2"/>
      <rgbColor rgb="FF660066"/>
      <rgbColor rgb="FFFF8080"/>
      <rgbColor rgb="FF0066CC"/>
      <rgbColor rgb="FFD9E2F3"/>
      <rgbColor rgb="FF000080"/>
      <rgbColor rgb="FFFF00FF"/>
      <rgbColor rgb="FFFFFF00"/>
      <rgbColor rgb="FF00FFFF"/>
      <rgbColor rgb="FF800080"/>
      <rgbColor rgb="FF800000"/>
      <rgbColor rgb="FF008080"/>
      <rgbColor rgb="FF0000FF"/>
      <rgbColor rgb="FF00CCFF"/>
      <rgbColor rgb="FFCCFFFF"/>
      <rgbColor rgb="FFE2EFDA"/>
      <rgbColor rgb="FFFFFF99"/>
      <rgbColor rgb="FF99CCFF"/>
      <rgbColor rgb="FFFF99CC"/>
      <rgbColor rgb="FFCC99FF"/>
      <rgbColor rgb="FFFCE4E4"/>
      <rgbColor rgb="FF2E75B6"/>
      <rgbColor rgb="FF33CCCC"/>
      <rgbColor rgb="FF99CC00"/>
      <rgbColor rgb="FFFFCC00"/>
      <rgbColor rgb="FFBF8F00"/>
      <rgbColor rgb="FFFF6600"/>
      <rgbColor rgb="FF666699"/>
      <rgbColor rgb="FF969696"/>
      <rgbColor rgb="FF1F3864"/>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rgbClr val="000000"/>
      </a:dk1>
      <a:lt1>
        <a:srgbClr val="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a:fillStyleLst>
        <a:solidFill>
          <a:schemeClr val="phClr"/>
        </a:solidFill>
        <a:gradFill>
          <a:gsLst>
            <a:gs pos="0">
              <a:schemeClr val="phClr">
                <a:tint val="50000"/>
              </a:schemeClr>
            </a:gs>
            <a:gs pos="35000">
              <a:schemeClr val="phClr">
                <a:tint val="37000"/>
              </a:schemeClr>
            </a:gs>
            <a:gs pos="100000">
              <a:schemeClr val="phClr">
                <a:tint val="15000"/>
              </a:schemeClr>
            </a:gs>
          </a:gsLst>
          <a:lin ang="16200000" scaled="1"/>
          <a:tileRect/>
        </a:gradFill>
        <a:gradFill>
          <a:gsLst>
            <a:gs pos="0">
              <a:schemeClr val="phClr">
                <a:shade val="51000"/>
              </a:schemeClr>
            </a:gs>
            <a:gs pos="80000">
              <a:schemeClr val="phClr">
                <a:shade val="93000"/>
              </a:schemeClr>
            </a:gs>
            <a:gs pos="100000">
              <a:schemeClr val="phClr">
                <a:shade val="94000"/>
              </a:schemeClr>
            </a:gs>
          </a:gsLst>
          <a:lin ang="16200000" scaled="0"/>
          <a:tileRect/>
        </a:gradFill>
      </a:fillStyleLst>
      <a:lnStyleLst>
        <a:ln w="9525" cap="flat" cmpd="sng" algn="ctr">
          <a:prstDash val="solid"/>
        </a:ln>
        <a:ln w="25400" cap="flat" cmpd="sng" algn="ctr">
          <a:prstDash val="solid"/>
        </a:ln>
        <a:ln w="38100" cap="flat" cmpd="sng" algn="ctr">
          <a:prstDash val="solid"/>
        </a:ln>
      </a:lnStyleLst>
      <a:effectStyleLst>
        <a:effectStyle>
          <a:effectLst/>
        </a:effectStyle>
        <a:effectStyle>
          <a:effectLst/>
        </a:effectStyle>
        <a:effectStyle>
          <a:effectLst/>
        </a:effectStyle>
      </a:effectStyleLst>
      <a:bgFillStyleLst>
        <a:solidFill>
          <a:schemeClr val="phClr"/>
        </a:solidFill>
        <a:gradFill>
          <a:gsLst>
            <a:gs pos="0">
              <a:schemeClr val="phClr">
                <a:tint val="40000"/>
              </a:schemeClr>
            </a:gs>
            <a:gs pos="40000">
              <a:schemeClr val="phClr">
                <a:tint val="45000"/>
                <a:shade val="99000"/>
              </a:schemeClr>
            </a:gs>
            <a:gs pos="100000">
              <a:schemeClr val="phClr">
                <a:shade val="20000"/>
              </a:schemeClr>
            </a:gs>
          </a:gsLst>
          <a:path path="circle">
            <a:fillToRect l="50000" t="-80000" r="50000" b="180000"/>
          </a:path>
          <a:tileRect/>
        </a:gradFill>
        <a:gradFill>
          <a:gsLst>
            <a:gs pos="0">
              <a:schemeClr val="phClr">
                <a:tint val="80000"/>
              </a:schemeClr>
            </a:gs>
            <a:gs pos="100000">
              <a:schemeClr val="phClr">
                <a:shade val="30000"/>
              </a:schemeClr>
            </a:gs>
          </a:gsLst>
          <a:path path="circle">
            <a:fillToRect l="50000" t="50000" r="50000" b="50000"/>
          </a:path>
          <a:tileRect/>
        </a:gradFill>
      </a:bgFillStyleLst>
    </a:fmtScheme>
  </a:themeElements>
  <a:objectDefaults/>
  <a:extraClrSchemeLst/>
</a:theme>
</file>

<file path=xl/worksheets/_rels/sheet3.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1F3864"/>
    <pageSetUpPr fitToPage="1"/>
  </sheetPr>
  <dimension ref="B2:C34"/>
  <sheetViews>
    <sheetView showGridLines="0" zoomScale="39" zoomScaleNormal="100" workbookViewId="0">
      <selection activeCell="A35" sqref="A35:XFD35"/>
    </sheetView>
  </sheetViews>
  <sheetFormatPr baseColWidth="10" defaultColWidth="8.6640625" defaultRowHeight="14.25" x14ac:dyDescent="0.45"/>
  <cols>
    <col min="1" max="1" width="3" customWidth="1"/>
    <col min="2" max="2" width="44" customWidth="1"/>
    <col min="3" max="3" width="95" customWidth="1"/>
  </cols>
  <sheetData>
    <row r="2" spans="2:3" ht="15" customHeight="1" x14ac:dyDescent="0.45">
      <c r="B2" s="35" t="s">
        <v>0</v>
      </c>
      <c r="C2" s="35"/>
    </row>
    <row r="4" spans="2:3" ht="25.5" customHeight="1" x14ac:dyDescent="0.45">
      <c r="B4" s="2" t="s">
        <v>1</v>
      </c>
      <c r="C4" s="3" t="s">
        <v>2</v>
      </c>
    </row>
    <row r="5" spans="2:3" ht="25.5" customHeight="1" x14ac:dyDescent="0.45">
      <c r="B5" s="2" t="s">
        <v>3</v>
      </c>
      <c r="C5" s="3" t="s">
        <v>4</v>
      </c>
    </row>
    <row r="6" spans="2:3" ht="25.5" customHeight="1" x14ac:dyDescent="0.45">
      <c r="B6" s="2" t="s">
        <v>5</v>
      </c>
      <c r="C6" s="3" t="s">
        <v>6</v>
      </c>
    </row>
    <row r="7" spans="2:3" ht="15" customHeight="1" x14ac:dyDescent="0.45">
      <c r="B7" s="2" t="s">
        <v>7</v>
      </c>
      <c r="C7" s="3" t="s">
        <v>8</v>
      </c>
    </row>
    <row r="8" spans="2:3" ht="15" customHeight="1" x14ac:dyDescent="0.45">
      <c r="B8" s="2" t="s">
        <v>9</v>
      </c>
      <c r="C8" s="3" t="s">
        <v>10</v>
      </c>
    </row>
    <row r="9" spans="2:3" ht="15" customHeight="1" x14ac:dyDescent="0.45">
      <c r="B9" s="2" t="s">
        <v>11</v>
      </c>
      <c r="C9" s="58">
        <v>175000000</v>
      </c>
    </row>
    <row r="10" spans="2:3" ht="15" customHeight="1" x14ac:dyDescent="0.45">
      <c r="B10" s="2" t="s">
        <v>12</v>
      </c>
      <c r="C10" s="3" t="s">
        <v>13</v>
      </c>
    </row>
    <row r="11" spans="2:3" ht="15" customHeight="1" x14ac:dyDescent="0.45">
      <c r="B11" s="2" t="s">
        <v>14</v>
      </c>
      <c r="C11" s="3" t="s">
        <v>15</v>
      </c>
    </row>
    <row r="12" spans="2:3" ht="15" customHeight="1" x14ac:dyDescent="0.45">
      <c r="B12" s="2" t="s">
        <v>16</v>
      </c>
      <c r="C12" s="3" t="s">
        <v>17</v>
      </c>
    </row>
    <row r="14" spans="2:3" ht="15" customHeight="1" x14ac:dyDescent="0.45">
      <c r="B14" s="39" t="s">
        <v>18</v>
      </c>
      <c r="C14" s="39"/>
    </row>
    <row r="15" spans="2:3" ht="25.5" customHeight="1" x14ac:dyDescent="0.45">
      <c r="B15" s="1" t="s">
        <v>19</v>
      </c>
      <c r="C15" s="3" t="s">
        <v>20</v>
      </c>
    </row>
    <row r="16" spans="2:3" ht="25.5" customHeight="1" x14ac:dyDescent="0.45">
      <c r="B16" s="1" t="s">
        <v>21</v>
      </c>
      <c r="C16" s="3" t="s">
        <v>22</v>
      </c>
    </row>
    <row r="17" spans="2:3" ht="25.5" customHeight="1" x14ac:dyDescent="0.45">
      <c r="B17" s="1" t="s">
        <v>23</v>
      </c>
      <c r="C17" s="3" t="s">
        <v>24</v>
      </c>
    </row>
    <row r="18" spans="2:3" ht="25.5" customHeight="1" x14ac:dyDescent="0.45">
      <c r="B18" s="1" t="s">
        <v>25</v>
      </c>
      <c r="C18" s="3" t="s">
        <v>26</v>
      </c>
    </row>
    <row r="19" spans="2:3" ht="25.5" customHeight="1" x14ac:dyDescent="0.45">
      <c r="B19" s="1" t="s">
        <v>27</v>
      </c>
      <c r="C19" s="3" t="s">
        <v>28</v>
      </c>
    </row>
    <row r="21" spans="2:3" ht="15" customHeight="1" x14ac:dyDescent="0.45">
      <c r="B21" s="39" t="s">
        <v>29</v>
      </c>
      <c r="C21" s="39"/>
    </row>
    <row r="22" spans="2:3" ht="42" customHeight="1" x14ac:dyDescent="0.45">
      <c r="B22" s="1" t="s">
        <v>30</v>
      </c>
      <c r="C22" s="3" t="s">
        <v>31</v>
      </c>
    </row>
    <row r="23" spans="2:3" ht="42" customHeight="1" x14ac:dyDescent="0.45">
      <c r="B23" s="1" t="s">
        <v>32</v>
      </c>
      <c r="C23" s="3" t="s">
        <v>33</v>
      </c>
    </row>
    <row r="24" spans="2:3" ht="42" customHeight="1" x14ac:dyDescent="0.45">
      <c r="B24" s="1" t="s">
        <v>34</v>
      </c>
      <c r="C24" s="3" t="s">
        <v>35</v>
      </c>
    </row>
    <row r="25" spans="2:3" ht="42" customHeight="1" x14ac:dyDescent="0.45">
      <c r="B25" s="1" t="s">
        <v>36</v>
      </c>
      <c r="C25" s="3" t="s">
        <v>37</v>
      </c>
    </row>
    <row r="26" spans="2:3" ht="42" customHeight="1" x14ac:dyDescent="0.45">
      <c r="B26" s="1" t="s">
        <v>38</v>
      </c>
      <c r="C26" s="3" t="s">
        <v>39</v>
      </c>
    </row>
    <row r="27" spans="2:3" ht="42" customHeight="1" x14ac:dyDescent="0.45">
      <c r="B27" s="1" t="s">
        <v>40</v>
      </c>
      <c r="C27" s="3" t="s">
        <v>41</v>
      </c>
    </row>
    <row r="28" spans="2:3" ht="42" customHeight="1" x14ac:dyDescent="0.45">
      <c r="B28" s="1" t="s">
        <v>42</v>
      </c>
      <c r="C28" s="3" t="s">
        <v>43</v>
      </c>
    </row>
    <row r="29" spans="2:3" ht="42" customHeight="1" x14ac:dyDescent="0.45">
      <c r="B29" s="1" t="s">
        <v>44</v>
      </c>
      <c r="C29" s="3" t="s">
        <v>45</v>
      </c>
    </row>
    <row r="30" spans="2:3" ht="42" customHeight="1" x14ac:dyDescent="0.45">
      <c r="B30" s="1" t="s">
        <v>46</v>
      </c>
      <c r="C30" s="3" t="s">
        <v>47</v>
      </c>
    </row>
    <row r="32" spans="2:3" ht="15" customHeight="1" x14ac:dyDescent="0.45">
      <c r="B32" s="39" t="s">
        <v>48</v>
      </c>
      <c r="C32" s="39"/>
    </row>
    <row r="33" spans="2:3" ht="21.75" customHeight="1" x14ac:dyDescent="0.45">
      <c r="B33" s="4" t="s">
        <v>49</v>
      </c>
      <c r="C33" s="5">
        <f>'ANEXO 4 - MERCADO DEFINITIVO'!I15</f>
        <v>113505722.40000001</v>
      </c>
    </row>
    <row r="34" spans="2:3" ht="15" customHeight="1" x14ac:dyDescent="0.45">
      <c r="B34" s="1" t="s">
        <v>11</v>
      </c>
      <c r="C34" s="6">
        <v>175000000</v>
      </c>
    </row>
  </sheetData>
  <mergeCells count="4">
    <mergeCell ref="B2:C2"/>
    <mergeCell ref="B14:C14"/>
    <mergeCell ref="B21:C21"/>
    <mergeCell ref="B32:C32"/>
  </mergeCells>
  <printOptions horizontalCentered="1"/>
  <pageMargins left="0.75" right="0.75" top="1" bottom="1" header="0.511811023622047" footer="0.51180555555555596"/>
  <pageSetup paperSize="9" fitToHeight="0" orientation="portrait" horizontalDpi="300" verticalDpi="300"/>
  <headerFooter>
    <oddFooter>&amp;C&amp;8 &amp;A - Página &amp;P de &amp;N</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2E75B6"/>
    <pageSetUpPr fitToPage="1"/>
  </sheetPr>
  <dimension ref="B2:T27"/>
  <sheetViews>
    <sheetView showGridLines="0" tabSelected="1" zoomScaleNormal="100" workbookViewId="0">
      <pane xSplit="5" ySplit="7" topLeftCell="F10" activePane="bottomRight" state="frozen"/>
      <selection pane="topRight" activeCell="G1" sqref="G1"/>
      <selection pane="bottomLeft" activeCell="A8" sqref="A8"/>
      <selection pane="bottomRight" activeCell="J16" sqref="J16"/>
    </sheetView>
  </sheetViews>
  <sheetFormatPr baseColWidth="10" defaultColWidth="8.6640625" defaultRowHeight="14.25" x14ac:dyDescent="0.45"/>
  <cols>
    <col min="1" max="1" width="2" customWidth="1"/>
    <col min="2" max="2" width="6" customWidth="1"/>
    <col min="3" max="3" width="38" customWidth="1"/>
    <col min="4" max="4" width="12" customWidth="1"/>
    <col min="5" max="5" width="9" customWidth="1"/>
    <col min="6" max="18" width="14" customWidth="1"/>
    <col min="19" max="20" width="11" customWidth="1"/>
  </cols>
  <sheetData>
    <row r="2" spans="2:20" ht="15" customHeight="1" x14ac:dyDescent="0.45">
      <c r="B2" s="35" t="s">
        <v>50</v>
      </c>
      <c r="C2" s="35"/>
      <c r="D2" s="35"/>
      <c r="E2" s="35"/>
      <c r="F2" s="35"/>
      <c r="G2" s="35"/>
      <c r="H2" s="35"/>
      <c r="I2" s="35"/>
      <c r="J2" s="35"/>
      <c r="K2" s="35"/>
      <c r="L2" s="35"/>
      <c r="M2" s="35"/>
      <c r="N2" s="35"/>
      <c r="O2" s="35"/>
      <c r="P2" s="35"/>
      <c r="Q2" s="35"/>
      <c r="R2" s="35"/>
      <c r="S2" s="35"/>
      <c r="T2" s="35"/>
    </row>
    <row r="3" spans="2:20" ht="30" customHeight="1" x14ac:dyDescent="0.45">
      <c r="B3" s="45" t="s">
        <v>51</v>
      </c>
      <c r="C3" s="45"/>
      <c r="D3" s="45"/>
      <c r="E3" s="45"/>
      <c r="F3" s="46" t="s">
        <v>6</v>
      </c>
      <c r="G3" s="46"/>
      <c r="H3" s="46"/>
      <c r="I3" s="46"/>
      <c r="J3" s="46"/>
      <c r="K3" s="46"/>
      <c r="L3" s="46"/>
      <c r="M3" s="46"/>
      <c r="N3" s="46"/>
      <c r="O3" s="46"/>
      <c r="P3" s="46"/>
      <c r="Q3" s="46"/>
      <c r="R3" s="46"/>
      <c r="S3" s="46"/>
      <c r="T3" s="46"/>
    </row>
    <row r="4" spans="2:20" ht="15" customHeight="1" x14ac:dyDescent="0.45">
      <c r="F4" s="39" t="s">
        <v>52</v>
      </c>
      <c r="G4" s="39"/>
      <c r="H4" s="39"/>
      <c r="I4" s="39"/>
      <c r="J4" s="39"/>
      <c r="K4" s="39" t="s">
        <v>53</v>
      </c>
      <c r="L4" s="39"/>
      <c r="M4" s="39"/>
      <c r="N4" s="39"/>
      <c r="O4" s="39"/>
      <c r="P4" s="39"/>
      <c r="Q4" s="39"/>
      <c r="R4" s="39"/>
      <c r="S4" s="39"/>
      <c r="T4" s="39"/>
    </row>
    <row r="5" spans="2:20" ht="54" customHeight="1" x14ac:dyDescent="0.45">
      <c r="B5" s="44" t="s">
        <v>54</v>
      </c>
      <c r="C5" s="44"/>
      <c r="D5" s="44"/>
      <c r="E5" s="44"/>
      <c r="F5" s="42" t="s">
        <v>55</v>
      </c>
      <c r="G5" s="42" t="s">
        <v>56</v>
      </c>
      <c r="H5" s="42" t="s">
        <v>57</v>
      </c>
      <c r="I5" s="42" t="s">
        <v>58</v>
      </c>
      <c r="J5" s="42" t="s">
        <v>59</v>
      </c>
      <c r="K5" s="42" t="s">
        <v>60</v>
      </c>
      <c r="L5" s="42" t="s">
        <v>61</v>
      </c>
      <c r="M5" s="42" t="s">
        <v>62</v>
      </c>
      <c r="N5" s="42" t="s">
        <v>63</v>
      </c>
      <c r="O5" s="42" t="s">
        <v>64</v>
      </c>
      <c r="P5" s="42" t="s">
        <v>65</v>
      </c>
      <c r="Q5" s="42" t="s">
        <v>66</v>
      </c>
      <c r="R5" s="42" t="s">
        <v>67</v>
      </c>
      <c r="S5" s="42" t="s">
        <v>68</v>
      </c>
      <c r="T5" s="42" t="s">
        <v>69</v>
      </c>
    </row>
    <row r="6" spans="2:20" ht="15" customHeight="1" x14ac:dyDescent="0.45">
      <c r="B6" s="44"/>
      <c r="C6" s="44"/>
      <c r="D6" s="44"/>
      <c r="E6" s="44"/>
      <c r="F6" s="42"/>
      <c r="G6" s="42"/>
      <c r="H6" s="42"/>
      <c r="I6" s="42"/>
      <c r="J6" s="42"/>
      <c r="K6" s="42"/>
      <c r="L6" s="42"/>
      <c r="M6" s="42"/>
      <c r="N6" s="42"/>
      <c r="O6" s="42"/>
      <c r="P6" s="42"/>
      <c r="Q6" s="42"/>
      <c r="R6" s="42"/>
      <c r="S6" s="42"/>
      <c r="T6" s="42"/>
    </row>
    <row r="7" spans="2:20" ht="30" customHeight="1" x14ac:dyDescent="0.45">
      <c r="B7" s="8" t="s">
        <v>70</v>
      </c>
      <c r="C7" s="8" t="s">
        <v>71</v>
      </c>
      <c r="D7" s="8" t="s">
        <v>72</v>
      </c>
      <c r="E7" s="8" t="s">
        <v>73</v>
      </c>
    </row>
    <row r="8" spans="2:20" ht="30" customHeight="1" x14ac:dyDescent="0.45">
      <c r="B8" s="9">
        <v>1</v>
      </c>
      <c r="C8" s="3" t="s">
        <v>74</v>
      </c>
      <c r="D8" s="9" t="s">
        <v>75</v>
      </c>
      <c r="E8" s="11">
        <v>20</v>
      </c>
      <c r="F8" s="6">
        <v>2784000</v>
      </c>
      <c r="G8" s="6">
        <v>2000428</v>
      </c>
      <c r="H8" s="6">
        <v>2555000</v>
      </c>
      <c r="I8" s="6">
        <v>3055171</v>
      </c>
      <c r="J8" s="6">
        <v>3098700</v>
      </c>
      <c r="K8" s="12">
        <f>MIN(F8:J8)</f>
        <v>2000428</v>
      </c>
      <c r="L8" s="13">
        <f>AVERAGE(F8:J8)</f>
        <v>2698659.8</v>
      </c>
      <c r="M8" s="12">
        <f>MAX(F8:J8)</f>
        <v>3098700</v>
      </c>
      <c r="N8" s="12">
        <f>MEDIAN(F8:J8)</f>
        <v>2784000</v>
      </c>
      <c r="O8" s="12">
        <f>(K8+L8)/2</f>
        <v>2349543.9</v>
      </c>
      <c r="P8" s="13">
        <f>STDEV(F8:J8)</f>
        <v>447934.46276905201</v>
      </c>
      <c r="Q8" s="7">
        <f>L8+P8</f>
        <v>3146594.2627690518</v>
      </c>
      <c r="R8" s="7">
        <f>L8-P8</f>
        <v>2250725.3372309478</v>
      </c>
      <c r="S8" s="14">
        <f>IFERROR(P8/L8,"")</f>
        <v>0.16598404243804724</v>
      </c>
      <c r="T8" s="9">
        <f>COUNTIF(F8:J8,"&gt;"&amp;Q8)</f>
        <v>0</v>
      </c>
    </row>
    <row r="9" spans="2:20" ht="30" customHeight="1" x14ac:dyDescent="0.45">
      <c r="B9" s="9">
        <v>2</v>
      </c>
      <c r="C9" s="3" t="s">
        <v>76</v>
      </c>
      <c r="D9" s="9" t="s">
        <v>75</v>
      </c>
      <c r="E9" s="11">
        <v>10</v>
      </c>
      <c r="F9" s="6">
        <v>3154000</v>
      </c>
      <c r="G9" s="6">
        <v>2530000</v>
      </c>
      <c r="H9" s="6">
        <v>2555000</v>
      </c>
      <c r="I9" s="6">
        <v>2880000</v>
      </c>
      <c r="J9" s="6">
        <v>2576200</v>
      </c>
      <c r="K9" s="12">
        <f>MIN(F9:J9)</f>
        <v>2530000</v>
      </c>
      <c r="L9" s="13">
        <f>AVERAGE(F9:J9)</f>
        <v>2739040</v>
      </c>
      <c r="M9" s="12">
        <f>MAX(F9:J9)</f>
        <v>3154000</v>
      </c>
      <c r="N9" s="12">
        <f>MEDIAN(F9:J9)</f>
        <v>2576200</v>
      </c>
      <c r="O9" s="12">
        <f>(K9+L9)/2</f>
        <v>2634520</v>
      </c>
      <c r="P9" s="13">
        <f>STDEV(F9:J9)</f>
        <v>272096.87245538121</v>
      </c>
      <c r="Q9" s="7">
        <f>L9+P9</f>
        <v>3011136.8724553813</v>
      </c>
      <c r="R9" s="7">
        <f>L9-P9</f>
        <v>2466943.1275446187</v>
      </c>
      <c r="S9" s="14">
        <f>IFERROR(P9/L9,"")</f>
        <v>9.9340233240617595E-2</v>
      </c>
      <c r="T9" s="9">
        <f>COUNTIF(F9:J9,"&gt;"&amp;Q9)</f>
        <v>1</v>
      </c>
    </row>
    <row r="10" spans="2:20" ht="30" customHeight="1" x14ac:dyDescent="0.45">
      <c r="B10" s="9">
        <v>3</v>
      </c>
      <c r="C10" s="3" t="s">
        <v>77</v>
      </c>
      <c r="D10" s="9" t="s">
        <v>78</v>
      </c>
      <c r="E10" s="11">
        <v>24</v>
      </c>
      <c r="F10" s="6">
        <v>1000000</v>
      </c>
      <c r="G10" s="6">
        <v>944600</v>
      </c>
      <c r="H10" s="6">
        <v>1929000</v>
      </c>
      <c r="I10" s="6">
        <v>1061000</v>
      </c>
      <c r="J10" s="6">
        <v>981200</v>
      </c>
      <c r="K10" s="12">
        <f>MIN(F10:J10)</f>
        <v>944600</v>
      </c>
      <c r="L10" s="13">
        <f>AVERAGE(F10:J10)</f>
        <v>1183160</v>
      </c>
      <c r="M10" s="12">
        <f>MAX(F10:J10)</f>
        <v>1929000</v>
      </c>
      <c r="N10" s="12">
        <f>MEDIAN(F10:J10)</f>
        <v>1000000</v>
      </c>
      <c r="O10" s="12">
        <f>(K10+L10)/2</f>
        <v>1063880</v>
      </c>
      <c r="P10" s="13">
        <f>STDEV(F10:J10)</f>
        <v>419060.45864528901</v>
      </c>
      <c r="Q10" s="7">
        <f>L10+P10</f>
        <v>1602220.4586452891</v>
      </c>
      <c r="R10" s="7">
        <f>L10-P10</f>
        <v>764099.54135471093</v>
      </c>
      <c r="S10" s="14">
        <f>IFERROR(P10/L10,"")</f>
        <v>0.35418747983813603</v>
      </c>
      <c r="T10" s="9">
        <f>COUNTIF(F10:J10,"&gt;"&amp;Q10)</f>
        <v>1</v>
      </c>
    </row>
    <row r="11" spans="2:20" ht="30" customHeight="1" x14ac:dyDescent="0.45">
      <c r="B11" s="9">
        <v>4</v>
      </c>
      <c r="C11" s="3" t="s">
        <v>79</v>
      </c>
      <c r="D11" s="9" t="s">
        <v>78</v>
      </c>
      <c r="E11" s="11">
        <v>12</v>
      </c>
      <c r="F11" s="6">
        <v>760000</v>
      </c>
      <c r="G11" s="6">
        <v>617000</v>
      </c>
      <c r="H11" s="6">
        <v>1929000</v>
      </c>
      <c r="I11" s="6">
        <v>690000</v>
      </c>
      <c r="J11" s="6">
        <v>644600</v>
      </c>
      <c r="K11" s="12">
        <f>MIN(F11:J11)</f>
        <v>617000</v>
      </c>
      <c r="L11" s="13">
        <f>AVERAGE(F11:J11)</f>
        <v>928120</v>
      </c>
      <c r="M11" s="12">
        <f>MAX(F11:J11)</f>
        <v>1929000</v>
      </c>
      <c r="N11" s="12">
        <f>MEDIAN(F11:J11)</f>
        <v>690000</v>
      </c>
      <c r="O11" s="12">
        <f>(K11+L11)/2</f>
        <v>772560</v>
      </c>
      <c r="P11" s="13">
        <f>STDEV(F11:J11)</f>
        <v>562117.75634647941</v>
      </c>
      <c r="Q11" s="7">
        <f>L11+P11</f>
        <v>1490237.7563464795</v>
      </c>
      <c r="R11" s="7">
        <f>L11-P11</f>
        <v>366002.24365352059</v>
      </c>
      <c r="S11" s="14">
        <f>IFERROR(P11/L11,"")</f>
        <v>0.60565202381855732</v>
      </c>
      <c r="T11" s="9">
        <f>COUNTIF(F11:J11,"&gt;"&amp;Q11)</f>
        <v>1</v>
      </c>
    </row>
    <row r="13" spans="2:20" ht="15" customHeight="1" x14ac:dyDescent="0.45">
      <c r="B13" s="43" t="s">
        <v>80</v>
      </c>
      <c r="C13" s="43"/>
      <c r="D13" s="43"/>
      <c r="E13" s="43"/>
      <c r="F13" s="43"/>
      <c r="G13" s="43"/>
      <c r="H13" s="43"/>
      <c r="I13" s="43"/>
      <c r="J13" s="43"/>
      <c r="K13" s="43"/>
      <c r="L13" s="43"/>
      <c r="M13" s="43"/>
      <c r="N13" s="43"/>
      <c r="O13" s="43"/>
      <c r="P13" s="43"/>
      <c r="Q13" s="43"/>
      <c r="R13" s="43"/>
      <c r="S13" s="43"/>
      <c r="T13" s="43"/>
    </row>
    <row r="15" spans="2:20" ht="27.75" customHeight="1" x14ac:dyDescent="0.45">
      <c r="B15" s="8" t="s">
        <v>81</v>
      </c>
      <c r="C15" s="8" t="s">
        <v>82</v>
      </c>
      <c r="D15" s="8" t="s">
        <v>83</v>
      </c>
      <c r="E15" s="8" t="s">
        <v>84</v>
      </c>
      <c r="F15" s="15" t="s">
        <v>85</v>
      </c>
    </row>
    <row r="16" spans="2:20" ht="25.5" customHeight="1" x14ac:dyDescent="0.45">
      <c r="B16" s="9">
        <v>1</v>
      </c>
      <c r="C16" s="10" t="s">
        <v>86</v>
      </c>
      <c r="D16" s="16" t="s">
        <v>87</v>
      </c>
      <c r="E16" s="16" t="s">
        <v>88</v>
      </c>
      <c r="F16" s="17" t="s">
        <v>89</v>
      </c>
    </row>
    <row r="17" spans="2:20" ht="25.5" customHeight="1" x14ac:dyDescent="0.45">
      <c r="B17" s="9">
        <v>2</v>
      </c>
      <c r="C17" s="10" t="s">
        <v>90</v>
      </c>
      <c r="D17" s="16" t="s">
        <v>91</v>
      </c>
      <c r="E17" s="16" t="s">
        <v>92</v>
      </c>
      <c r="F17" s="17" t="s">
        <v>93</v>
      </c>
    </row>
    <row r="18" spans="2:20" ht="25.5" customHeight="1" x14ac:dyDescent="0.45">
      <c r="B18" s="9">
        <v>3</v>
      </c>
      <c r="C18" s="10" t="s">
        <v>94</v>
      </c>
      <c r="D18" s="16" t="s">
        <v>95</v>
      </c>
      <c r="E18" s="16" t="s">
        <v>96</v>
      </c>
      <c r="F18" s="17" t="s">
        <v>97</v>
      </c>
    </row>
    <row r="19" spans="2:20" ht="25.5" customHeight="1" x14ac:dyDescent="0.45">
      <c r="B19" s="9">
        <v>4</v>
      </c>
      <c r="C19" s="10" t="s">
        <v>98</v>
      </c>
      <c r="D19" s="16" t="s">
        <v>99</v>
      </c>
      <c r="E19" s="16" t="s">
        <v>96</v>
      </c>
      <c r="F19" s="17" t="s">
        <v>97</v>
      </c>
    </row>
    <row r="20" spans="2:20" ht="25.5" customHeight="1" x14ac:dyDescent="0.45">
      <c r="B20" s="9">
        <v>5</v>
      </c>
      <c r="C20" s="10" t="s">
        <v>100</v>
      </c>
      <c r="D20" s="16" t="s">
        <v>101</v>
      </c>
      <c r="E20" s="16" t="s">
        <v>102</v>
      </c>
      <c r="F20" s="17" t="s">
        <v>97</v>
      </c>
    </row>
    <row r="22" spans="2:20" ht="21.75" customHeight="1" x14ac:dyDescent="0.45">
      <c r="B22" s="41" t="s">
        <v>103</v>
      </c>
      <c r="C22" s="41"/>
      <c r="D22" s="41"/>
      <c r="E22" s="41"/>
      <c r="F22" s="41"/>
    </row>
    <row r="23" spans="2:20" ht="21.75" customHeight="1" x14ac:dyDescent="0.45">
      <c r="B23" s="40" t="s">
        <v>104</v>
      </c>
      <c r="C23" s="40"/>
      <c r="D23" s="40"/>
      <c r="E23" s="40"/>
      <c r="F23" s="40"/>
      <c r="G23" s="40"/>
      <c r="H23" s="40"/>
      <c r="I23" s="40"/>
      <c r="J23" s="40"/>
      <c r="K23" s="40"/>
      <c r="L23" s="40"/>
      <c r="M23" s="40"/>
      <c r="N23" s="40"/>
      <c r="O23" s="40"/>
      <c r="P23" s="40"/>
      <c r="Q23" s="40"/>
      <c r="R23" s="40"/>
      <c r="S23" s="40"/>
      <c r="T23" s="40"/>
    </row>
    <row r="24" spans="2:20" ht="21.75" customHeight="1" x14ac:dyDescent="0.45">
      <c r="B24" s="40" t="s">
        <v>105</v>
      </c>
      <c r="C24" s="40"/>
      <c r="D24" s="40"/>
      <c r="E24" s="40"/>
      <c r="F24" s="40"/>
      <c r="G24" s="40"/>
      <c r="H24" s="40"/>
      <c r="I24" s="40"/>
      <c r="J24" s="40"/>
      <c r="K24" s="40"/>
      <c r="L24" s="40"/>
      <c r="M24" s="40"/>
      <c r="N24" s="40"/>
      <c r="O24" s="40"/>
      <c r="P24" s="40"/>
      <c r="Q24" s="40"/>
      <c r="R24" s="40"/>
      <c r="S24" s="40"/>
      <c r="T24" s="40"/>
    </row>
    <row r="25" spans="2:20" ht="21.75" customHeight="1" x14ac:dyDescent="0.45">
      <c r="B25" s="40" t="s">
        <v>106</v>
      </c>
      <c r="C25" s="40"/>
      <c r="D25" s="40"/>
      <c r="E25" s="40"/>
      <c r="F25" s="40"/>
      <c r="G25" s="40"/>
      <c r="H25" s="40"/>
      <c r="I25" s="40"/>
      <c r="J25" s="40"/>
      <c r="K25" s="40"/>
      <c r="L25" s="40"/>
      <c r="M25" s="40"/>
      <c r="N25" s="40"/>
      <c r="O25" s="40"/>
      <c r="P25" s="40"/>
      <c r="Q25" s="40"/>
      <c r="R25" s="40"/>
      <c r="S25" s="40"/>
      <c r="T25" s="40"/>
    </row>
    <row r="26" spans="2:20" ht="21.75" customHeight="1" x14ac:dyDescent="0.45">
      <c r="B26" s="40" t="s">
        <v>107</v>
      </c>
      <c r="C26" s="40"/>
      <c r="D26" s="40"/>
      <c r="E26" s="40"/>
      <c r="F26" s="40"/>
      <c r="G26" s="40"/>
      <c r="H26" s="40"/>
      <c r="I26" s="40"/>
      <c r="J26" s="40"/>
      <c r="K26" s="40"/>
      <c r="L26" s="40"/>
      <c r="M26" s="40"/>
      <c r="N26" s="40"/>
      <c r="O26" s="40"/>
      <c r="P26" s="40"/>
      <c r="Q26" s="40"/>
      <c r="R26" s="40"/>
      <c r="S26" s="40"/>
      <c r="T26" s="40"/>
    </row>
    <row r="27" spans="2:20" ht="21.75" customHeight="1" x14ac:dyDescent="0.45">
      <c r="B27" s="40" t="s">
        <v>108</v>
      </c>
      <c r="C27" s="40"/>
      <c r="D27" s="40"/>
      <c r="E27" s="40"/>
      <c r="F27" s="40"/>
      <c r="G27" s="40"/>
      <c r="H27" s="40"/>
      <c r="I27" s="40"/>
      <c r="J27" s="40"/>
      <c r="K27" s="40"/>
      <c r="L27" s="40"/>
      <c r="M27" s="40"/>
      <c r="N27" s="40"/>
      <c r="O27" s="40"/>
      <c r="P27" s="40"/>
      <c r="Q27" s="40"/>
      <c r="R27" s="40"/>
      <c r="S27" s="40"/>
      <c r="T27" s="40"/>
    </row>
  </sheetData>
  <mergeCells count="28">
    <mergeCell ref="H5:H6"/>
    <mergeCell ref="I5:I6"/>
    <mergeCell ref="B2:T2"/>
    <mergeCell ref="B3:E3"/>
    <mergeCell ref="F3:T3"/>
    <mergeCell ref="F4:J4"/>
    <mergeCell ref="K4:T4"/>
    <mergeCell ref="B22:F22"/>
    <mergeCell ref="T5:T6"/>
    <mergeCell ref="B13:T13"/>
    <mergeCell ref="O5:O6"/>
    <mergeCell ref="P5:P6"/>
    <mergeCell ref="Q5:Q6"/>
    <mergeCell ref="R5:R6"/>
    <mergeCell ref="S5:S6"/>
    <mergeCell ref="J5:J6"/>
    <mergeCell ref="K5:K6"/>
    <mergeCell ref="L5:L6"/>
    <mergeCell ref="M5:M6"/>
    <mergeCell ref="N5:N6"/>
    <mergeCell ref="B5:E6"/>
    <mergeCell ref="F5:F6"/>
    <mergeCell ref="G5:G6"/>
    <mergeCell ref="B24:T24"/>
    <mergeCell ref="B25:T25"/>
    <mergeCell ref="B26:T26"/>
    <mergeCell ref="B27:T27"/>
    <mergeCell ref="B23:T23"/>
  </mergeCells>
  <conditionalFormatting sqref="F8:J11">
    <cfRule type="expression" dxfId="1" priority="2">
      <formula>AND(ISNUMBER(F8),F8&gt;$Q8)</formula>
    </cfRule>
  </conditionalFormatting>
  <printOptions horizontalCentered="1"/>
  <pageMargins left="0.75" right="0.75" top="1" bottom="1" header="0.511811023622047" footer="0.51180555555555596"/>
  <pageSetup paperSize="9" fitToHeight="0" orientation="landscape" horizontalDpi="300" verticalDpi="300"/>
  <headerFooter>
    <oddFooter>&amp;C&amp;8 &amp;A - Página &amp;P de &amp;N</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2E75B6"/>
    <pageSetUpPr fitToPage="1"/>
  </sheetPr>
  <dimension ref="B2:Q30"/>
  <sheetViews>
    <sheetView showGridLines="0" zoomScaleNormal="100" workbookViewId="0">
      <pane xSplit="1" ySplit="11" topLeftCell="B18" activePane="bottomRight" state="frozen"/>
      <selection pane="topRight" activeCell="B1" sqref="B1"/>
      <selection pane="bottomLeft" activeCell="A12" sqref="A12"/>
      <selection pane="bottomRight" activeCell="B26" sqref="B26:Q26"/>
    </sheetView>
  </sheetViews>
  <sheetFormatPr baseColWidth="10" defaultColWidth="8.6640625" defaultRowHeight="14.25" x14ac:dyDescent="0.45"/>
  <cols>
    <col min="1" max="1" width="2" customWidth="1"/>
    <col min="2" max="2" width="6" customWidth="1"/>
    <col min="3" max="3" width="38" customWidth="1"/>
    <col min="4" max="4" width="16" customWidth="1"/>
    <col min="5" max="5" width="11" customWidth="1"/>
    <col min="6" max="6" width="15" customWidth="1"/>
    <col min="7" max="7" width="13" customWidth="1"/>
    <col min="8" max="8" width="16" customWidth="1"/>
    <col min="9" max="9" width="11" customWidth="1"/>
    <col min="10" max="10" width="13" customWidth="1"/>
    <col min="11" max="11" width="11" customWidth="1"/>
    <col min="12" max="13" width="16" customWidth="1"/>
    <col min="14" max="14" width="13" customWidth="1"/>
    <col min="15" max="15" width="16" customWidth="1"/>
    <col min="16" max="16" width="11" customWidth="1"/>
    <col min="17" max="17" width="16" customWidth="1"/>
  </cols>
  <sheetData>
    <row r="2" spans="2:17" ht="15" customHeight="1" x14ac:dyDescent="0.45">
      <c r="B2" s="35" t="s">
        <v>109</v>
      </c>
      <c r="C2" s="35"/>
      <c r="D2" s="35"/>
      <c r="E2" s="35"/>
      <c r="F2" s="35"/>
      <c r="G2" s="35"/>
      <c r="H2" s="35"/>
      <c r="I2" s="35"/>
      <c r="J2" s="35"/>
      <c r="K2" s="35"/>
      <c r="L2" s="35"/>
      <c r="M2" s="35"/>
      <c r="N2" s="35"/>
      <c r="O2" s="35"/>
      <c r="P2" s="35"/>
      <c r="Q2" s="35"/>
    </row>
    <row r="3" spans="2:17" ht="15" customHeight="1" x14ac:dyDescent="0.45">
      <c r="B3" s="36" t="s">
        <v>110</v>
      </c>
      <c r="C3" s="36"/>
      <c r="D3" s="36"/>
      <c r="E3" s="36"/>
      <c r="F3" s="36"/>
      <c r="G3" s="36"/>
      <c r="H3" s="36"/>
      <c r="I3" s="36"/>
      <c r="J3" s="36"/>
      <c r="K3" s="36"/>
      <c r="L3" s="36"/>
      <c r="M3" s="36"/>
      <c r="N3" s="36"/>
      <c r="O3" s="36"/>
      <c r="P3" s="36"/>
      <c r="Q3" s="36"/>
    </row>
    <row r="4" spans="2:17" ht="15" customHeight="1" x14ac:dyDescent="0.45">
      <c r="B4" s="37" t="s">
        <v>111</v>
      </c>
      <c r="C4" s="37"/>
      <c r="D4" s="19">
        <v>0.19</v>
      </c>
    </row>
    <row r="5" spans="2:17" ht="15" customHeight="1" x14ac:dyDescent="0.45">
      <c r="B5" s="45" t="s">
        <v>112</v>
      </c>
      <c r="C5" s="45"/>
      <c r="D5" s="45"/>
    </row>
    <row r="6" spans="2:17" ht="15" customHeight="1" x14ac:dyDescent="0.45">
      <c r="B6" s="52" t="s">
        <v>113</v>
      </c>
      <c r="C6" s="52"/>
      <c r="D6" s="20">
        <v>144.88</v>
      </c>
    </row>
    <row r="7" spans="2:17" ht="15" customHeight="1" x14ac:dyDescent="0.45">
      <c r="B7" s="52" t="s">
        <v>114</v>
      </c>
      <c r="C7" s="52"/>
      <c r="D7" s="20">
        <v>159.79</v>
      </c>
    </row>
    <row r="8" spans="2:17" ht="15" customHeight="1" x14ac:dyDescent="0.45">
      <c r="B8" s="52" t="s">
        <v>115</v>
      </c>
      <c r="C8" s="52"/>
      <c r="D8" s="21">
        <f>D7/D6</f>
        <v>1.1029127553837659</v>
      </c>
    </row>
    <row r="10" spans="2:17" ht="15" customHeight="1" x14ac:dyDescent="0.45">
      <c r="B10" s="39" t="s">
        <v>116</v>
      </c>
      <c r="C10" s="39"/>
      <c r="D10" s="39"/>
      <c r="E10" s="39"/>
      <c r="F10" s="39"/>
      <c r="G10" s="39"/>
      <c r="H10" s="39"/>
      <c r="I10" s="39" t="s">
        <v>117</v>
      </c>
      <c r="J10" s="39"/>
      <c r="K10" s="39"/>
      <c r="L10" s="39"/>
      <c r="M10" s="39" t="s">
        <v>118</v>
      </c>
      <c r="N10" s="39"/>
      <c r="O10" s="39"/>
      <c r="P10" s="39"/>
      <c r="Q10" s="39"/>
    </row>
    <row r="11" spans="2:17" ht="39.75" customHeight="1" x14ac:dyDescent="0.45">
      <c r="B11" s="8" t="s">
        <v>70</v>
      </c>
      <c r="C11" s="8" t="s">
        <v>119</v>
      </c>
      <c r="D11" s="8" t="s">
        <v>120</v>
      </c>
      <c r="E11" s="8" t="s">
        <v>121</v>
      </c>
      <c r="F11" s="8" t="s">
        <v>122</v>
      </c>
      <c r="G11" s="8" t="s">
        <v>123</v>
      </c>
      <c r="H11" s="8" t="s">
        <v>124</v>
      </c>
      <c r="I11" s="8" t="s">
        <v>125</v>
      </c>
      <c r="J11" s="8" t="s">
        <v>126</v>
      </c>
      <c r="K11" s="8" t="s">
        <v>127</v>
      </c>
      <c r="L11" s="8" t="s">
        <v>128</v>
      </c>
      <c r="M11" s="8" t="s">
        <v>129</v>
      </c>
      <c r="N11" s="8" t="s">
        <v>130</v>
      </c>
      <c r="O11" s="8" t="s">
        <v>131</v>
      </c>
      <c r="P11" s="8" t="s">
        <v>132</v>
      </c>
      <c r="Q11" s="8" t="s">
        <v>133</v>
      </c>
    </row>
    <row r="12" spans="2:17" ht="27.75" customHeight="1" x14ac:dyDescent="0.45">
      <c r="B12" s="9">
        <v>1</v>
      </c>
      <c r="C12" s="10" t="s">
        <v>134</v>
      </c>
      <c r="D12" s="16" t="s">
        <v>135</v>
      </c>
      <c r="E12" s="11">
        <v>500</v>
      </c>
      <c r="F12" s="6">
        <v>23800</v>
      </c>
      <c r="G12" s="12">
        <f>F12*$D$4</f>
        <v>4522</v>
      </c>
      <c r="H12" s="12">
        <f>(F12+G12)*E12</f>
        <v>14161000</v>
      </c>
      <c r="I12" s="22">
        <v>1</v>
      </c>
      <c r="J12" s="16" t="s">
        <v>75</v>
      </c>
      <c r="K12" s="11">
        <v>50</v>
      </c>
      <c r="L12" s="12">
        <f>F12*K12</f>
        <v>1190000</v>
      </c>
      <c r="M12" s="13">
        <f>L12*$D$8</f>
        <v>1312466.1789066815</v>
      </c>
      <c r="N12" s="12">
        <f>M12*$D$4</f>
        <v>249368.57399226949</v>
      </c>
      <c r="O12" s="12">
        <f>M12+N12</f>
        <v>1561834.7528989511</v>
      </c>
      <c r="P12" s="23">
        <f>'ANEXO 1 - COTIZACIONES'!E8</f>
        <v>20</v>
      </c>
      <c r="Q12" s="13">
        <f>O12*P12</f>
        <v>31236695.057979021</v>
      </c>
    </row>
    <row r="13" spans="2:17" ht="27.75" customHeight="1" x14ac:dyDescent="0.45">
      <c r="B13" s="9">
        <v>2</v>
      </c>
      <c r="C13" s="10" t="s">
        <v>136</v>
      </c>
      <c r="D13" s="16" t="s">
        <v>135</v>
      </c>
      <c r="E13" s="11">
        <v>300</v>
      </c>
      <c r="F13" s="6">
        <v>24850</v>
      </c>
      <c r="G13" s="12">
        <f>F13*$D$4</f>
        <v>4721.5</v>
      </c>
      <c r="H13" s="12">
        <f>(F13+G13)*E13</f>
        <v>8871450</v>
      </c>
      <c r="I13" s="24" t="s">
        <v>137</v>
      </c>
      <c r="J13" s="24" t="s">
        <v>138</v>
      </c>
      <c r="K13" s="24" t="s">
        <v>138</v>
      </c>
      <c r="L13" s="24" t="s">
        <v>138</v>
      </c>
      <c r="M13" s="24" t="s">
        <v>138</v>
      </c>
      <c r="N13" s="24" t="s">
        <v>138</v>
      </c>
      <c r="O13" s="24" t="s">
        <v>138</v>
      </c>
      <c r="P13" s="24" t="s">
        <v>138</v>
      </c>
      <c r="Q13" s="24" t="s">
        <v>138</v>
      </c>
    </row>
    <row r="14" spans="2:17" ht="27.75" customHeight="1" x14ac:dyDescent="0.45">
      <c r="B14" s="9">
        <v>3</v>
      </c>
      <c r="C14" s="10" t="s">
        <v>139</v>
      </c>
      <c r="D14" s="16" t="s">
        <v>135</v>
      </c>
      <c r="E14" s="11">
        <v>150</v>
      </c>
      <c r="F14" s="6">
        <v>38416</v>
      </c>
      <c r="G14" s="12">
        <f>F14*$D$4</f>
        <v>7299.04</v>
      </c>
      <c r="H14" s="12">
        <f>(F14+G14)*E14</f>
        <v>6857256</v>
      </c>
      <c r="I14" s="24" t="s">
        <v>137</v>
      </c>
      <c r="J14" s="24" t="s">
        <v>138</v>
      </c>
      <c r="K14" s="24" t="s">
        <v>138</v>
      </c>
      <c r="L14" s="24" t="s">
        <v>138</v>
      </c>
      <c r="M14" s="24" t="s">
        <v>138</v>
      </c>
      <c r="N14" s="24" t="s">
        <v>138</v>
      </c>
      <c r="O14" s="24" t="s">
        <v>138</v>
      </c>
      <c r="P14" s="24" t="s">
        <v>138</v>
      </c>
      <c r="Q14" s="24" t="s">
        <v>138</v>
      </c>
    </row>
    <row r="15" spans="2:17" ht="27.75" customHeight="1" x14ac:dyDescent="0.45">
      <c r="B15" s="9">
        <v>4</v>
      </c>
      <c r="C15" s="10" t="s">
        <v>140</v>
      </c>
      <c r="D15" s="16" t="s">
        <v>141</v>
      </c>
      <c r="E15" s="11">
        <v>3897</v>
      </c>
      <c r="F15" s="6">
        <v>3060</v>
      </c>
      <c r="G15" s="12">
        <f>F15*$D$4</f>
        <v>581.4</v>
      </c>
      <c r="H15" s="12">
        <f>(F15+G15)*E15</f>
        <v>14190535.800000001</v>
      </c>
      <c r="I15" s="22">
        <v>3</v>
      </c>
      <c r="J15" s="16" t="s">
        <v>78</v>
      </c>
      <c r="K15" s="11">
        <v>500</v>
      </c>
      <c r="L15" s="12">
        <f>F15*K15</f>
        <v>1530000</v>
      </c>
      <c r="M15" s="13">
        <f>L15*$D$8</f>
        <v>1687456.5157371617</v>
      </c>
      <c r="N15" s="12">
        <f>M15*$D$4</f>
        <v>320616.73799006076</v>
      </c>
      <c r="O15" s="12">
        <f>M15+N15</f>
        <v>2008073.2537272226</v>
      </c>
      <c r="P15" s="23">
        <f>'ANEXO 1 - COTIZACIONES'!E10</f>
        <v>24</v>
      </c>
      <c r="Q15" s="13">
        <f>O15*P15</f>
        <v>48193758.08945334</v>
      </c>
    </row>
    <row r="16" spans="2:17" ht="27.75" customHeight="1" x14ac:dyDescent="0.45">
      <c r="B16" s="9">
        <v>5</v>
      </c>
      <c r="C16" s="10" t="s">
        <v>142</v>
      </c>
      <c r="D16" s="16" t="s">
        <v>143</v>
      </c>
      <c r="E16" s="11">
        <v>72</v>
      </c>
      <c r="F16" s="6">
        <v>83667</v>
      </c>
      <c r="G16" s="12">
        <f>F16*$D$4</f>
        <v>15896.73</v>
      </c>
      <c r="H16" s="12">
        <f>(F16+G16)*E16</f>
        <v>7168588.5599999996</v>
      </c>
      <c r="I16" s="24" t="s">
        <v>137</v>
      </c>
      <c r="J16" s="24" t="s">
        <v>138</v>
      </c>
      <c r="K16" s="24" t="s">
        <v>138</v>
      </c>
      <c r="L16" s="24" t="s">
        <v>138</v>
      </c>
      <c r="M16" s="24" t="s">
        <v>138</v>
      </c>
      <c r="N16" s="24" t="s">
        <v>138</v>
      </c>
      <c r="O16" s="24" t="s">
        <v>138</v>
      </c>
      <c r="P16" s="24" t="s">
        <v>138</v>
      </c>
      <c r="Q16" s="24" t="s">
        <v>138</v>
      </c>
    </row>
    <row r="17" spans="2:17" ht="15" customHeight="1" x14ac:dyDescent="0.45">
      <c r="B17" s="50" t="s">
        <v>144</v>
      </c>
      <c r="C17" s="50"/>
      <c r="D17" s="50"/>
      <c r="E17" s="50"/>
      <c r="F17" s="50"/>
      <c r="G17" s="50"/>
      <c r="H17" s="13">
        <f>SUM(H12:H16)</f>
        <v>51248830.359999999</v>
      </c>
      <c r="I17" s="50" t="s">
        <v>145</v>
      </c>
      <c r="J17" s="50"/>
      <c r="K17" s="50"/>
      <c r="L17" s="50"/>
      <c r="M17" s="50"/>
      <c r="N17" s="50"/>
      <c r="O17" s="50"/>
      <c r="P17" s="50"/>
      <c r="Q17" s="13">
        <f>SUMIF(I12:I16,"&lt;&gt;NO COMPARABLE",Q12:Q16)</f>
        <v>79430453.147432357</v>
      </c>
    </row>
    <row r="19" spans="2:17" ht="15" customHeight="1" x14ac:dyDescent="0.45">
      <c r="B19" s="39" t="s">
        <v>146</v>
      </c>
      <c r="C19" s="39"/>
      <c r="D19" s="39"/>
      <c r="E19" s="39"/>
      <c r="F19" s="39"/>
      <c r="G19" s="39"/>
      <c r="H19" s="39"/>
      <c r="I19" s="39"/>
      <c r="J19" s="39"/>
      <c r="K19" s="39"/>
      <c r="L19" s="39"/>
      <c r="M19" s="39"/>
      <c r="N19" s="39"/>
      <c r="O19" s="39"/>
      <c r="P19" s="39"/>
      <c r="Q19" s="39"/>
    </row>
    <row r="20" spans="2:17" ht="27.75" customHeight="1" x14ac:dyDescent="0.45">
      <c r="B20" s="8" t="s">
        <v>70</v>
      </c>
      <c r="C20" s="8" t="s">
        <v>147</v>
      </c>
      <c r="D20" s="51" t="s">
        <v>148</v>
      </c>
      <c r="E20" s="51"/>
      <c r="F20" s="51" t="s">
        <v>149</v>
      </c>
      <c r="G20" s="51"/>
      <c r="H20" s="51"/>
      <c r="I20" s="51" t="s">
        <v>150</v>
      </c>
      <c r="J20" s="51"/>
      <c r="K20" s="51"/>
      <c r="L20" s="51" t="s">
        <v>151</v>
      </c>
      <c r="M20" s="51"/>
      <c r="N20" s="51" t="s">
        <v>152</v>
      </c>
      <c r="O20" s="51"/>
      <c r="P20" s="51"/>
      <c r="Q20" s="51"/>
    </row>
    <row r="21" spans="2:17" ht="15" customHeight="1" x14ac:dyDescent="0.45">
      <c r="B21" s="9">
        <v>1</v>
      </c>
      <c r="C21" s="10" t="s">
        <v>74</v>
      </c>
      <c r="D21" s="47" t="s">
        <v>75</v>
      </c>
      <c r="E21" s="47"/>
      <c r="F21" s="48">
        <f>M12</f>
        <v>1312466.1789066815</v>
      </c>
      <c r="G21" s="48"/>
      <c r="H21" s="48"/>
      <c r="I21" s="48">
        <f>'ANEXO 1 - COTIZACIONES'!L8</f>
        <v>2698659.8</v>
      </c>
      <c r="J21" s="48"/>
      <c r="K21" s="48"/>
      <c r="L21" s="48">
        <f>I21-F21</f>
        <v>1386193.6210933183</v>
      </c>
      <c r="M21" s="48"/>
      <c r="N21" s="49">
        <f>IFERROR(I21/F21-1,"")</f>
        <v>1.056174736821069</v>
      </c>
      <c r="O21" s="49"/>
      <c r="P21" s="49"/>
      <c r="Q21" s="49"/>
    </row>
    <row r="22" spans="2:17" ht="15" customHeight="1" x14ac:dyDescent="0.45">
      <c r="B22" s="9">
        <v>3</v>
      </c>
      <c r="C22" s="10" t="s">
        <v>77</v>
      </c>
      <c r="D22" s="47" t="s">
        <v>78</v>
      </c>
      <c r="E22" s="47"/>
      <c r="F22" s="48">
        <f>M15</f>
        <v>1687456.5157371617</v>
      </c>
      <c r="G22" s="48"/>
      <c r="H22" s="48"/>
      <c r="I22" s="48">
        <f>'ANEXO 1 - COTIZACIONES'!L10</f>
        <v>1183160</v>
      </c>
      <c r="J22" s="48"/>
      <c r="K22" s="48"/>
      <c r="L22" s="48">
        <f>I22-F22</f>
        <v>-504296.51573716174</v>
      </c>
      <c r="M22" s="48"/>
      <c r="N22" s="49">
        <f>IFERROR(I22/F22-1,"")</f>
        <v>-0.29885008060006857</v>
      </c>
      <c r="O22" s="49"/>
      <c r="P22" s="49"/>
      <c r="Q22" s="49"/>
    </row>
    <row r="25" spans="2:17" ht="21.75" customHeight="1" x14ac:dyDescent="0.45">
      <c r="B25" s="41" t="s">
        <v>103</v>
      </c>
      <c r="C25" s="41"/>
      <c r="D25" s="41"/>
      <c r="E25" s="41"/>
      <c r="F25" s="41"/>
      <c r="G25" s="41"/>
      <c r="H25" s="41"/>
    </row>
    <row r="26" spans="2:17" ht="24" customHeight="1" x14ac:dyDescent="0.45">
      <c r="B26" s="40" t="s">
        <v>223</v>
      </c>
      <c r="C26" s="40"/>
      <c r="D26" s="40"/>
      <c r="E26" s="40"/>
      <c r="F26" s="40"/>
      <c r="G26" s="40"/>
      <c r="H26" s="40"/>
      <c r="I26" s="40"/>
      <c r="J26" s="40"/>
      <c r="K26" s="40"/>
      <c r="L26" s="40"/>
      <c r="M26" s="40"/>
      <c r="N26" s="40"/>
      <c r="O26" s="40"/>
      <c r="P26" s="40"/>
      <c r="Q26" s="40"/>
    </row>
    <row r="27" spans="2:17" ht="24" customHeight="1" x14ac:dyDescent="0.45">
      <c r="B27" s="40" t="s">
        <v>153</v>
      </c>
      <c r="C27" s="40"/>
      <c r="D27" s="40"/>
      <c r="E27" s="40"/>
      <c r="F27" s="40"/>
      <c r="G27" s="40"/>
      <c r="H27" s="40"/>
      <c r="I27" s="40"/>
      <c r="J27" s="40"/>
      <c r="K27" s="40"/>
      <c r="L27" s="40"/>
      <c r="M27" s="40"/>
      <c r="N27" s="40"/>
      <c r="O27" s="40"/>
      <c r="P27" s="40"/>
      <c r="Q27" s="40"/>
    </row>
    <row r="28" spans="2:17" ht="24" customHeight="1" x14ac:dyDescent="0.45">
      <c r="B28" s="40" t="s">
        <v>154</v>
      </c>
      <c r="C28" s="40"/>
      <c r="D28" s="40"/>
      <c r="E28" s="40"/>
      <c r="F28" s="40"/>
      <c r="G28" s="40"/>
      <c r="H28" s="40"/>
      <c r="I28" s="40"/>
      <c r="J28" s="40"/>
      <c r="K28" s="40"/>
      <c r="L28" s="40"/>
      <c r="M28" s="40"/>
      <c r="N28" s="40"/>
      <c r="O28" s="40"/>
      <c r="P28" s="40"/>
      <c r="Q28" s="40"/>
    </row>
    <row r="29" spans="2:17" ht="24" customHeight="1" x14ac:dyDescent="0.45">
      <c r="B29" s="40" t="s">
        <v>155</v>
      </c>
      <c r="C29" s="40"/>
      <c r="D29" s="40"/>
      <c r="E29" s="40"/>
      <c r="F29" s="40"/>
      <c r="G29" s="40"/>
      <c r="H29" s="40"/>
      <c r="I29" s="40"/>
      <c r="J29" s="40"/>
      <c r="K29" s="40"/>
      <c r="L29" s="40"/>
      <c r="M29" s="40"/>
      <c r="N29" s="40"/>
      <c r="O29" s="40"/>
      <c r="P29" s="40"/>
      <c r="Q29" s="40"/>
    </row>
    <row r="30" spans="2:17" ht="24" customHeight="1" x14ac:dyDescent="0.45">
      <c r="B30" s="40" t="s">
        <v>156</v>
      </c>
      <c r="C30" s="40"/>
      <c r="D30" s="40"/>
      <c r="E30" s="40"/>
      <c r="F30" s="40"/>
      <c r="G30" s="40"/>
      <c r="H30" s="40"/>
      <c r="I30" s="40"/>
      <c r="J30" s="40"/>
      <c r="K30" s="40"/>
      <c r="L30" s="40"/>
      <c r="M30" s="40"/>
      <c r="N30" s="40"/>
      <c r="O30" s="40"/>
      <c r="P30" s="40"/>
      <c r="Q30" s="40"/>
    </row>
  </sheetData>
  <mergeCells count="34">
    <mergeCell ref="B25:H25"/>
    <mergeCell ref="B2:Q2"/>
    <mergeCell ref="B3:Q3"/>
    <mergeCell ref="B4:C4"/>
    <mergeCell ref="B5:D5"/>
    <mergeCell ref="B6:C6"/>
    <mergeCell ref="B7:C7"/>
    <mergeCell ref="B8:C8"/>
    <mergeCell ref="B10:H10"/>
    <mergeCell ref="I10:L10"/>
    <mergeCell ref="M10:Q10"/>
    <mergeCell ref="B17:G17"/>
    <mergeCell ref="I17:P17"/>
    <mergeCell ref="B19:Q19"/>
    <mergeCell ref="D20:E20"/>
    <mergeCell ref="F20:H20"/>
    <mergeCell ref="I20:K20"/>
    <mergeCell ref="L20:M20"/>
    <mergeCell ref="N20:Q20"/>
    <mergeCell ref="D21:E21"/>
    <mergeCell ref="F21:H21"/>
    <mergeCell ref="I21:K21"/>
    <mergeCell ref="L21:M21"/>
    <mergeCell ref="N21:Q21"/>
    <mergeCell ref="D22:E22"/>
    <mergeCell ref="F22:H22"/>
    <mergeCell ref="I22:K22"/>
    <mergeCell ref="L22:M22"/>
    <mergeCell ref="N22:Q22"/>
    <mergeCell ref="B26:Q26"/>
    <mergeCell ref="B27:Q27"/>
    <mergeCell ref="B28:Q28"/>
    <mergeCell ref="B29:Q29"/>
    <mergeCell ref="B30:Q30"/>
  </mergeCells>
  <printOptions horizontalCentered="1"/>
  <pageMargins left="0.75" right="0.75" top="1" bottom="1" header="0.511811023622047" footer="0.51180555555555596"/>
  <pageSetup paperSize="9" fitToHeight="0" orientation="landscape" horizontalDpi="300" verticalDpi="300"/>
  <headerFooter>
    <oddFooter>&amp;C&amp;8 &amp;A - Página &amp;P de &amp;N</oddFooter>
  </headerFooter>
  <legacy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7030A0"/>
    <pageSetUpPr fitToPage="1"/>
  </sheetPr>
  <dimension ref="B2:S39"/>
  <sheetViews>
    <sheetView showGridLines="0" zoomScaleNormal="100" workbookViewId="0">
      <pane xSplit="5" ySplit="7" topLeftCell="F29" activePane="bottomRight" state="frozen"/>
      <selection pane="topRight" activeCell="F1" sqref="F1"/>
      <selection pane="bottomLeft" activeCell="A8" sqref="A8"/>
      <selection pane="bottomRight" activeCell="B36" sqref="B36:S36"/>
    </sheetView>
  </sheetViews>
  <sheetFormatPr baseColWidth="10" defaultColWidth="8.6640625" defaultRowHeight="14.25" x14ac:dyDescent="0.45"/>
  <cols>
    <col min="1" max="1" width="2" customWidth="1"/>
    <col min="2" max="2" width="6" customWidth="1"/>
    <col min="3" max="3" width="34" customWidth="1"/>
    <col min="4" max="4" width="12" customWidth="1"/>
    <col min="5" max="5" width="9" customWidth="1"/>
    <col min="6" max="10" width="14" customWidth="1"/>
    <col min="11" max="11" width="15" customWidth="1"/>
    <col min="12" max="12" width="6" customWidth="1"/>
    <col min="13" max="14" width="14" customWidth="1"/>
    <col min="15" max="17" width="15" customWidth="1"/>
    <col min="18" max="18" width="13" customWidth="1"/>
    <col min="19" max="19" width="16" customWidth="1"/>
  </cols>
  <sheetData>
    <row r="2" spans="2:19" ht="15" customHeight="1" x14ac:dyDescent="0.45">
      <c r="B2" s="35" t="s">
        <v>157</v>
      </c>
      <c r="C2" s="35"/>
      <c r="D2" s="35"/>
      <c r="E2" s="35"/>
      <c r="F2" s="35"/>
      <c r="G2" s="35"/>
      <c r="H2" s="35"/>
      <c r="I2" s="35"/>
      <c r="J2" s="35"/>
      <c r="K2" s="35"/>
      <c r="L2" s="35"/>
      <c r="M2" s="35"/>
      <c r="N2" s="35"/>
      <c r="O2" s="35"/>
      <c r="P2" s="35"/>
      <c r="Q2" s="35"/>
      <c r="R2" s="35"/>
      <c r="S2" s="35"/>
    </row>
    <row r="3" spans="2:19" ht="25.5" customHeight="1" x14ac:dyDescent="0.45">
      <c r="B3" s="46" t="s">
        <v>6</v>
      </c>
      <c r="C3" s="46"/>
      <c r="D3" s="46"/>
      <c r="E3" s="46"/>
      <c r="F3" s="46"/>
      <c r="G3" s="46"/>
      <c r="H3" s="46"/>
      <c r="I3" s="46"/>
      <c r="J3" s="46"/>
      <c r="K3" s="46"/>
      <c r="L3" s="46"/>
      <c r="M3" s="46"/>
      <c r="N3" s="46"/>
      <c r="O3" s="46"/>
      <c r="P3" s="46"/>
      <c r="Q3" s="46"/>
      <c r="R3" s="46"/>
      <c r="S3" s="46"/>
    </row>
    <row r="4" spans="2:19" ht="15" customHeight="1" x14ac:dyDescent="0.45">
      <c r="B4" s="37" t="s">
        <v>111</v>
      </c>
      <c r="C4" s="37"/>
      <c r="D4" s="25">
        <f>'ANEXO 2 - HISTÓRICO'!$D$4</f>
        <v>0.19</v>
      </c>
    </row>
    <row r="5" spans="2:19" ht="15" customHeight="1" x14ac:dyDescent="0.45">
      <c r="B5" s="39" t="s">
        <v>158</v>
      </c>
      <c r="C5" s="39"/>
      <c r="D5" s="39"/>
      <c r="E5" s="39"/>
      <c r="F5" s="39"/>
      <c r="G5" s="39"/>
      <c r="H5" s="39"/>
      <c r="I5" s="39"/>
      <c r="J5" s="39"/>
      <c r="K5" s="39"/>
      <c r="L5" s="39"/>
      <c r="M5" s="39"/>
      <c r="N5" s="39"/>
      <c r="O5" s="39"/>
      <c r="P5" s="39"/>
      <c r="Q5" s="39"/>
      <c r="R5" s="39"/>
      <c r="S5" s="39"/>
    </row>
    <row r="6" spans="2:19" ht="15" customHeight="1" x14ac:dyDescent="0.45">
      <c r="F6" s="39" t="s">
        <v>159</v>
      </c>
      <c r="G6" s="39"/>
      <c r="H6" s="39"/>
      <c r="I6" s="39"/>
      <c r="J6" s="39"/>
      <c r="K6" s="39"/>
      <c r="L6" s="39" t="s">
        <v>160</v>
      </c>
      <c r="M6" s="39"/>
      <c r="N6" s="39"/>
      <c r="O6" s="39"/>
      <c r="P6" s="39"/>
      <c r="Q6" s="39"/>
    </row>
    <row r="7" spans="2:19" ht="45.75" customHeight="1" x14ac:dyDescent="0.45">
      <c r="B7" s="8" t="s">
        <v>70</v>
      </c>
      <c r="C7" s="8" t="s">
        <v>147</v>
      </c>
      <c r="D7" s="8" t="s">
        <v>72</v>
      </c>
      <c r="E7" s="8" t="s">
        <v>73</v>
      </c>
      <c r="F7" s="8" t="s">
        <v>86</v>
      </c>
      <c r="G7" s="8" t="s">
        <v>90</v>
      </c>
      <c r="H7" s="8" t="s">
        <v>161</v>
      </c>
      <c r="I7" s="8" t="s">
        <v>98</v>
      </c>
      <c r="J7" s="8" t="s">
        <v>100</v>
      </c>
      <c r="K7" s="26" t="s">
        <v>162</v>
      </c>
      <c r="L7" s="8" t="s">
        <v>163</v>
      </c>
      <c r="M7" s="8" t="s">
        <v>61</v>
      </c>
      <c r="N7" s="8" t="s">
        <v>65</v>
      </c>
      <c r="O7" s="8" t="s">
        <v>66</v>
      </c>
      <c r="P7" s="8" t="s">
        <v>67</v>
      </c>
      <c r="Q7" s="8" t="s">
        <v>164</v>
      </c>
    </row>
    <row r="8" spans="2:19" ht="25.5" customHeight="1" x14ac:dyDescent="0.45">
      <c r="B8" s="9">
        <v>1</v>
      </c>
      <c r="C8" s="10" t="s">
        <v>74</v>
      </c>
      <c r="D8" s="16" t="s">
        <v>75</v>
      </c>
      <c r="E8" s="23">
        <f>'ANEXO 1 - COTIZACIONES'!E8</f>
        <v>20</v>
      </c>
      <c r="F8" s="27">
        <f>'ANEXO 1 - COTIZACIONES'!F8</f>
        <v>2784000</v>
      </c>
      <c r="G8" s="27">
        <f>'ANEXO 1 - COTIZACIONES'!G8</f>
        <v>2000428</v>
      </c>
      <c r="H8" s="27">
        <f>'ANEXO 1 - COTIZACIONES'!H8</f>
        <v>2555000</v>
      </c>
      <c r="I8" s="27">
        <f>'ANEXO 1 - COTIZACIONES'!I8</f>
        <v>3055171</v>
      </c>
      <c r="J8" s="27">
        <f>'ANEXO 1 - COTIZACIONES'!J8</f>
        <v>3098700</v>
      </c>
      <c r="K8" s="28">
        <f>'ANEXO 2 - HISTÓRICO'!M12</f>
        <v>1312466.1789066815</v>
      </c>
      <c r="L8" s="9">
        <f>COUNT(F8:K8)</f>
        <v>6</v>
      </c>
      <c r="M8" s="13">
        <f>AVERAGE(F8:K8)</f>
        <v>2467627.52981778</v>
      </c>
      <c r="N8" s="13">
        <f>STDEV(F8:K8)</f>
        <v>693377.01544128277</v>
      </c>
      <c r="O8" s="7">
        <f>M8+N8</f>
        <v>3161004.5452590627</v>
      </c>
      <c r="P8" s="7">
        <f>M8-N8</f>
        <v>1774250.5143764974</v>
      </c>
      <c r="Q8" s="22">
        <f>COUNTIF(F8:K8,"&gt;"&amp;O8)</f>
        <v>0</v>
      </c>
    </row>
    <row r="9" spans="2:19" ht="25.5" customHeight="1" x14ac:dyDescent="0.45">
      <c r="B9" s="9">
        <v>2</v>
      </c>
      <c r="C9" s="10" t="s">
        <v>76</v>
      </c>
      <c r="D9" s="16" t="s">
        <v>75</v>
      </c>
      <c r="E9" s="23">
        <f>'ANEXO 1 - COTIZACIONES'!E9</f>
        <v>10</v>
      </c>
      <c r="F9" s="27">
        <f>'ANEXO 1 - COTIZACIONES'!F9</f>
        <v>3154000</v>
      </c>
      <c r="G9" s="27">
        <f>'ANEXO 1 - COTIZACIONES'!G9</f>
        <v>2530000</v>
      </c>
      <c r="H9" s="27">
        <f>'ANEXO 1 - COTIZACIONES'!H9</f>
        <v>2555000</v>
      </c>
      <c r="I9" s="27">
        <f>'ANEXO 1 - COTIZACIONES'!I9</f>
        <v>2880000</v>
      </c>
      <c r="J9" s="27">
        <f>'ANEXO 1 - COTIZACIONES'!J9</f>
        <v>2576200</v>
      </c>
      <c r="K9" s="29" t="s">
        <v>138</v>
      </c>
      <c r="L9" s="9">
        <f>COUNT(F9:K9)</f>
        <v>5</v>
      </c>
      <c r="M9" s="13">
        <f>AVERAGE(F9:K9)</f>
        <v>2739040</v>
      </c>
      <c r="N9" s="13">
        <f>STDEV(F9:K9)</f>
        <v>272096.87245538121</v>
      </c>
      <c r="O9" s="7">
        <f>M9+N9</f>
        <v>3011136.8724553813</v>
      </c>
      <c r="P9" s="7">
        <f>M9-N9</f>
        <v>2466943.1275446187</v>
      </c>
      <c r="Q9" s="22">
        <f>COUNTIF(F9:K9,"&gt;"&amp;O9)</f>
        <v>1</v>
      </c>
    </row>
    <row r="10" spans="2:19" ht="25.5" customHeight="1" x14ac:dyDescent="0.45">
      <c r="B10" s="9">
        <v>3</v>
      </c>
      <c r="C10" s="10" t="s">
        <v>77</v>
      </c>
      <c r="D10" s="16" t="s">
        <v>78</v>
      </c>
      <c r="E10" s="23">
        <f>'ANEXO 1 - COTIZACIONES'!E10</f>
        <v>24</v>
      </c>
      <c r="F10" s="27">
        <f>'ANEXO 1 - COTIZACIONES'!F10</f>
        <v>1000000</v>
      </c>
      <c r="G10" s="27">
        <f>'ANEXO 1 - COTIZACIONES'!G10</f>
        <v>944600</v>
      </c>
      <c r="H10" s="27">
        <f>'ANEXO 1 - COTIZACIONES'!H10</f>
        <v>1929000</v>
      </c>
      <c r="I10" s="27">
        <f>'ANEXO 1 - COTIZACIONES'!I10</f>
        <v>1061000</v>
      </c>
      <c r="J10" s="27">
        <f>'ANEXO 1 - COTIZACIONES'!J10</f>
        <v>981200</v>
      </c>
      <c r="K10" s="28">
        <f>'ANEXO 2 - HISTÓRICO'!M15</f>
        <v>1687456.5157371617</v>
      </c>
      <c r="L10" s="9">
        <f>COUNT(F10:K10)</f>
        <v>6</v>
      </c>
      <c r="M10" s="13">
        <f>AVERAGE(F10:K10)</f>
        <v>1267209.419289527</v>
      </c>
      <c r="N10" s="13">
        <f>STDEV(F10:K10)</f>
        <v>427639.05773144698</v>
      </c>
      <c r="O10" s="7">
        <f>M10+N10</f>
        <v>1694848.477020974</v>
      </c>
      <c r="P10" s="7">
        <f>M10-N10</f>
        <v>839570.36155807995</v>
      </c>
      <c r="Q10" s="22">
        <f>COUNTIF(F10:K10,"&gt;"&amp;O10)</f>
        <v>1</v>
      </c>
    </row>
    <row r="11" spans="2:19" ht="25.5" customHeight="1" x14ac:dyDescent="0.45">
      <c r="B11" s="9">
        <v>4</v>
      </c>
      <c r="C11" s="10" t="s">
        <v>79</v>
      </c>
      <c r="D11" s="16" t="s">
        <v>78</v>
      </c>
      <c r="E11" s="23">
        <f>'ANEXO 1 - COTIZACIONES'!E11</f>
        <v>12</v>
      </c>
      <c r="F11" s="27">
        <f>'ANEXO 1 - COTIZACIONES'!F11</f>
        <v>760000</v>
      </c>
      <c r="G11" s="27">
        <f>'ANEXO 1 - COTIZACIONES'!G11</f>
        <v>617000</v>
      </c>
      <c r="H11" s="27">
        <f>'ANEXO 1 - COTIZACIONES'!H11</f>
        <v>1929000</v>
      </c>
      <c r="I11" s="27">
        <f>'ANEXO 1 - COTIZACIONES'!I11</f>
        <v>690000</v>
      </c>
      <c r="J11" s="27">
        <f>'ANEXO 1 - COTIZACIONES'!J11</f>
        <v>644600</v>
      </c>
      <c r="K11" s="29" t="s">
        <v>138</v>
      </c>
      <c r="L11" s="9">
        <f>COUNT(F11:K11)</f>
        <v>5</v>
      </c>
      <c r="M11" s="13">
        <f>AVERAGE(F11:K11)</f>
        <v>928120</v>
      </c>
      <c r="N11" s="13">
        <f>STDEV(F11:K11)</f>
        <v>562117.75634647941</v>
      </c>
      <c r="O11" s="7">
        <f>M11+N11</f>
        <v>1490237.7563464795</v>
      </c>
      <c r="P11" s="7">
        <f>M11-N11</f>
        <v>366002.24365352059</v>
      </c>
      <c r="Q11" s="22">
        <f>COUNTIF(F11:K11,"&gt;"&amp;O11)</f>
        <v>1</v>
      </c>
    </row>
    <row r="13" spans="2:19" ht="15" customHeight="1" x14ac:dyDescent="0.45">
      <c r="B13" s="43" t="s">
        <v>165</v>
      </c>
      <c r="C13" s="43"/>
      <c r="D13" s="43"/>
      <c r="E13" s="43"/>
      <c r="F13" s="43"/>
      <c r="G13" s="43"/>
      <c r="H13" s="43"/>
      <c r="I13" s="43"/>
      <c r="J13" s="43"/>
      <c r="K13" s="43"/>
      <c r="L13" s="43"/>
      <c r="M13" s="43"/>
      <c r="N13" s="43"/>
      <c r="O13" s="43"/>
      <c r="P13" s="43"/>
      <c r="Q13" s="43"/>
      <c r="R13" s="43"/>
      <c r="S13" s="43"/>
    </row>
    <row r="15" spans="2:19" ht="15" customHeight="1" x14ac:dyDescent="0.45">
      <c r="B15" s="39" t="s">
        <v>166</v>
      </c>
      <c r="C15" s="39"/>
      <c r="D15" s="39"/>
      <c r="E15" s="39"/>
      <c r="F15" s="39"/>
      <c r="G15" s="39"/>
      <c r="H15" s="39"/>
      <c r="I15" s="39"/>
      <c r="J15" s="39"/>
      <c r="K15" s="39"/>
      <c r="L15" s="39"/>
      <c r="M15" s="39"/>
      <c r="N15" s="39"/>
      <c r="O15" s="39"/>
      <c r="P15" s="39"/>
      <c r="Q15" s="39"/>
      <c r="R15" s="39"/>
      <c r="S15" s="39"/>
    </row>
    <row r="16" spans="2:19" ht="21.4" customHeight="1" x14ac:dyDescent="0.45">
      <c r="F16" s="39" t="s">
        <v>167</v>
      </c>
      <c r="G16" s="39"/>
      <c r="H16" s="39"/>
      <c r="I16" s="39"/>
      <c r="J16" s="39"/>
      <c r="K16" s="39"/>
      <c r="L16" s="39" t="s">
        <v>168</v>
      </c>
      <c r="M16" s="39"/>
      <c r="N16" s="39"/>
      <c r="O16" s="39"/>
      <c r="P16" s="39"/>
      <c r="Q16" s="39" t="s">
        <v>169</v>
      </c>
      <c r="R16" s="39"/>
      <c r="S16" s="39"/>
    </row>
    <row r="17" spans="2:19" ht="49.5" customHeight="1" x14ac:dyDescent="0.45">
      <c r="B17" s="8" t="s">
        <v>70</v>
      </c>
      <c r="C17" s="8" t="s">
        <v>147</v>
      </c>
      <c r="D17" s="8" t="s">
        <v>72</v>
      </c>
      <c r="E17" s="8" t="s">
        <v>73</v>
      </c>
      <c r="F17" s="8" t="s">
        <v>86</v>
      </c>
      <c r="G17" s="8" t="s">
        <v>90</v>
      </c>
      <c r="H17" s="8" t="s">
        <v>161</v>
      </c>
      <c r="I17" s="8" t="s">
        <v>98</v>
      </c>
      <c r="J17" s="8" t="s">
        <v>100</v>
      </c>
      <c r="K17" s="26" t="s">
        <v>162</v>
      </c>
      <c r="L17" s="8" t="s">
        <v>163</v>
      </c>
      <c r="M17" s="8" t="s">
        <v>170</v>
      </c>
      <c r="N17" s="8" t="s">
        <v>65</v>
      </c>
      <c r="O17" s="8" t="s">
        <v>66</v>
      </c>
      <c r="P17" s="8" t="s">
        <v>67</v>
      </c>
      <c r="Q17" s="8" t="s">
        <v>171</v>
      </c>
      <c r="R17" s="8" t="s">
        <v>172</v>
      </c>
      <c r="S17" s="8" t="s">
        <v>173</v>
      </c>
    </row>
    <row r="18" spans="2:19" ht="30" customHeight="1" x14ac:dyDescent="0.45">
      <c r="B18" s="9">
        <v>1</v>
      </c>
      <c r="C18" s="10" t="s">
        <v>74</v>
      </c>
      <c r="D18" s="16" t="s">
        <v>75</v>
      </c>
      <c r="E18" s="23">
        <f>E8</f>
        <v>20</v>
      </c>
      <c r="F18" s="12">
        <f t="shared" ref="F18:K21" si="0">IF(NOT(ISNUMBER(F8)),"N/A",IF(F8&gt;$O8,"EXCLUIDO",F8))</f>
        <v>2784000</v>
      </c>
      <c r="G18" s="12">
        <f t="shared" si="0"/>
        <v>2000428</v>
      </c>
      <c r="H18" s="12">
        <f t="shared" si="0"/>
        <v>2555000</v>
      </c>
      <c r="I18" s="12">
        <f t="shared" si="0"/>
        <v>3055171</v>
      </c>
      <c r="J18" s="12">
        <f t="shared" si="0"/>
        <v>3098700</v>
      </c>
      <c r="K18" s="12">
        <f t="shared" si="0"/>
        <v>1312466.1789066815</v>
      </c>
      <c r="L18" s="9">
        <f>COUNT(F18:K18)</f>
        <v>6</v>
      </c>
      <c r="M18" s="13">
        <f>AVERAGE(F18:K18)</f>
        <v>2467627.52981778</v>
      </c>
      <c r="N18" s="13">
        <f>STDEV(F18:K18)</f>
        <v>693377.01544128277</v>
      </c>
      <c r="O18" s="12">
        <f>M18+N18</f>
        <v>3161004.5452590627</v>
      </c>
      <c r="P18" s="7">
        <f>M18-N18</f>
        <v>1774250.5143764974</v>
      </c>
      <c r="Q18" s="13">
        <f>MIN(F18:K18)</f>
        <v>1312466.1789066815</v>
      </c>
      <c r="R18" s="22" t="str">
        <f>IF(Q18&gt;=P18,"SÍ","NO")</f>
        <v>NO</v>
      </c>
      <c r="S18" s="30">
        <f>_xlfn.MINIFS(F18:K18,F18:K18,"&gt;="&amp;P18)</f>
        <v>2000428</v>
      </c>
    </row>
    <row r="19" spans="2:19" ht="30" customHeight="1" x14ac:dyDescent="0.45">
      <c r="B19" s="9">
        <v>2</v>
      </c>
      <c r="C19" s="10" t="s">
        <v>76</v>
      </c>
      <c r="D19" s="16" t="s">
        <v>75</v>
      </c>
      <c r="E19" s="23">
        <f>E9</f>
        <v>10</v>
      </c>
      <c r="F19" s="12" t="str">
        <f t="shared" si="0"/>
        <v>EXCLUIDO</v>
      </c>
      <c r="G19" s="12">
        <f t="shared" si="0"/>
        <v>2530000</v>
      </c>
      <c r="H19" s="12">
        <f t="shared" si="0"/>
        <v>2555000</v>
      </c>
      <c r="I19" s="12">
        <f t="shared" si="0"/>
        <v>2880000</v>
      </c>
      <c r="J19" s="12">
        <f t="shared" si="0"/>
        <v>2576200</v>
      </c>
      <c r="K19" s="12" t="str">
        <f t="shared" si="0"/>
        <v>N/A</v>
      </c>
      <c r="L19" s="9">
        <f>COUNT(F19:K19)</f>
        <v>4</v>
      </c>
      <c r="M19" s="13">
        <f>AVERAGE(F19:K19)</f>
        <v>2635300</v>
      </c>
      <c r="N19" s="13">
        <f>STDEV(F19:K19)</f>
        <v>164222.49135446298</v>
      </c>
      <c r="O19" s="12">
        <f>M19+N19</f>
        <v>2799522.4913544632</v>
      </c>
      <c r="P19" s="7">
        <f>M19-N19</f>
        <v>2471077.5086455368</v>
      </c>
      <c r="Q19" s="13">
        <f>MIN(F19:K19)</f>
        <v>2530000</v>
      </c>
      <c r="R19" s="22" t="str">
        <f>IF(Q19&gt;=P19,"SÍ","NO")</f>
        <v>SÍ</v>
      </c>
      <c r="S19" s="30">
        <f>_xlfn.MINIFS(F19:K19,F19:K19,"&gt;="&amp;P19)</f>
        <v>2530000</v>
      </c>
    </row>
    <row r="20" spans="2:19" ht="30" customHeight="1" x14ac:dyDescent="0.45">
      <c r="B20" s="9">
        <v>3</v>
      </c>
      <c r="C20" s="10" t="s">
        <v>77</v>
      </c>
      <c r="D20" s="16" t="s">
        <v>78</v>
      </c>
      <c r="E20" s="23">
        <f>E10</f>
        <v>24</v>
      </c>
      <c r="F20" s="12">
        <f t="shared" si="0"/>
        <v>1000000</v>
      </c>
      <c r="G20" s="12">
        <f t="shared" si="0"/>
        <v>944600</v>
      </c>
      <c r="H20" s="12" t="str">
        <f t="shared" si="0"/>
        <v>EXCLUIDO</v>
      </c>
      <c r="I20" s="12">
        <f t="shared" si="0"/>
        <v>1061000</v>
      </c>
      <c r="J20" s="12">
        <f t="shared" si="0"/>
        <v>981200</v>
      </c>
      <c r="K20" s="12">
        <f t="shared" si="0"/>
        <v>1687456.5157371617</v>
      </c>
      <c r="L20" s="9">
        <f>COUNT(F20:K20)</f>
        <v>5</v>
      </c>
      <c r="M20" s="13">
        <f>AVERAGE(F20:K20)</f>
        <v>1134851.3031474324</v>
      </c>
      <c r="N20" s="13">
        <f>STDEV(F20:K20)</f>
        <v>311775.43650305213</v>
      </c>
      <c r="O20" s="12">
        <f>M20+N20</f>
        <v>1446626.7396504846</v>
      </c>
      <c r="P20" s="7">
        <f>M20-N20</f>
        <v>823075.86664438026</v>
      </c>
      <c r="Q20" s="13">
        <f>MIN(F20:K20)</f>
        <v>944600</v>
      </c>
      <c r="R20" s="22" t="str">
        <f>IF(Q20&gt;=P20,"SÍ","NO")</f>
        <v>SÍ</v>
      </c>
      <c r="S20" s="30">
        <f>_xlfn.MINIFS(F20:K20,F20:K20,"&gt;="&amp;P20)</f>
        <v>944600</v>
      </c>
    </row>
    <row r="21" spans="2:19" ht="30" customHeight="1" x14ac:dyDescent="0.45">
      <c r="B21" s="9">
        <v>4</v>
      </c>
      <c r="C21" s="10" t="s">
        <v>79</v>
      </c>
      <c r="D21" s="16" t="s">
        <v>78</v>
      </c>
      <c r="E21" s="23">
        <f>E11</f>
        <v>12</v>
      </c>
      <c r="F21" s="12">
        <f t="shared" si="0"/>
        <v>760000</v>
      </c>
      <c r="G21" s="12">
        <f t="shared" si="0"/>
        <v>617000</v>
      </c>
      <c r="H21" s="12" t="str">
        <f t="shared" si="0"/>
        <v>EXCLUIDO</v>
      </c>
      <c r="I21" s="12">
        <f t="shared" si="0"/>
        <v>690000</v>
      </c>
      <c r="J21" s="12">
        <f t="shared" si="0"/>
        <v>644600</v>
      </c>
      <c r="K21" s="12" t="str">
        <f t="shared" si="0"/>
        <v>N/A</v>
      </c>
      <c r="L21" s="9">
        <f>COUNT(F21:K21)</f>
        <v>4</v>
      </c>
      <c r="M21" s="13">
        <f>AVERAGE(F21:K21)</f>
        <v>677900</v>
      </c>
      <c r="N21" s="13">
        <f>STDEV(F21:K21)</f>
        <v>62462.041806737849</v>
      </c>
      <c r="O21" s="12">
        <f>M21+N21</f>
        <v>740362.04180673789</v>
      </c>
      <c r="P21" s="7">
        <f>M21-N21</f>
        <v>615437.95819326211</v>
      </c>
      <c r="Q21" s="13">
        <f>MIN(F21:K21)</f>
        <v>617000</v>
      </c>
      <c r="R21" s="22" t="str">
        <f>IF(Q21&gt;=P21,"SÍ","NO")</f>
        <v>SÍ</v>
      </c>
      <c r="S21" s="30">
        <f>_xlfn.MINIFS(F21:K21,F21:K21,"&gt;="&amp;P21)</f>
        <v>617000</v>
      </c>
    </row>
    <row r="22" spans="2:19" ht="15" customHeight="1" x14ac:dyDescent="0.45">
      <c r="B22" s="43" t="s">
        <v>174</v>
      </c>
      <c r="C22" s="43"/>
      <c r="D22" s="43"/>
      <c r="E22" s="43"/>
      <c r="F22" s="43"/>
      <c r="G22" s="43"/>
      <c r="H22" s="43"/>
      <c r="I22" s="43"/>
      <c r="J22" s="43"/>
      <c r="K22" s="43"/>
      <c r="L22" s="43"/>
      <c r="M22" s="43"/>
      <c r="N22" s="43"/>
      <c r="O22" s="43"/>
      <c r="P22" s="43"/>
      <c r="Q22" s="43"/>
      <c r="R22" s="43"/>
      <c r="S22" s="43"/>
    </row>
    <row r="24" spans="2:19" ht="15" customHeight="1" x14ac:dyDescent="0.45">
      <c r="B24" s="39" t="s">
        <v>175</v>
      </c>
      <c r="C24" s="54"/>
      <c r="D24" s="54"/>
      <c r="E24" s="54"/>
      <c r="F24" s="54"/>
      <c r="G24" s="54"/>
      <c r="H24" s="54"/>
      <c r="I24" s="55"/>
    </row>
    <row r="25" spans="2:19" ht="31.5" customHeight="1" x14ac:dyDescent="0.45">
      <c r="B25" s="8" t="s">
        <v>70</v>
      </c>
      <c r="C25" s="8" t="s">
        <v>147</v>
      </c>
      <c r="D25" s="8" t="s">
        <v>72</v>
      </c>
      <c r="E25" s="8" t="s">
        <v>73</v>
      </c>
      <c r="F25" s="8" t="s">
        <v>176</v>
      </c>
      <c r="G25" s="8" t="s">
        <v>130</v>
      </c>
      <c r="H25" s="8" t="s">
        <v>131</v>
      </c>
      <c r="I25" s="8" t="s">
        <v>133</v>
      </c>
    </row>
    <row r="26" spans="2:19" ht="27.75" customHeight="1" x14ac:dyDescent="0.45">
      <c r="B26" s="9">
        <v>1</v>
      </c>
      <c r="C26" s="10" t="s">
        <v>74</v>
      </c>
      <c r="D26" s="16" t="s">
        <v>75</v>
      </c>
      <c r="E26" s="23">
        <f>E18</f>
        <v>20</v>
      </c>
      <c r="F26" s="13">
        <f>S18</f>
        <v>2000428</v>
      </c>
      <c r="G26" s="12">
        <f>F26*$D$4</f>
        <v>380081.32</v>
      </c>
      <c r="H26" s="12">
        <f>F26+G26</f>
        <v>2380509.3199999998</v>
      </c>
      <c r="I26" s="13">
        <f>H26*E26</f>
        <v>47610186.399999999</v>
      </c>
    </row>
    <row r="27" spans="2:19" ht="27.75" customHeight="1" x14ac:dyDescent="0.45">
      <c r="B27" s="9">
        <v>2</v>
      </c>
      <c r="C27" s="10" t="s">
        <v>76</v>
      </c>
      <c r="D27" s="16" t="s">
        <v>75</v>
      </c>
      <c r="E27" s="23">
        <f>E19</f>
        <v>10</v>
      </c>
      <c r="F27" s="13">
        <f>S19</f>
        <v>2530000</v>
      </c>
      <c r="G27" s="12">
        <f>F27*$D$4</f>
        <v>480700</v>
      </c>
      <c r="H27" s="12">
        <f>F27+G27</f>
        <v>3010700</v>
      </c>
      <c r="I27" s="13">
        <f>H27*E27</f>
        <v>30107000</v>
      </c>
    </row>
    <row r="28" spans="2:19" ht="27.75" customHeight="1" x14ac:dyDescent="0.45">
      <c r="B28" s="9">
        <v>3</v>
      </c>
      <c r="C28" s="10" t="s">
        <v>77</v>
      </c>
      <c r="D28" s="16" t="s">
        <v>78</v>
      </c>
      <c r="E28" s="23">
        <f>E20</f>
        <v>24</v>
      </c>
      <c r="F28" s="13">
        <f>S20</f>
        <v>944600</v>
      </c>
      <c r="G28" s="12">
        <f>F28*$D$4</f>
        <v>179474</v>
      </c>
      <c r="H28" s="12">
        <f>F28+G28</f>
        <v>1124074</v>
      </c>
      <c r="I28" s="13">
        <f>H28*E28</f>
        <v>26977776</v>
      </c>
    </row>
    <row r="29" spans="2:19" ht="27.75" customHeight="1" x14ac:dyDescent="0.45">
      <c r="B29" s="9">
        <v>4</v>
      </c>
      <c r="C29" s="10" t="s">
        <v>79</v>
      </c>
      <c r="D29" s="16" t="s">
        <v>78</v>
      </c>
      <c r="E29" s="23">
        <f>E21</f>
        <v>12</v>
      </c>
      <c r="F29" s="13">
        <f>S21</f>
        <v>617000</v>
      </c>
      <c r="G29" s="12">
        <f>F29*$D$4</f>
        <v>117230</v>
      </c>
      <c r="H29" s="12">
        <f>F29+G29</f>
        <v>734230</v>
      </c>
      <c r="I29" s="13">
        <f>H29*E29</f>
        <v>8810760</v>
      </c>
    </row>
    <row r="30" spans="2:19" ht="15" customHeight="1" x14ac:dyDescent="0.45">
      <c r="B30" s="53" t="s">
        <v>177</v>
      </c>
      <c r="C30" s="53"/>
      <c r="D30" s="53"/>
      <c r="E30" s="53"/>
      <c r="F30" s="53"/>
      <c r="G30" s="53"/>
      <c r="H30" s="53"/>
      <c r="I30" s="13">
        <f>SUMPRODUCT(F26:F29,E26:E29)</f>
        <v>95382960</v>
      </c>
    </row>
    <row r="31" spans="2:19" ht="15" customHeight="1" x14ac:dyDescent="0.45">
      <c r="B31" s="53" t="s">
        <v>178</v>
      </c>
      <c r="C31" s="53"/>
      <c r="D31" s="53"/>
      <c r="E31" s="53"/>
      <c r="F31" s="53"/>
      <c r="G31" s="53"/>
      <c r="H31" s="53"/>
      <c r="I31" s="13">
        <f>SUMPRODUCT(G26:G29,E26:E29)</f>
        <v>18122762.399999999</v>
      </c>
    </row>
    <row r="32" spans="2:19" ht="15" customHeight="1" x14ac:dyDescent="0.45">
      <c r="B32" s="50" t="s">
        <v>179</v>
      </c>
      <c r="C32" s="50"/>
      <c r="D32" s="50"/>
      <c r="E32" s="50"/>
      <c r="F32" s="50"/>
      <c r="G32" s="50"/>
      <c r="H32" s="50"/>
      <c r="I32" s="31">
        <f>SUM(I26:I29)</f>
        <v>113505722.40000001</v>
      </c>
    </row>
    <row r="34" spans="2:19" ht="21.75" customHeight="1" x14ac:dyDescent="0.45">
      <c r="B34" s="41" t="s">
        <v>103</v>
      </c>
      <c r="C34" s="41"/>
      <c r="D34" s="41"/>
      <c r="E34" s="41"/>
      <c r="F34" s="41"/>
      <c r="G34" s="41"/>
      <c r="H34" s="41"/>
      <c r="I34" s="41"/>
    </row>
    <row r="35" spans="2:19" ht="25.5" customHeight="1" x14ac:dyDescent="0.45">
      <c r="B35" s="40" t="s">
        <v>180</v>
      </c>
      <c r="C35" s="40"/>
      <c r="D35" s="40"/>
      <c r="E35" s="40"/>
      <c r="F35" s="40"/>
      <c r="G35" s="40"/>
      <c r="H35" s="40"/>
      <c r="I35" s="40"/>
      <c r="J35" s="40"/>
      <c r="K35" s="40"/>
      <c r="L35" s="40"/>
      <c r="M35" s="40"/>
      <c r="N35" s="40"/>
      <c r="O35" s="40"/>
      <c r="P35" s="40"/>
      <c r="Q35" s="40"/>
      <c r="R35" s="40"/>
      <c r="S35" s="40"/>
    </row>
    <row r="36" spans="2:19" ht="25.5" customHeight="1" x14ac:dyDescent="0.45">
      <c r="B36" s="40" t="s">
        <v>181</v>
      </c>
      <c r="C36" s="40"/>
      <c r="D36" s="40"/>
      <c r="E36" s="40"/>
      <c r="F36" s="40"/>
      <c r="G36" s="40"/>
      <c r="H36" s="40"/>
      <c r="I36" s="40"/>
      <c r="J36" s="40"/>
      <c r="K36" s="40"/>
      <c r="L36" s="40"/>
      <c r="M36" s="40"/>
      <c r="N36" s="40"/>
      <c r="O36" s="40"/>
      <c r="P36" s="40"/>
      <c r="Q36" s="40"/>
      <c r="R36" s="40"/>
      <c r="S36" s="40"/>
    </row>
    <row r="37" spans="2:19" ht="25.5" customHeight="1" x14ac:dyDescent="0.45">
      <c r="B37" s="40" t="s">
        <v>182</v>
      </c>
      <c r="C37" s="40"/>
      <c r="D37" s="40"/>
      <c r="E37" s="40"/>
      <c r="F37" s="40"/>
      <c r="G37" s="40"/>
      <c r="H37" s="40"/>
      <c r="I37" s="40"/>
      <c r="J37" s="40"/>
      <c r="K37" s="40"/>
      <c r="L37" s="40"/>
      <c r="M37" s="40"/>
      <c r="N37" s="40"/>
      <c r="O37" s="40"/>
      <c r="P37" s="40"/>
      <c r="Q37" s="40"/>
      <c r="R37" s="40"/>
      <c r="S37" s="40"/>
    </row>
    <row r="38" spans="2:19" ht="25.5" customHeight="1" x14ac:dyDescent="0.45">
      <c r="B38" s="40" t="s">
        <v>183</v>
      </c>
      <c r="C38" s="40"/>
      <c r="D38" s="40"/>
      <c r="E38" s="40"/>
      <c r="F38" s="40"/>
      <c r="G38" s="40"/>
      <c r="H38" s="40"/>
      <c r="I38" s="40"/>
      <c r="J38" s="40"/>
      <c r="K38" s="40"/>
      <c r="L38" s="40"/>
      <c r="M38" s="40"/>
      <c r="N38" s="40"/>
      <c r="O38" s="40"/>
      <c r="P38" s="40"/>
      <c r="Q38" s="40"/>
      <c r="R38" s="40"/>
      <c r="S38" s="40"/>
    </row>
    <row r="39" spans="2:19" ht="25.5" customHeight="1" x14ac:dyDescent="0.45">
      <c r="B39" s="40" t="s">
        <v>184</v>
      </c>
      <c r="C39" s="40"/>
      <c r="D39" s="40"/>
      <c r="E39" s="40"/>
      <c r="F39" s="40"/>
      <c r="G39" s="40"/>
      <c r="H39" s="40"/>
      <c r="I39" s="40"/>
      <c r="J39" s="40"/>
      <c r="K39" s="40"/>
      <c r="L39" s="40"/>
      <c r="M39" s="40"/>
      <c r="N39" s="40"/>
      <c r="O39" s="40"/>
      <c r="P39" s="40"/>
      <c r="Q39" s="40"/>
      <c r="R39" s="40"/>
      <c r="S39" s="40"/>
    </row>
  </sheetData>
  <mergeCells count="22">
    <mergeCell ref="B2:S2"/>
    <mergeCell ref="B3:S3"/>
    <mergeCell ref="B4:C4"/>
    <mergeCell ref="B5:S5"/>
    <mergeCell ref="F6:K6"/>
    <mergeCell ref="L6:Q6"/>
    <mergeCell ref="B22:S22"/>
    <mergeCell ref="B24:I24"/>
    <mergeCell ref="B13:S13"/>
    <mergeCell ref="B15:S15"/>
    <mergeCell ref="F16:K16"/>
    <mergeCell ref="L16:P16"/>
    <mergeCell ref="Q16:S16"/>
    <mergeCell ref="B37:S37"/>
    <mergeCell ref="B38:S38"/>
    <mergeCell ref="B39:S39"/>
    <mergeCell ref="B30:H30"/>
    <mergeCell ref="B31:H31"/>
    <mergeCell ref="B32:H32"/>
    <mergeCell ref="B35:S35"/>
    <mergeCell ref="B36:S36"/>
    <mergeCell ref="B34:I34"/>
  </mergeCells>
  <conditionalFormatting sqref="F8:K11">
    <cfRule type="expression" dxfId="0" priority="2">
      <formula>AND(ISNUMBER(F8),F8&gt;$O8)</formula>
    </cfRule>
  </conditionalFormatting>
  <printOptions horizontalCentered="1"/>
  <pageMargins left="0.75" right="0.75" top="1" bottom="1" header="0.511811023622047" footer="0.51180555555555596"/>
  <pageSetup paperSize="9" fitToHeight="0" orientation="landscape" horizontalDpi="300" verticalDpi="300"/>
  <headerFooter>
    <oddFooter>&amp;C&amp;8 &amp;A - Página &amp;P de &amp;N</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548235"/>
    <pageSetUpPr fitToPage="1"/>
  </sheetPr>
  <dimension ref="B2:J20"/>
  <sheetViews>
    <sheetView showGridLines="0" zoomScaleNormal="100" workbookViewId="0">
      <pane xSplit="1" ySplit="6" topLeftCell="B7" activePane="bottomRight" state="frozen"/>
      <selection pane="topRight" activeCell="B1" sqref="B1"/>
      <selection pane="bottomLeft" activeCell="A7" sqref="A7"/>
      <selection pane="bottomRight" activeCell="A17" sqref="A17:XFD17"/>
    </sheetView>
  </sheetViews>
  <sheetFormatPr baseColWidth="10" defaultColWidth="8.6640625" defaultRowHeight="14.25" x14ac:dyDescent="0.45"/>
  <cols>
    <col min="1" max="1" width="2" customWidth="1"/>
    <col min="2" max="2" width="7" customWidth="1"/>
    <col min="3" max="3" width="38" customWidth="1"/>
    <col min="4" max="4" width="44" customWidth="1"/>
    <col min="5" max="5" width="14" customWidth="1"/>
    <col min="6" max="6" width="10" customWidth="1"/>
    <col min="7" max="7" width="17" customWidth="1"/>
    <col min="8" max="8" width="15" customWidth="1"/>
    <col min="9" max="10" width="19" customWidth="1"/>
  </cols>
  <sheetData>
    <row r="2" spans="2:10" ht="15" customHeight="1" x14ac:dyDescent="0.45">
      <c r="B2" s="35" t="s">
        <v>185</v>
      </c>
      <c r="C2" s="35"/>
      <c r="D2" s="35"/>
      <c r="E2" s="35"/>
      <c r="F2" s="35"/>
      <c r="G2" s="35"/>
      <c r="H2" s="35"/>
      <c r="I2" s="35"/>
      <c r="J2" s="35"/>
    </row>
    <row r="3" spans="2:10" ht="31.5" customHeight="1" x14ac:dyDescent="0.45">
      <c r="B3" s="45" t="s">
        <v>51</v>
      </c>
      <c r="C3" s="45"/>
      <c r="D3" s="45"/>
      <c r="E3" s="46" t="s">
        <v>6</v>
      </c>
      <c r="F3" s="46"/>
      <c r="G3" s="46"/>
      <c r="H3" s="46"/>
      <c r="I3" s="46"/>
      <c r="J3" s="46"/>
    </row>
    <row r="5" spans="2:10" ht="15" customHeight="1" x14ac:dyDescent="0.45">
      <c r="G5" s="39" t="s">
        <v>186</v>
      </c>
      <c r="H5" s="39"/>
      <c r="I5" s="39"/>
      <c r="J5" s="39"/>
    </row>
    <row r="6" spans="2:10" ht="33.75" customHeight="1" x14ac:dyDescent="0.45">
      <c r="B6" s="8" t="s">
        <v>70</v>
      </c>
      <c r="C6" s="8" t="s">
        <v>187</v>
      </c>
      <c r="D6" s="8" t="s">
        <v>188</v>
      </c>
      <c r="E6" s="8" t="s">
        <v>72</v>
      </c>
      <c r="F6" s="8" t="s">
        <v>73</v>
      </c>
      <c r="G6" s="8" t="s">
        <v>176</v>
      </c>
      <c r="H6" s="8" t="s">
        <v>130</v>
      </c>
      <c r="I6" s="8" t="s">
        <v>189</v>
      </c>
      <c r="J6" s="8" t="s">
        <v>190</v>
      </c>
    </row>
    <row r="7" spans="2:10" ht="42" customHeight="1" x14ac:dyDescent="0.45">
      <c r="B7" s="9">
        <v>1</v>
      </c>
      <c r="C7" s="3" t="s">
        <v>74</v>
      </c>
      <c r="D7" s="10" t="s">
        <v>191</v>
      </c>
      <c r="E7" s="9" t="s">
        <v>75</v>
      </c>
      <c r="F7" s="23">
        <f>'ANEXO 3 - CONSOLIDADO'!E26</f>
        <v>20</v>
      </c>
      <c r="G7" s="27">
        <f>'ANEXO 3 - CONSOLIDADO'!F26</f>
        <v>2000428</v>
      </c>
      <c r="H7" s="27">
        <f>'ANEXO 3 - CONSOLIDADO'!G26</f>
        <v>380081.32</v>
      </c>
      <c r="I7" s="12">
        <f>G7+H7</f>
        <v>2380509.3199999998</v>
      </c>
      <c r="J7" s="13">
        <f>I7*F7</f>
        <v>47610186.399999999</v>
      </c>
    </row>
    <row r="8" spans="2:10" ht="42" customHeight="1" x14ac:dyDescent="0.45">
      <c r="B8" s="9">
        <v>2</v>
      </c>
      <c r="C8" s="3" t="s">
        <v>76</v>
      </c>
      <c r="D8" s="10" t="s">
        <v>192</v>
      </c>
      <c r="E8" s="9" t="s">
        <v>75</v>
      </c>
      <c r="F8" s="23">
        <f>'ANEXO 3 - CONSOLIDADO'!E27</f>
        <v>10</v>
      </c>
      <c r="G8" s="27">
        <f>'ANEXO 3 - CONSOLIDADO'!F27</f>
        <v>2530000</v>
      </c>
      <c r="H8" s="27">
        <f>'ANEXO 3 - CONSOLIDADO'!G27</f>
        <v>480700</v>
      </c>
      <c r="I8" s="12">
        <f>G8+H8</f>
        <v>3010700</v>
      </c>
      <c r="J8" s="13">
        <f>I8*F8</f>
        <v>30107000</v>
      </c>
    </row>
    <row r="9" spans="2:10" ht="42" customHeight="1" x14ac:dyDescent="0.45">
      <c r="B9" s="9">
        <v>3</v>
      </c>
      <c r="C9" s="3" t="s">
        <v>77</v>
      </c>
      <c r="D9" s="10" t="s">
        <v>193</v>
      </c>
      <c r="E9" s="9" t="s">
        <v>78</v>
      </c>
      <c r="F9" s="23">
        <f>'ANEXO 3 - CONSOLIDADO'!E28</f>
        <v>24</v>
      </c>
      <c r="G9" s="27">
        <f>'ANEXO 3 - CONSOLIDADO'!F28</f>
        <v>944600</v>
      </c>
      <c r="H9" s="27">
        <f>'ANEXO 3 - CONSOLIDADO'!G28</f>
        <v>179474</v>
      </c>
      <c r="I9" s="12">
        <f>G9+H9</f>
        <v>1124074</v>
      </c>
      <c r="J9" s="13">
        <f>I9*F9</f>
        <v>26977776</v>
      </c>
    </row>
    <row r="10" spans="2:10" ht="42" customHeight="1" x14ac:dyDescent="0.45">
      <c r="B10" s="9">
        <v>4</v>
      </c>
      <c r="C10" s="3" t="s">
        <v>79</v>
      </c>
      <c r="D10" s="10" t="s">
        <v>194</v>
      </c>
      <c r="E10" s="9" t="s">
        <v>78</v>
      </c>
      <c r="F10" s="23">
        <f>'ANEXO 3 - CONSOLIDADO'!E29</f>
        <v>12</v>
      </c>
      <c r="G10" s="27">
        <f>'ANEXO 3 - CONSOLIDADO'!F29</f>
        <v>617000</v>
      </c>
      <c r="H10" s="27">
        <f>'ANEXO 3 - CONSOLIDADO'!G29</f>
        <v>117230</v>
      </c>
      <c r="I10" s="12">
        <f>G10+H10</f>
        <v>734230</v>
      </c>
      <c r="J10" s="13">
        <f>I10*F10</f>
        <v>8810760</v>
      </c>
    </row>
    <row r="11" spans="2:10" ht="15" customHeight="1" x14ac:dyDescent="0.45">
      <c r="B11" s="53" t="s">
        <v>177</v>
      </c>
      <c r="C11" s="53"/>
      <c r="D11" s="53"/>
      <c r="E11" s="53"/>
      <c r="F11" s="53"/>
      <c r="G11" s="53"/>
      <c r="H11" s="53"/>
      <c r="I11" s="53"/>
      <c r="J11" s="13">
        <f>SUMPRODUCT(G7:G10,F7:F10)</f>
        <v>95382960</v>
      </c>
    </row>
    <row r="12" spans="2:10" ht="15" customHeight="1" x14ac:dyDescent="0.45">
      <c r="B12" s="53" t="s">
        <v>178</v>
      </c>
      <c r="C12" s="53"/>
      <c r="D12" s="53"/>
      <c r="E12" s="53"/>
      <c r="F12" s="53"/>
      <c r="G12" s="53"/>
      <c r="H12" s="53"/>
      <c r="I12" s="53"/>
      <c r="J12" s="13">
        <f>SUMPRODUCT(H7:H10,F7:F10)</f>
        <v>18122762.399999999</v>
      </c>
    </row>
    <row r="13" spans="2:10" ht="15" customHeight="1" x14ac:dyDescent="0.45">
      <c r="B13" s="50" t="s">
        <v>195</v>
      </c>
      <c r="C13" s="50"/>
      <c r="D13" s="50"/>
      <c r="E13" s="50"/>
      <c r="F13" s="50"/>
      <c r="G13" s="50"/>
      <c r="H13" s="50"/>
      <c r="I13" s="50"/>
      <c r="J13" s="31">
        <f>SUM(J7:J10)</f>
        <v>113505722.40000001</v>
      </c>
    </row>
    <row r="15" spans="2:10" ht="15" customHeight="1" x14ac:dyDescent="0.45">
      <c r="B15" s="56" t="s">
        <v>196</v>
      </c>
      <c r="C15" s="56"/>
      <c r="D15" s="56"/>
      <c r="E15" s="56"/>
      <c r="F15" s="56"/>
      <c r="G15" s="56"/>
      <c r="H15" s="56"/>
      <c r="I15" s="57">
        <f>J13</f>
        <v>113505722.40000001</v>
      </c>
      <c r="J15" s="57"/>
    </row>
    <row r="18" spans="2:10" ht="15" customHeight="1" x14ac:dyDescent="0.45">
      <c r="B18" s="18" t="s">
        <v>103</v>
      </c>
    </row>
    <row r="19" spans="2:10" ht="24" customHeight="1" x14ac:dyDescent="0.45">
      <c r="B19" s="40" t="s">
        <v>197</v>
      </c>
      <c r="C19" s="40"/>
      <c r="D19" s="40"/>
      <c r="E19" s="40"/>
      <c r="F19" s="40"/>
      <c r="G19" s="40"/>
      <c r="H19" s="40"/>
      <c r="I19" s="40"/>
      <c r="J19" s="40"/>
    </row>
    <row r="20" spans="2:10" ht="24" customHeight="1" x14ac:dyDescent="0.45">
      <c r="B20" s="40" t="s">
        <v>198</v>
      </c>
      <c r="C20" s="40"/>
      <c r="D20" s="40"/>
      <c r="E20" s="40"/>
      <c r="F20" s="40"/>
      <c r="G20" s="40"/>
      <c r="H20" s="40"/>
      <c r="I20" s="40"/>
      <c r="J20" s="40"/>
    </row>
  </sheetData>
  <mergeCells count="11">
    <mergeCell ref="B2:J2"/>
    <mergeCell ref="B3:D3"/>
    <mergeCell ref="E3:J3"/>
    <mergeCell ref="G5:J5"/>
    <mergeCell ref="B11:I11"/>
    <mergeCell ref="B12:I12"/>
    <mergeCell ref="B13:I13"/>
    <mergeCell ref="B15:H15"/>
    <mergeCell ref="I15:J15"/>
    <mergeCell ref="B19:J19"/>
    <mergeCell ref="B20:J20"/>
  </mergeCells>
  <printOptions horizontalCentered="1"/>
  <pageMargins left="0.75" right="0.75" top="1" bottom="1" header="0.511811023622047" footer="0.51180555555555596"/>
  <pageSetup paperSize="9" fitToHeight="0" orientation="landscape" horizontalDpi="300" verticalDpi="300"/>
  <headerFooter>
    <oddFooter>&amp;C&amp;8 &amp;A - Página &amp;P de &amp;N</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rgb="FF808080"/>
    <pageSetUpPr fitToPage="1"/>
  </sheetPr>
  <dimension ref="B2:F21"/>
  <sheetViews>
    <sheetView showGridLines="0" zoomScaleNormal="100" workbookViewId="0">
      <pane xSplit="1" ySplit="5" topLeftCell="B6" activePane="bottomRight" state="frozen"/>
      <selection pane="topRight" activeCell="B1" sqref="B1"/>
      <selection pane="bottomLeft" activeCell="A6" sqref="A6"/>
      <selection pane="bottomRight" activeCell="B21" sqref="B21:F21"/>
    </sheetView>
  </sheetViews>
  <sheetFormatPr baseColWidth="10" defaultColWidth="8.6640625" defaultRowHeight="14.25" x14ac:dyDescent="0.45"/>
  <cols>
    <col min="1" max="1" width="2" customWidth="1"/>
    <col min="2" max="2" width="22" customWidth="1"/>
    <col min="3" max="5" width="16" customWidth="1"/>
    <col min="6" max="6" width="62" customWidth="1"/>
  </cols>
  <sheetData>
    <row r="2" spans="2:6" ht="15" customHeight="1" x14ac:dyDescent="0.45">
      <c r="B2" s="35" t="s">
        <v>199</v>
      </c>
      <c r="C2" s="35"/>
      <c r="D2" s="35"/>
      <c r="E2" s="35"/>
      <c r="F2" s="35"/>
    </row>
    <row r="3" spans="2:6" ht="25.5" customHeight="1" x14ac:dyDescent="0.45">
      <c r="B3" s="36" t="s">
        <v>224</v>
      </c>
      <c r="C3" s="36"/>
      <c r="D3" s="36"/>
      <c r="E3" s="36"/>
      <c r="F3" s="36"/>
    </row>
    <row r="5" spans="2:6" ht="15" customHeight="1" x14ac:dyDescent="0.45">
      <c r="B5" s="8" t="s">
        <v>200</v>
      </c>
      <c r="C5" s="8" t="s">
        <v>201</v>
      </c>
      <c r="D5" s="8" t="s">
        <v>202</v>
      </c>
      <c r="E5" s="8" t="s">
        <v>203</v>
      </c>
      <c r="F5" s="8" t="s">
        <v>204</v>
      </c>
    </row>
    <row r="6" spans="2:6" ht="15" customHeight="1" x14ac:dyDescent="0.45">
      <c r="B6" s="3" t="s">
        <v>205</v>
      </c>
      <c r="C6" s="32">
        <v>138.97999999999999</v>
      </c>
      <c r="D6" s="32">
        <v>146.24</v>
      </c>
      <c r="E6" s="32">
        <v>154.07</v>
      </c>
      <c r="F6" s="10"/>
    </row>
    <row r="7" spans="2:6" ht="15" customHeight="1" x14ac:dyDescent="0.45">
      <c r="B7" s="3" t="s">
        <v>206</v>
      </c>
      <c r="C7" s="32">
        <v>140.49</v>
      </c>
      <c r="D7" s="32">
        <v>147.9</v>
      </c>
      <c r="E7" s="32">
        <v>155.72999999999999</v>
      </c>
      <c r="F7" s="10"/>
    </row>
    <row r="8" spans="2:6" ht="15" customHeight="1" x14ac:dyDescent="0.45">
      <c r="B8" s="3" t="s">
        <v>207</v>
      </c>
      <c r="C8" s="32">
        <v>141.47999999999999</v>
      </c>
      <c r="D8" s="32">
        <v>148.68</v>
      </c>
      <c r="E8" s="32">
        <v>156.94</v>
      </c>
      <c r="F8" s="10"/>
    </row>
    <row r="9" spans="2:6" ht="15" customHeight="1" x14ac:dyDescent="0.45">
      <c r="B9" s="3" t="s">
        <v>208</v>
      </c>
      <c r="C9" s="32">
        <v>142.32</v>
      </c>
      <c r="D9" s="32">
        <v>149.66</v>
      </c>
      <c r="E9" s="32">
        <v>158.16999999999999</v>
      </c>
      <c r="F9" s="10"/>
    </row>
    <row r="10" spans="2:6" ht="15" customHeight="1" x14ac:dyDescent="0.45">
      <c r="B10" s="3" t="s">
        <v>209</v>
      </c>
      <c r="C10" s="32">
        <v>142.91999999999999</v>
      </c>
      <c r="D10" s="32">
        <v>150.13999999999999</v>
      </c>
      <c r="E10" s="32">
        <v>158.91</v>
      </c>
      <c r="F10" s="10"/>
    </row>
    <row r="11" spans="2:6" ht="15" customHeight="1" x14ac:dyDescent="0.45">
      <c r="B11" s="3" t="s">
        <v>210</v>
      </c>
      <c r="C11" s="32">
        <v>143.38</v>
      </c>
      <c r="D11" s="32">
        <v>150.30000000000001</v>
      </c>
      <c r="E11" s="32">
        <v>159.53</v>
      </c>
      <c r="F11" s="10"/>
    </row>
    <row r="12" spans="2:6" ht="15" customHeight="1" x14ac:dyDescent="0.45">
      <c r="B12" s="3" t="s">
        <v>211</v>
      </c>
      <c r="C12" s="32">
        <v>143.66999999999999</v>
      </c>
      <c r="D12" s="32">
        <v>150.71</v>
      </c>
      <c r="E12" s="20">
        <v>159.79</v>
      </c>
      <c r="F12" s="10" t="s">
        <v>212</v>
      </c>
    </row>
    <row r="13" spans="2:6" ht="15" customHeight="1" x14ac:dyDescent="0.45">
      <c r="B13" s="3" t="s">
        <v>213</v>
      </c>
      <c r="C13" s="32">
        <v>143.66999999999999</v>
      </c>
      <c r="D13" s="32">
        <v>150.99</v>
      </c>
      <c r="E13" s="33" t="s">
        <v>214</v>
      </c>
      <c r="F13" s="10"/>
    </row>
    <row r="14" spans="2:6" ht="15" customHeight="1" x14ac:dyDescent="0.45">
      <c r="B14" s="3" t="s">
        <v>215</v>
      </c>
      <c r="C14" s="32">
        <v>144.02000000000001</v>
      </c>
      <c r="D14" s="32">
        <v>151.47999999999999</v>
      </c>
      <c r="E14" s="33" t="s">
        <v>214</v>
      </c>
      <c r="F14" s="10"/>
    </row>
    <row r="15" spans="2:6" ht="15" customHeight="1" x14ac:dyDescent="0.45">
      <c r="B15" s="3" t="s">
        <v>216</v>
      </c>
      <c r="C15" s="32">
        <v>143.83000000000001</v>
      </c>
      <c r="D15" s="32">
        <v>151.76</v>
      </c>
      <c r="E15" s="33" t="s">
        <v>214</v>
      </c>
      <c r="F15" s="10"/>
    </row>
    <row r="16" spans="2:6" ht="15" customHeight="1" x14ac:dyDescent="0.45">
      <c r="B16" s="3" t="s">
        <v>217</v>
      </c>
      <c r="C16" s="32">
        <v>144.22</v>
      </c>
      <c r="D16" s="32">
        <v>151.87</v>
      </c>
      <c r="E16" s="33" t="s">
        <v>214</v>
      </c>
      <c r="F16" s="10"/>
    </row>
    <row r="17" spans="2:6" ht="15" customHeight="1" x14ac:dyDescent="0.45">
      <c r="B17" s="3" t="s">
        <v>218</v>
      </c>
      <c r="C17" s="20">
        <v>144.88</v>
      </c>
      <c r="D17" s="32">
        <v>152.27000000000001</v>
      </c>
      <c r="E17" s="33" t="s">
        <v>214</v>
      </c>
      <c r="F17" s="10" t="s">
        <v>219</v>
      </c>
    </row>
    <row r="19" spans="2:6" ht="15" customHeight="1" x14ac:dyDescent="0.45">
      <c r="B19" s="37" t="s">
        <v>220</v>
      </c>
      <c r="C19" s="37"/>
      <c r="D19" s="37"/>
      <c r="E19" s="34">
        <f>'ANEXO 2 - HISTÓRICO'!D8</f>
        <v>1.1029127553837659</v>
      </c>
      <c r="F19" s="10" t="s">
        <v>221</v>
      </c>
    </row>
    <row r="21" spans="2:6" ht="15" customHeight="1" x14ac:dyDescent="0.45">
      <c r="B21" s="38" t="s">
        <v>222</v>
      </c>
      <c r="C21" s="38"/>
      <c r="D21" s="38"/>
      <c r="E21" s="38"/>
      <c r="F21" s="38"/>
    </row>
  </sheetData>
  <mergeCells count="4">
    <mergeCell ref="B2:F2"/>
    <mergeCell ref="B3:F3"/>
    <mergeCell ref="B19:D19"/>
    <mergeCell ref="B21:F21"/>
  </mergeCells>
  <printOptions horizontalCentered="1"/>
  <pageMargins left="0.75" right="0.75" top="1" bottom="1" header="0.511811023622047" footer="0.51180555555555596"/>
  <pageSetup paperSize="9" fitToHeight="0" orientation="portrait" horizontalDpi="300" verticalDpi="300"/>
  <headerFooter>
    <oddFooter>&amp;C&amp;8 &amp;A - Página &amp;P de &amp;N</oddFooter>
  </headerFooter>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2" baseType="variant">
      <vt:variant>
        <vt:lpstr>Hojas de cálculo</vt:lpstr>
      </vt:variant>
      <vt:variant>
        <vt:i4>6</vt:i4>
      </vt:variant>
    </vt:vector>
  </HeadingPairs>
  <TitlesOfParts>
    <vt:vector size="6" baseType="lpstr">
      <vt:lpstr>PORTADA</vt:lpstr>
      <vt:lpstr>ANEXO 1 - COTIZACIONES</vt:lpstr>
      <vt:lpstr>ANEXO 2 - HISTÓRICO</vt:lpstr>
      <vt:lpstr>ANEXO 3 - CONSOLIDADO</vt:lpstr>
      <vt:lpstr>ANEXO 4 - MERCADO DEFINITIVO</vt:lpstr>
      <vt:lpstr>ÍNDICES IPC</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openpyxl</dc:creator>
  <dc:description/>
  <cp:lastModifiedBy>Andrés Soto</cp:lastModifiedBy>
  <cp:revision>0</cp:revision>
  <dcterms:created xsi:type="dcterms:W3CDTF">2026-08-26T20:35:55Z</dcterms:created>
  <dcterms:modified xsi:type="dcterms:W3CDTF">2026-08-31T14:15:17Z</dcterms:modified>
  <dc:language>en-US</dc:language>
</cp:coreProperties>
</file>