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D:\Habitat 2026\Estudio del Sector Papelería\15092026\"/>
    </mc:Choice>
  </mc:AlternateContent>
  <xr:revisionPtr revIDLastSave="0" documentId="13_ncr:1_{E68A939E-F677-4AD7-BF9F-5354CACFF748}" xr6:coauthVersionLast="47" xr6:coauthVersionMax="47" xr10:uidLastSave="{00000000-0000-0000-0000-000000000000}"/>
  <bookViews>
    <workbookView xWindow="-108" yWindow="-108" windowWidth="23256" windowHeight="12456" tabRatio="953" activeTab="1" xr2:uid="{386907A2-4424-44A5-AFA0-C4C48EE78935}"/>
  </bookViews>
  <sheets>
    <sheet name="HISTORICOS" sheetId="7" r:id="rId1"/>
    <sheet name="PRESUPUESTO" sheetId="10" r:id="rId2"/>
    <sheet name="ANÁLISIS CONSOLIDADO" sheetId="9" r:id="rId3"/>
    <sheet name="PRECIOS UNITARIOS TECHO" sheetId="1" r:id="rId4"/>
    <sheet name="BELPAPEL (2a COTIZACION) " sheetId="12" r:id="rId5"/>
    <sheet name="GRUPO LOS LAGOS SAS" sheetId="3" r:id="rId6"/>
    <sheet name="SUMICORP LTDA" sheetId="4" r:id="rId7"/>
    <sheet name="TELEAMARKETER (2a COTIZACION)" sheetId="16" r:id="rId8"/>
    <sheet name="TELEAMARKETER BPO &amp; LOGISTICS S" sheetId="5" r:id="rId9"/>
    <sheet name="CONSTRUCTORA PINEDA SAS" sheetId="6" r:id="rId10"/>
    <sheet name="BELPAPEL S.A.S (1a COTIZACION)" sheetId="2" r:id="rId11"/>
  </sheets>
  <definedNames>
    <definedName name="_xlnm._FilterDatabase" localSheetId="2" hidden="1">'ANÁLISIS CONSOLIDADO'!$P$9:$AA$133</definedName>
    <definedName name="_xlnm._FilterDatabase" localSheetId="4" hidden="1">'BELPAPEL (2a COTIZACION) '!$A$21:$G$145</definedName>
    <definedName name="_xlnm._FilterDatabase" localSheetId="10" hidden="1">'BELPAPEL S.A.S (1a COTIZACION)'!$A$14:$J$138</definedName>
    <definedName name="_xlnm._FilterDatabase" localSheetId="9" hidden="1">'CONSTRUCTORA PINEDA SAS'!$A$14:$J$138</definedName>
    <definedName name="_xlnm._FilterDatabase" localSheetId="5" hidden="1">'GRUPO LOS LAGOS SAS'!$A$14:$J$138</definedName>
    <definedName name="_xlnm._FilterDatabase" localSheetId="0" hidden="1">HISTORICOS!$A$136:$M$255</definedName>
    <definedName name="_xlnm._FilterDatabase" localSheetId="3" hidden="1">'PRECIOS UNITARIOS TECHO'!$B$9:$S$133</definedName>
    <definedName name="_xlnm._FilterDatabase" localSheetId="6" hidden="1">'SUMICORP LTDA'!$A$14:$J$138</definedName>
    <definedName name="_xlnm._FilterDatabase" localSheetId="8" hidden="1">'TELEAMARKETER BPO &amp; LOGISTICS S'!$A$14:$J$138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4" i="10" l="1"/>
  <c r="H5" i="10"/>
  <c r="H6" i="10"/>
  <c r="H7" i="10"/>
  <c r="H8" i="10"/>
  <c r="H9" i="10"/>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3" i="10"/>
  <c r="G3" i="10"/>
  <c r="R133" i="1"/>
  <c r="R132" i="1"/>
  <c r="W125" i="9"/>
  <c r="X133" i="9"/>
  <c r="W133" i="9"/>
  <c r="V133" i="9"/>
  <c r="W132" i="9"/>
  <c r="V132" i="9"/>
  <c r="S133" i="9"/>
  <c r="R133" i="9"/>
  <c r="S132" i="9"/>
  <c r="R132" i="9"/>
  <c r="X11" i="9"/>
  <c r="Y11" i="9" s="1"/>
  <c r="K133"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K73" i="9"/>
  <c r="K74" i="9"/>
  <c r="K75" i="9"/>
  <c r="K76" i="9"/>
  <c r="K77" i="9"/>
  <c r="K78" i="9"/>
  <c r="K79" i="9"/>
  <c r="K80" i="9"/>
  <c r="K81" i="9"/>
  <c r="K82" i="9"/>
  <c r="K83" i="9"/>
  <c r="K84" i="9"/>
  <c r="K85" i="9"/>
  <c r="K86" i="9"/>
  <c r="K87" i="9"/>
  <c r="K88" i="9"/>
  <c r="K89" i="9"/>
  <c r="K90" i="9"/>
  <c r="K91" i="9"/>
  <c r="K92" i="9"/>
  <c r="K93" i="9"/>
  <c r="K94" i="9"/>
  <c r="K95" i="9"/>
  <c r="K96" i="9"/>
  <c r="K97" i="9"/>
  <c r="K98" i="9"/>
  <c r="K99" i="9"/>
  <c r="K100" i="9"/>
  <c r="K101" i="9"/>
  <c r="K102" i="9"/>
  <c r="K103" i="9"/>
  <c r="K104" i="9"/>
  <c r="K105" i="9"/>
  <c r="K106" i="9"/>
  <c r="K107" i="9"/>
  <c r="K108" i="9"/>
  <c r="K109" i="9"/>
  <c r="K110" i="9"/>
  <c r="K111" i="9"/>
  <c r="K112" i="9"/>
  <c r="K113" i="9"/>
  <c r="K114" i="9"/>
  <c r="K115" i="9"/>
  <c r="K116" i="9"/>
  <c r="K117" i="9"/>
  <c r="K118" i="9"/>
  <c r="K119" i="9"/>
  <c r="K120" i="9"/>
  <c r="K121" i="9"/>
  <c r="K122" i="9"/>
  <c r="K123" i="9"/>
  <c r="K124" i="9"/>
  <c r="K125" i="9"/>
  <c r="K126" i="9"/>
  <c r="K127" i="9"/>
  <c r="K128" i="9"/>
  <c r="K129" i="9"/>
  <c r="K130" i="9"/>
  <c r="K131" i="9"/>
  <c r="K132" i="9"/>
  <c r="N133" i="9"/>
  <c r="K11" i="9"/>
  <c r="P113" i="9"/>
  <c r="S114" i="9"/>
  <c r="W114" i="9" s="1"/>
  <c r="R114" i="9"/>
  <c r="V114" i="9" s="1"/>
  <c r="X114" i="9" s="1"/>
  <c r="Y114" i="9" s="1"/>
  <c r="H133" i="9"/>
  <c r="H132" i="9"/>
  <c r="H131" i="9"/>
  <c r="H130" i="9"/>
  <c r="H129" i="9"/>
  <c r="H128" i="9"/>
  <c r="H127" i="9"/>
  <c r="H126" i="9"/>
  <c r="H125" i="9"/>
  <c r="H124" i="9"/>
  <c r="H123" i="9"/>
  <c r="H122" i="9"/>
  <c r="H121" i="9"/>
  <c r="H120" i="9"/>
  <c r="H119" i="9"/>
  <c r="H118" i="9"/>
  <c r="H117" i="9"/>
  <c r="H116" i="9"/>
  <c r="H115" i="9"/>
  <c r="H114" i="9"/>
  <c r="H113" i="9"/>
  <c r="H112" i="9"/>
  <c r="H111" i="9"/>
  <c r="H110" i="9"/>
  <c r="H109" i="9"/>
  <c r="H108" i="9"/>
  <c r="H107" i="9"/>
  <c r="H106" i="9"/>
  <c r="H105" i="9"/>
  <c r="H104" i="9"/>
  <c r="H103" i="9"/>
  <c r="H102" i="9"/>
  <c r="H101" i="9"/>
  <c r="H100" i="9"/>
  <c r="H99" i="9"/>
  <c r="H98" i="9"/>
  <c r="H97" i="9"/>
  <c r="H96" i="9"/>
  <c r="H95" i="9"/>
  <c r="H94" i="9"/>
  <c r="H93" i="9"/>
  <c r="H92" i="9"/>
  <c r="H91" i="9"/>
  <c r="H90" i="9"/>
  <c r="H89" i="9"/>
  <c r="H88" i="9"/>
  <c r="H87" i="9"/>
  <c r="H86" i="9"/>
  <c r="H85" i="9"/>
  <c r="H84" i="9"/>
  <c r="H83" i="9"/>
  <c r="H82" i="9"/>
  <c r="H81" i="9"/>
  <c r="H80" i="9"/>
  <c r="H79" i="9"/>
  <c r="H78" i="9"/>
  <c r="H77" i="9"/>
  <c r="H76" i="9"/>
  <c r="H75" i="9"/>
  <c r="H74" i="9"/>
  <c r="H73" i="9"/>
  <c r="H72" i="9"/>
  <c r="H71" i="9"/>
  <c r="H70" i="9"/>
  <c r="H69" i="9"/>
  <c r="H68" i="9"/>
  <c r="H67" i="9"/>
  <c r="H66" i="9"/>
  <c r="H65" i="9"/>
  <c r="H64" i="9"/>
  <c r="H63" i="9"/>
  <c r="H62" i="9"/>
  <c r="H61" i="9"/>
  <c r="H60" i="9"/>
  <c r="H59" i="9"/>
  <c r="H58" i="9"/>
  <c r="H57" i="9"/>
  <c r="H56" i="9"/>
  <c r="H55" i="9"/>
  <c r="H54" i="9"/>
  <c r="H53" i="9"/>
  <c r="H52" i="9"/>
  <c r="H51" i="9"/>
  <c r="H50" i="9"/>
  <c r="H49" i="9"/>
  <c r="H48" i="9"/>
  <c r="H47" i="9"/>
  <c r="H46" i="9"/>
  <c r="H45" i="9"/>
  <c r="H44" i="9"/>
  <c r="H43" i="9"/>
  <c r="H42" i="9"/>
  <c r="H41" i="9"/>
  <c r="H40" i="9"/>
  <c r="H39" i="9"/>
  <c r="H38" i="9"/>
  <c r="H37" i="9"/>
  <c r="H36" i="9"/>
  <c r="H35" i="9"/>
  <c r="H34" i="9"/>
  <c r="H33" i="9"/>
  <c r="H32" i="9"/>
  <c r="H31" i="9"/>
  <c r="H30" i="9"/>
  <c r="H29" i="9"/>
  <c r="H28" i="9"/>
  <c r="H27" i="9"/>
  <c r="H26" i="9"/>
  <c r="H25" i="9"/>
  <c r="H24" i="9"/>
  <c r="H23" i="9"/>
  <c r="H22" i="9"/>
  <c r="H21" i="9"/>
  <c r="H20" i="9"/>
  <c r="H19" i="9"/>
  <c r="H18" i="9"/>
  <c r="H17" i="9"/>
  <c r="H16" i="9"/>
  <c r="H15" i="9"/>
  <c r="H14" i="9"/>
  <c r="H13" i="9"/>
  <c r="H12" i="9"/>
  <c r="H11" i="9"/>
  <c r="M137" i="12"/>
  <c r="N137" i="12" s="1"/>
  <c r="O137" i="12" s="1"/>
  <c r="M136" i="12"/>
  <c r="N136" i="12" s="1"/>
  <c r="O136" i="12" s="1"/>
  <c r="M135" i="12"/>
  <c r="N135" i="12" s="1"/>
  <c r="O135" i="12" s="1"/>
  <c r="M134" i="12"/>
  <c r="N134" i="12" s="1"/>
  <c r="O134" i="12" s="1"/>
  <c r="M133" i="12"/>
  <c r="N133" i="12" s="1"/>
  <c r="O133" i="12" s="1"/>
  <c r="M132" i="12"/>
  <c r="N132" i="12" s="1"/>
  <c r="O132" i="12" s="1"/>
  <c r="M131" i="12"/>
  <c r="N131" i="12" s="1"/>
  <c r="O131" i="12" s="1"/>
  <c r="M130" i="12"/>
  <c r="N130" i="12" s="1"/>
  <c r="O130" i="12" s="1"/>
  <c r="M129" i="12"/>
  <c r="N129" i="12" s="1"/>
  <c r="O129" i="12" s="1"/>
  <c r="M128" i="12"/>
  <c r="N128" i="12" s="1"/>
  <c r="O128" i="12" s="1"/>
  <c r="M127" i="12"/>
  <c r="N127" i="12" s="1"/>
  <c r="O127" i="12" s="1"/>
  <c r="M126" i="12"/>
  <c r="N126" i="12" s="1"/>
  <c r="O126" i="12" s="1"/>
  <c r="M125" i="12"/>
  <c r="N125" i="12" s="1"/>
  <c r="O125" i="12" s="1"/>
  <c r="N124" i="12"/>
  <c r="O124" i="12" s="1"/>
  <c r="M124" i="12"/>
  <c r="N123" i="12"/>
  <c r="O123" i="12" s="1"/>
  <c r="M123" i="12"/>
  <c r="M122" i="12"/>
  <c r="N122" i="12" s="1"/>
  <c r="O122" i="12" s="1"/>
  <c r="M121" i="12"/>
  <c r="N121" i="12" s="1"/>
  <c r="O121" i="12" s="1"/>
  <c r="M120" i="12"/>
  <c r="N120" i="12" s="1"/>
  <c r="O120" i="12" s="1"/>
  <c r="M119" i="12"/>
  <c r="N119" i="12" s="1"/>
  <c r="O119" i="12" s="1"/>
  <c r="N118" i="12"/>
  <c r="O118" i="12" s="1"/>
  <c r="M118" i="12"/>
  <c r="N117" i="12"/>
  <c r="O117" i="12" s="1"/>
  <c r="M117" i="12"/>
  <c r="M116" i="12"/>
  <c r="N116" i="12" s="1"/>
  <c r="O116" i="12" s="1"/>
  <c r="N115" i="12"/>
  <c r="O115" i="12" s="1"/>
  <c r="M115" i="12"/>
  <c r="N114" i="12"/>
  <c r="O114" i="12" s="1"/>
  <c r="M114" i="12"/>
  <c r="M113" i="12"/>
  <c r="N113" i="12" s="1"/>
  <c r="O113" i="12" s="1"/>
  <c r="M112" i="12"/>
  <c r="N112" i="12" s="1"/>
  <c r="O112" i="12" s="1"/>
  <c r="N111" i="12"/>
  <c r="O111" i="12" s="1"/>
  <c r="M111" i="12"/>
  <c r="M110" i="12"/>
  <c r="N110" i="12" s="1"/>
  <c r="O110" i="12" s="1"/>
  <c r="N109" i="12"/>
  <c r="O109" i="12" s="1"/>
  <c r="M109" i="12"/>
  <c r="M108" i="12"/>
  <c r="N108" i="12" s="1"/>
  <c r="O108" i="12" s="1"/>
  <c r="N107" i="12"/>
  <c r="O107" i="12" s="1"/>
  <c r="M107" i="12"/>
  <c r="M106" i="12"/>
  <c r="N106" i="12" s="1"/>
  <c r="O106" i="12" s="1"/>
  <c r="M105" i="12"/>
  <c r="N105" i="12" s="1"/>
  <c r="O105" i="12" s="1"/>
  <c r="M104" i="12"/>
  <c r="N104" i="12" s="1"/>
  <c r="O104" i="12" s="1"/>
  <c r="M103" i="12"/>
  <c r="N103" i="12" s="1"/>
  <c r="O103" i="12" s="1"/>
  <c r="M102" i="12"/>
  <c r="N102" i="12" s="1"/>
  <c r="O102" i="12" s="1"/>
  <c r="M101" i="12"/>
  <c r="N101" i="12" s="1"/>
  <c r="O101" i="12" s="1"/>
  <c r="M100" i="12"/>
  <c r="N100" i="12" s="1"/>
  <c r="O100" i="12" s="1"/>
  <c r="M99" i="12"/>
  <c r="N99" i="12" s="1"/>
  <c r="O99" i="12" s="1"/>
  <c r="M98" i="12"/>
  <c r="N98" i="12" s="1"/>
  <c r="O98" i="12" s="1"/>
  <c r="M97" i="12"/>
  <c r="N97" i="12" s="1"/>
  <c r="O97" i="12" s="1"/>
  <c r="M96" i="12"/>
  <c r="N96" i="12" s="1"/>
  <c r="O96" i="12" s="1"/>
  <c r="M95" i="12"/>
  <c r="N95" i="12" s="1"/>
  <c r="O95" i="12" s="1"/>
  <c r="M94" i="12"/>
  <c r="N94" i="12" s="1"/>
  <c r="O94" i="12" s="1"/>
  <c r="M93" i="12"/>
  <c r="N93" i="12" s="1"/>
  <c r="O93" i="12" s="1"/>
  <c r="N92" i="12"/>
  <c r="O92" i="12" s="1"/>
  <c r="M91" i="12"/>
  <c r="N91" i="12" s="1"/>
  <c r="O91" i="12" s="1"/>
  <c r="M90" i="12"/>
  <c r="N90" i="12" s="1"/>
  <c r="O90" i="12" s="1"/>
  <c r="M89" i="12"/>
  <c r="N89" i="12" s="1"/>
  <c r="O89" i="12" s="1"/>
  <c r="M88" i="12"/>
  <c r="N88" i="12" s="1"/>
  <c r="O88" i="12" s="1"/>
  <c r="M87" i="12"/>
  <c r="N87" i="12" s="1"/>
  <c r="O87" i="12" s="1"/>
  <c r="M86" i="12"/>
  <c r="N86" i="12" s="1"/>
  <c r="O86" i="12" s="1"/>
  <c r="M85" i="12"/>
  <c r="N85" i="12" s="1"/>
  <c r="O85" i="12" s="1"/>
  <c r="M84" i="12"/>
  <c r="N84" i="12" s="1"/>
  <c r="O84" i="12" s="1"/>
  <c r="M83" i="12"/>
  <c r="N83" i="12" s="1"/>
  <c r="O83" i="12" s="1"/>
  <c r="M82" i="12"/>
  <c r="N82" i="12" s="1"/>
  <c r="O82" i="12" s="1"/>
  <c r="M81" i="12"/>
  <c r="N81" i="12" s="1"/>
  <c r="O81" i="12" s="1"/>
  <c r="M80" i="12"/>
  <c r="N80" i="12" s="1"/>
  <c r="O80" i="12" s="1"/>
  <c r="M79" i="12"/>
  <c r="N79" i="12" s="1"/>
  <c r="O79" i="12" s="1"/>
  <c r="M78" i="12"/>
  <c r="N78" i="12" s="1"/>
  <c r="O78" i="12" s="1"/>
  <c r="M77" i="12"/>
  <c r="N77" i="12" s="1"/>
  <c r="O77" i="12" s="1"/>
  <c r="N76" i="12"/>
  <c r="O76" i="12" s="1"/>
  <c r="M76" i="12"/>
  <c r="M75" i="12"/>
  <c r="N75" i="12" s="1"/>
  <c r="O75" i="12" s="1"/>
  <c r="M74" i="12"/>
  <c r="N74" i="12" s="1"/>
  <c r="O74" i="12" s="1"/>
  <c r="M73" i="12"/>
  <c r="N73" i="12" s="1"/>
  <c r="O73" i="12" s="1"/>
  <c r="M72" i="12"/>
  <c r="N72" i="12" s="1"/>
  <c r="O72" i="12" s="1"/>
  <c r="M71" i="12"/>
  <c r="N71" i="12" s="1"/>
  <c r="O71" i="12" s="1"/>
  <c r="M70" i="12"/>
  <c r="N70" i="12" s="1"/>
  <c r="O70" i="12" s="1"/>
  <c r="N69" i="12"/>
  <c r="O69" i="12" s="1"/>
  <c r="N68" i="12"/>
  <c r="O68" i="12" s="1"/>
  <c r="M67" i="12"/>
  <c r="N67" i="12" s="1"/>
  <c r="O67" i="12" s="1"/>
  <c r="M66" i="12"/>
  <c r="N66" i="12" s="1"/>
  <c r="O66" i="12" s="1"/>
  <c r="M65" i="12"/>
  <c r="N65" i="12" s="1"/>
  <c r="O65" i="12" s="1"/>
  <c r="M64" i="12"/>
  <c r="N64" i="12" s="1"/>
  <c r="O64" i="12" s="1"/>
  <c r="M63" i="12"/>
  <c r="N63" i="12" s="1"/>
  <c r="O63" i="12" s="1"/>
  <c r="M62" i="12"/>
  <c r="N62" i="12" s="1"/>
  <c r="O62" i="12" s="1"/>
  <c r="M61" i="12"/>
  <c r="N61" i="12" s="1"/>
  <c r="O61" i="12" s="1"/>
  <c r="M60" i="12"/>
  <c r="N60" i="12" s="1"/>
  <c r="O60" i="12" s="1"/>
  <c r="M59" i="12"/>
  <c r="N59" i="12" s="1"/>
  <c r="O59" i="12" s="1"/>
  <c r="M58" i="12"/>
  <c r="N58" i="12" s="1"/>
  <c r="O58" i="12" s="1"/>
  <c r="M57" i="12"/>
  <c r="N57" i="12" s="1"/>
  <c r="O57" i="12" s="1"/>
  <c r="M56" i="12"/>
  <c r="N56" i="12" s="1"/>
  <c r="O56" i="12" s="1"/>
  <c r="M55" i="12"/>
  <c r="N55" i="12" s="1"/>
  <c r="O55" i="12" s="1"/>
  <c r="M54" i="12"/>
  <c r="N54" i="12" s="1"/>
  <c r="O54" i="12" s="1"/>
  <c r="M53" i="12"/>
  <c r="N53" i="12" s="1"/>
  <c r="O53" i="12" s="1"/>
  <c r="M52" i="12"/>
  <c r="N52" i="12" s="1"/>
  <c r="O52" i="12" s="1"/>
  <c r="M51" i="12"/>
  <c r="N51" i="12" s="1"/>
  <c r="O51" i="12" s="1"/>
  <c r="M50" i="12"/>
  <c r="N50" i="12" s="1"/>
  <c r="O50" i="12" s="1"/>
  <c r="M49" i="12"/>
  <c r="N49" i="12" s="1"/>
  <c r="O49" i="12" s="1"/>
  <c r="M48" i="12"/>
  <c r="N48" i="12" s="1"/>
  <c r="O48" i="12" s="1"/>
  <c r="M47" i="12"/>
  <c r="N47" i="12" s="1"/>
  <c r="O47" i="12" s="1"/>
  <c r="M46" i="12"/>
  <c r="N46" i="12" s="1"/>
  <c r="O46" i="12" s="1"/>
  <c r="N45" i="12"/>
  <c r="O45" i="12" s="1"/>
  <c r="M45" i="12"/>
  <c r="M44" i="12"/>
  <c r="N44" i="12" s="1"/>
  <c r="O44" i="12" s="1"/>
  <c r="M43" i="12"/>
  <c r="N43" i="12" s="1"/>
  <c r="O43" i="12" s="1"/>
  <c r="M42" i="12"/>
  <c r="N42" i="12" s="1"/>
  <c r="O42" i="12" s="1"/>
  <c r="M41" i="12"/>
  <c r="N41" i="12" s="1"/>
  <c r="O41" i="12" s="1"/>
  <c r="M40" i="12"/>
  <c r="N40" i="12" s="1"/>
  <c r="O40" i="12" s="1"/>
  <c r="M39" i="12"/>
  <c r="N39" i="12" s="1"/>
  <c r="O39" i="12" s="1"/>
  <c r="M38" i="12"/>
  <c r="N38" i="12" s="1"/>
  <c r="O38" i="12" s="1"/>
  <c r="M37" i="12"/>
  <c r="N37" i="12" s="1"/>
  <c r="O37" i="12" s="1"/>
  <c r="M36" i="12"/>
  <c r="N36" i="12" s="1"/>
  <c r="O36" i="12" s="1"/>
  <c r="M35" i="12"/>
  <c r="N35" i="12" s="1"/>
  <c r="O35" i="12" s="1"/>
  <c r="M34" i="12"/>
  <c r="N34" i="12" s="1"/>
  <c r="O34" i="12" s="1"/>
  <c r="M33" i="12"/>
  <c r="N33" i="12" s="1"/>
  <c r="O33" i="12" s="1"/>
  <c r="M32" i="12"/>
  <c r="N32" i="12" s="1"/>
  <c r="O32" i="12" s="1"/>
  <c r="M31" i="12"/>
  <c r="N31" i="12" s="1"/>
  <c r="O31" i="12" s="1"/>
  <c r="M30" i="12"/>
  <c r="N30" i="12" s="1"/>
  <c r="O30" i="12" s="1"/>
  <c r="M29" i="12"/>
  <c r="N29" i="12" s="1"/>
  <c r="O29" i="12" s="1"/>
  <c r="M28" i="12"/>
  <c r="N28" i="12" s="1"/>
  <c r="O28" i="12" s="1"/>
  <c r="M27" i="12"/>
  <c r="N27" i="12" s="1"/>
  <c r="O27" i="12" s="1"/>
  <c r="M26" i="12"/>
  <c r="N26" i="12" s="1"/>
  <c r="O26" i="12" s="1"/>
  <c r="M25" i="12"/>
  <c r="N25" i="12" s="1"/>
  <c r="O25" i="12" s="1"/>
  <c r="M24" i="12"/>
  <c r="N24" i="12" s="1"/>
  <c r="O24" i="12" s="1"/>
  <c r="M23" i="12"/>
  <c r="N23" i="12" s="1"/>
  <c r="O23" i="12" s="1"/>
  <c r="M22" i="12"/>
  <c r="N22" i="12" s="1"/>
  <c r="O22" i="12" s="1"/>
  <c r="M21" i="12"/>
  <c r="N21" i="12" s="1"/>
  <c r="O21" i="12" s="1"/>
  <c r="M20" i="12"/>
  <c r="N20" i="12" s="1"/>
  <c r="O20" i="12" s="1"/>
  <c r="M19" i="12"/>
  <c r="N19" i="12" s="1"/>
  <c r="O19" i="12" s="1"/>
  <c r="M18" i="12"/>
  <c r="N18" i="12" s="1"/>
  <c r="O18" i="12" s="1"/>
  <c r="M17" i="12"/>
  <c r="N17" i="12" s="1"/>
  <c r="O17" i="12" s="1"/>
  <c r="M16" i="12"/>
  <c r="N16" i="12" s="1"/>
  <c r="O16" i="12" s="1"/>
  <c r="M15" i="12"/>
  <c r="N15" i="12" s="1"/>
  <c r="O15" i="12" s="1"/>
  <c r="S131" i="9"/>
  <c r="P110" i="9"/>
  <c r="F2" i="10"/>
  <c r="Z114" i="9" l="1"/>
  <c r="AA114" i="9"/>
  <c r="K240" i="7"/>
  <c r="E56" i="10" s="1"/>
  <c r="K204" i="7"/>
  <c r="E45" i="10" s="1"/>
  <c r="K253" i="7"/>
  <c r="E60" i="10" s="1"/>
  <c r="K252" i="7"/>
  <c r="E59" i="10" s="1"/>
  <c r="K246" i="7"/>
  <c r="E58" i="10" s="1"/>
  <c r="K243" i="7"/>
  <c r="E57" i="10" s="1"/>
  <c r="K233" i="7"/>
  <c r="E55" i="10" s="1"/>
  <c r="K232" i="7"/>
  <c r="E54" i="10" s="1"/>
  <c r="K229" i="7"/>
  <c r="E53" i="10" s="1"/>
  <c r="K227" i="7"/>
  <c r="E52" i="10" s="1"/>
  <c r="K225" i="7"/>
  <c r="E51" i="10" s="1"/>
  <c r="K224" i="7"/>
  <c r="E50" i="10" s="1"/>
  <c r="K223" i="7"/>
  <c r="E49" i="10" s="1"/>
  <c r="K221" i="7"/>
  <c r="E48" i="10" s="1"/>
  <c r="K215" i="7"/>
  <c r="E47" i="10" s="1"/>
  <c r="K213" i="7"/>
  <c r="E46" i="10" s="1"/>
  <c r="K197" i="7"/>
  <c r="E44" i="10" s="1"/>
  <c r="K195" i="7"/>
  <c r="E43" i="10" s="1"/>
  <c r="K192" i="7"/>
  <c r="E42" i="10" s="1"/>
  <c r="K191" i="7"/>
  <c r="E41" i="10" s="1"/>
  <c r="K190" i="7"/>
  <c r="E40" i="10" s="1"/>
  <c r="K188" i="7"/>
  <c r="E39" i="10" s="1"/>
  <c r="K187" i="7"/>
  <c r="E38" i="10" s="1"/>
  <c r="K185" i="7"/>
  <c r="E37" i="10" s="1"/>
  <c r="K184" i="7"/>
  <c r="E36" i="10" s="1"/>
  <c r="K183" i="7"/>
  <c r="E35" i="10" s="1"/>
  <c r="K182" i="7"/>
  <c r="E34" i="10" s="1"/>
  <c r="K180" i="7"/>
  <c r="E33" i="10" s="1"/>
  <c r="K176" i="7"/>
  <c r="E32" i="10" s="1"/>
  <c r="K175" i="7"/>
  <c r="E31" i="10" s="1"/>
  <c r="K174" i="7"/>
  <c r="E30" i="10" s="1"/>
  <c r="K173" i="7"/>
  <c r="E29" i="10" s="1"/>
  <c r="K172" i="7"/>
  <c r="E28" i="10" s="1"/>
  <c r="K171" i="7"/>
  <c r="E27" i="10" s="1"/>
  <c r="K169" i="7"/>
  <c r="E26" i="10" s="1"/>
  <c r="K168" i="7"/>
  <c r="E25" i="10" s="1"/>
  <c r="K167" i="7"/>
  <c r="E24" i="10" s="1"/>
  <c r="K166" i="7"/>
  <c r="E23" i="10" s="1"/>
  <c r="K165" i="7"/>
  <c r="E22" i="10" s="1"/>
  <c r="K163" i="7"/>
  <c r="E21" i="10" s="1"/>
  <c r="K162" i="7"/>
  <c r="E20" i="10" s="1"/>
  <c r="K161" i="7"/>
  <c r="E19" i="10" s="1"/>
  <c r="K160" i="7"/>
  <c r="E18" i="10" s="1"/>
  <c r="K159" i="7"/>
  <c r="E17" i="10" s="1"/>
  <c r="K158" i="7"/>
  <c r="E16" i="10" s="1"/>
  <c r="K151" i="7"/>
  <c r="E15" i="10" s="1"/>
  <c r="K150" i="7"/>
  <c r="E14" i="10" s="1"/>
  <c r="K149" i="7"/>
  <c r="E13" i="10" s="1"/>
  <c r="K148" i="7"/>
  <c r="E12" i="10" s="1"/>
  <c r="K147" i="7"/>
  <c r="E11" i="10" s="1"/>
  <c r="K146" i="7"/>
  <c r="E10" i="10" s="1"/>
  <c r="K145" i="7"/>
  <c r="E9" i="10" s="1"/>
  <c r="K143" i="7"/>
  <c r="E8" i="10" s="1"/>
  <c r="K142" i="7"/>
  <c r="E7" i="10" s="1"/>
  <c r="K141" i="7"/>
  <c r="E6" i="10" s="1"/>
  <c r="K140" i="7"/>
  <c r="E5" i="10" s="1"/>
  <c r="K139" i="7"/>
  <c r="E4" i="10" s="1"/>
  <c r="H134" i="9"/>
  <c r="K138" i="7" l="1"/>
  <c r="M254" i="7"/>
  <c r="E3" i="10" l="1"/>
  <c r="Q95" i="9"/>
  <c r="U95" i="9" s="1"/>
  <c r="Q94" i="9"/>
  <c r="U94" i="9" s="1"/>
  <c r="Q123" i="9"/>
  <c r="J38" i="1"/>
  <c r="K38" i="1"/>
  <c r="Q114" i="9" l="1"/>
  <c r="P114" i="9"/>
  <c r="H128" i="7"/>
  <c r="P129" i="9"/>
  <c r="P124" i="9"/>
  <c r="P123" i="9"/>
  <c r="P122" i="9"/>
  <c r="P115" i="9"/>
  <c r="Q81" i="9"/>
  <c r="Q115" i="9"/>
  <c r="S113" i="9"/>
  <c r="Q113" i="9"/>
  <c r="Q85" i="9"/>
  <c r="S81" i="9"/>
  <c r="W131" i="9"/>
  <c r="S129" i="9"/>
  <c r="W129" i="9" s="1"/>
  <c r="S128" i="9"/>
  <c r="W128" i="9" s="1"/>
  <c r="S122" i="9"/>
  <c r="W122" i="9" s="1"/>
  <c r="S117" i="9"/>
  <c r="W117" i="9" s="1"/>
  <c r="S119" i="9"/>
  <c r="W119" i="9" s="1"/>
  <c r="S115" i="9"/>
  <c r="W115" i="9" s="1"/>
  <c r="S107" i="9"/>
  <c r="W107" i="9" s="1"/>
  <c r="S105" i="9"/>
  <c r="W105" i="9" s="1"/>
  <c r="S101" i="9"/>
  <c r="W101" i="9" s="1"/>
  <c r="S87" i="9"/>
  <c r="W87" i="9" s="1"/>
  <c r="S85" i="9"/>
  <c r="W85" i="9" s="1"/>
  <c r="S84" i="9"/>
  <c r="W84" i="9" s="1"/>
  <c r="S83" i="9"/>
  <c r="W83" i="9" s="1"/>
  <c r="S82" i="9"/>
  <c r="W82" i="9" s="1"/>
  <c r="S79" i="9"/>
  <c r="W79" i="9" s="1"/>
  <c r="S78" i="9"/>
  <c r="W78" i="9" s="1"/>
  <c r="S77" i="9"/>
  <c r="W77" i="9" s="1"/>
  <c r="S80" i="9"/>
  <c r="W80" i="9" s="1"/>
  <c r="S86" i="9"/>
  <c r="W86" i="9" s="1"/>
  <c r="S88" i="9"/>
  <c r="W88" i="9" s="1"/>
  <c r="S76" i="9"/>
  <c r="W76" i="9" s="1"/>
  <c r="S74" i="9"/>
  <c r="W74" i="9" s="1"/>
  <c r="S73" i="9"/>
  <c r="W73" i="9" s="1"/>
  <c r="S64" i="9"/>
  <c r="W64" i="9" s="1"/>
  <c r="S62" i="9"/>
  <c r="W62" i="9" s="1"/>
  <c r="S59" i="9"/>
  <c r="W59" i="9" s="1"/>
  <c r="S51" i="9"/>
  <c r="W51" i="9" s="1"/>
  <c r="S50" i="9"/>
  <c r="W50" i="9" s="1"/>
  <c r="S44" i="9"/>
  <c r="W44" i="9" s="1"/>
  <c r="S45" i="9"/>
  <c r="W45" i="9" s="1"/>
  <c r="S46" i="9"/>
  <c r="W46" i="9" s="1"/>
  <c r="S47" i="9"/>
  <c r="W47" i="9" s="1"/>
  <c r="S48" i="9"/>
  <c r="W48" i="9" s="1"/>
  <c r="S49" i="9"/>
  <c r="W49" i="9" s="1"/>
  <c r="S52" i="9"/>
  <c r="W52" i="9" s="1"/>
  <c r="S53" i="9"/>
  <c r="W53" i="9" s="1"/>
  <c r="S54" i="9"/>
  <c r="W54" i="9" s="1"/>
  <c r="S55" i="9"/>
  <c r="W55" i="9" s="1"/>
  <c r="S56" i="9"/>
  <c r="W56" i="9" s="1"/>
  <c r="S57" i="9"/>
  <c r="W57" i="9" s="1"/>
  <c r="S58" i="9"/>
  <c r="W58" i="9" s="1"/>
  <c r="S60" i="9"/>
  <c r="W60" i="9" s="1"/>
  <c r="S61" i="9"/>
  <c r="W61" i="9" s="1"/>
  <c r="S63" i="9"/>
  <c r="W63" i="9" s="1"/>
  <c r="S65" i="9"/>
  <c r="W65" i="9" s="1"/>
  <c r="S66" i="9"/>
  <c r="W66" i="9" s="1"/>
  <c r="S67" i="9"/>
  <c r="W67" i="9" s="1"/>
  <c r="S68" i="9"/>
  <c r="W68" i="9" s="1"/>
  <c r="S69" i="9"/>
  <c r="W69" i="9" s="1"/>
  <c r="S70" i="9"/>
  <c r="W70" i="9" s="1"/>
  <c r="S71" i="9"/>
  <c r="W71" i="9" s="1"/>
  <c r="S75" i="9"/>
  <c r="W75" i="9" s="1"/>
  <c r="S89" i="9"/>
  <c r="W89" i="9" s="1"/>
  <c r="S90" i="9"/>
  <c r="W90" i="9" s="1"/>
  <c r="S91" i="9"/>
  <c r="W91" i="9" s="1"/>
  <c r="S92" i="9"/>
  <c r="W92" i="9" s="1"/>
  <c r="S93" i="9"/>
  <c r="W93" i="9" s="1"/>
  <c r="S94" i="9"/>
  <c r="W94" i="9" s="1"/>
  <c r="S95" i="9"/>
  <c r="W95" i="9" s="1"/>
  <c r="S96" i="9"/>
  <c r="W96" i="9" s="1"/>
  <c r="S97" i="9"/>
  <c r="W97" i="9" s="1"/>
  <c r="S98" i="9"/>
  <c r="W98" i="9" s="1"/>
  <c r="S99" i="9"/>
  <c r="W99" i="9" s="1"/>
  <c r="S100" i="9"/>
  <c r="W100" i="9" s="1"/>
  <c r="S102" i="9"/>
  <c r="W102" i="9" s="1"/>
  <c r="S103" i="9"/>
  <c r="W103" i="9" s="1"/>
  <c r="S104" i="9"/>
  <c r="W104" i="9" s="1"/>
  <c r="S106" i="9"/>
  <c r="W106" i="9" s="1"/>
  <c r="S108" i="9"/>
  <c r="W108" i="9" s="1"/>
  <c r="S109" i="9"/>
  <c r="W109" i="9" s="1"/>
  <c r="S110" i="9"/>
  <c r="W110" i="9" s="1"/>
  <c r="S111" i="9"/>
  <c r="W111" i="9" s="1"/>
  <c r="S112" i="9"/>
  <c r="W112" i="9" s="1"/>
  <c r="S116" i="9"/>
  <c r="W116" i="9" s="1"/>
  <c r="S118" i="9"/>
  <c r="W118" i="9" s="1"/>
  <c r="S120" i="9"/>
  <c r="W120" i="9" s="1"/>
  <c r="S121" i="9"/>
  <c r="W121" i="9" s="1"/>
  <c r="S123" i="9"/>
  <c r="W123" i="9" s="1"/>
  <c r="S124" i="9"/>
  <c r="W124" i="9" s="1"/>
  <c r="S125" i="9"/>
  <c r="S126" i="9"/>
  <c r="W126" i="9" s="1"/>
  <c r="S127" i="9"/>
  <c r="W127" i="9" s="1"/>
  <c r="S130" i="9"/>
  <c r="W130" i="9" s="1"/>
  <c r="R131" i="9"/>
  <c r="V131" i="9" s="1"/>
  <c r="R129" i="9"/>
  <c r="V129" i="9" s="1"/>
  <c r="R128" i="9"/>
  <c r="V128" i="9" s="1"/>
  <c r="R127" i="9"/>
  <c r="V127" i="9" s="1"/>
  <c r="R126" i="9"/>
  <c r="V126" i="9" s="1"/>
  <c r="R125" i="9"/>
  <c r="V125" i="9" s="1"/>
  <c r="R124" i="9"/>
  <c r="V124" i="9" s="1"/>
  <c r="R123" i="9"/>
  <c r="V123" i="9" s="1"/>
  <c r="R122" i="9"/>
  <c r="V122" i="9" s="1"/>
  <c r="R119" i="9"/>
  <c r="V119" i="9" s="1"/>
  <c r="R117" i="9"/>
  <c r="V117" i="9" s="1"/>
  <c r="R115" i="9"/>
  <c r="V115" i="9" s="1"/>
  <c r="R107" i="9"/>
  <c r="V107" i="9" s="1"/>
  <c r="R105" i="9"/>
  <c r="V105" i="9" s="1"/>
  <c r="R101" i="9"/>
  <c r="V101" i="9" s="1"/>
  <c r="R95" i="9"/>
  <c r="V95" i="9" s="1"/>
  <c r="R87" i="9"/>
  <c r="V87" i="9" s="1"/>
  <c r="R84" i="9"/>
  <c r="V84" i="9" s="1"/>
  <c r="R83" i="9"/>
  <c r="V83" i="9" s="1"/>
  <c r="R85" i="9"/>
  <c r="V85" i="9" s="1"/>
  <c r="R82" i="9"/>
  <c r="V82" i="9" s="1"/>
  <c r="R78" i="9"/>
  <c r="V78" i="9" s="1"/>
  <c r="R79" i="9"/>
  <c r="V79" i="9" s="1"/>
  <c r="R77" i="9"/>
  <c r="V77" i="9" s="1"/>
  <c r="R76" i="9"/>
  <c r="V76" i="9" s="1"/>
  <c r="R74" i="9"/>
  <c r="V74" i="9" s="1"/>
  <c r="J72" i="1"/>
  <c r="R64" i="9"/>
  <c r="V64" i="9" s="1"/>
  <c r="R62" i="9"/>
  <c r="V62" i="9" s="1"/>
  <c r="R59" i="9"/>
  <c r="V59" i="9" s="1"/>
  <c r="R51" i="9"/>
  <c r="V51" i="9" s="1"/>
  <c r="R50" i="9"/>
  <c r="V50" i="9" s="1"/>
  <c r="R130" i="9"/>
  <c r="V130" i="9" s="1"/>
  <c r="R121" i="9"/>
  <c r="V121" i="9" s="1"/>
  <c r="R120" i="9"/>
  <c r="V120" i="9" s="1"/>
  <c r="R118" i="9"/>
  <c r="V118" i="9" s="1"/>
  <c r="R116" i="9"/>
  <c r="V116" i="9" s="1"/>
  <c r="R112" i="9"/>
  <c r="V112" i="9" s="1"/>
  <c r="R111" i="9"/>
  <c r="V111" i="9" s="1"/>
  <c r="R110" i="9"/>
  <c r="V110" i="9" s="1"/>
  <c r="R109" i="9"/>
  <c r="V109" i="9" s="1"/>
  <c r="R108" i="9"/>
  <c r="V108" i="9" s="1"/>
  <c r="R106" i="9"/>
  <c r="V106" i="9" s="1"/>
  <c r="R104" i="9"/>
  <c r="V104" i="9" s="1"/>
  <c r="R103" i="9"/>
  <c r="V103" i="9" s="1"/>
  <c r="R102" i="9"/>
  <c r="V102" i="9" s="1"/>
  <c r="R100" i="9"/>
  <c r="V100" i="9" s="1"/>
  <c r="R99" i="9"/>
  <c r="V99" i="9" s="1"/>
  <c r="R98" i="9"/>
  <c r="V98" i="9" s="1"/>
  <c r="R97" i="9"/>
  <c r="V97" i="9" s="1"/>
  <c r="R96" i="9"/>
  <c r="V96" i="9" s="1"/>
  <c r="R94" i="9"/>
  <c r="V94" i="9" s="1"/>
  <c r="R93" i="9"/>
  <c r="V93" i="9" s="1"/>
  <c r="R92" i="9"/>
  <c r="V92" i="9" s="1"/>
  <c r="R91" i="9"/>
  <c r="V91" i="9" s="1"/>
  <c r="R90" i="9"/>
  <c r="V90" i="9" s="1"/>
  <c r="R89" i="9"/>
  <c r="V89" i="9" s="1"/>
  <c r="R88" i="9"/>
  <c r="V88" i="9" s="1"/>
  <c r="R86" i="9"/>
  <c r="V86" i="9" s="1"/>
  <c r="R80" i="9"/>
  <c r="V80" i="9" s="1"/>
  <c r="R75" i="9"/>
  <c r="V75" i="9" s="1"/>
  <c r="R73" i="9"/>
  <c r="V73" i="9" s="1"/>
  <c r="R71" i="9"/>
  <c r="V71" i="9" s="1"/>
  <c r="R70" i="9"/>
  <c r="V70" i="9" s="1"/>
  <c r="R69" i="9"/>
  <c r="V69" i="9" s="1"/>
  <c r="R68" i="9"/>
  <c r="V68" i="9" s="1"/>
  <c r="R67" i="9"/>
  <c r="V67" i="9" s="1"/>
  <c r="R66" i="9"/>
  <c r="V66" i="9" s="1"/>
  <c r="R65" i="9"/>
  <c r="V65" i="9" s="1"/>
  <c r="R63" i="9"/>
  <c r="V63" i="9" s="1"/>
  <c r="R61" i="9"/>
  <c r="V61" i="9" s="1"/>
  <c r="R60" i="9"/>
  <c r="V60" i="9" s="1"/>
  <c r="R58" i="9"/>
  <c r="V58" i="9" s="1"/>
  <c r="R57" i="9"/>
  <c r="V57" i="9" s="1"/>
  <c r="R56" i="9"/>
  <c r="V56" i="9" s="1"/>
  <c r="R55" i="9"/>
  <c r="V55" i="9" s="1"/>
  <c r="R54" i="9"/>
  <c r="V54" i="9" s="1"/>
  <c r="R53" i="9"/>
  <c r="V53" i="9" s="1"/>
  <c r="R52" i="9"/>
  <c r="V52" i="9" s="1"/>
  <c r="R49" i="9"/>
  <c r="V49" i="9" s="1"/>
  <c r="R48" i="9"/>
  <c r="V48" i="9" s="1"/>
  <c r="R47" i="9"/>
  <c r="V47" i="9" s="1"/>
  <c r="R46" i="9"/>
  <c r="V46" i="9" s="1"/>
  <c r="R45" i="9"/>
  <c r="V45" i="9" s="1"/>
  <c r="R44" i="9"/>
  <c r="V44" i="9" s="1"/>
  <c r="Q133" i="9"/>
  <c r="U133" i="9" s="1"/>
  <c r="Q132" i="9"/>
  <c r="U132" i="9" s="1"/>
  <c r="Q131" i="9"/>
  <c r="U131" i="9" s="1"/>
  <c r="Q129" i="9"/>
  <c r="U129" i="9" s="1"/>
  <c r="Q128" i="9"/>
  <c r="U128" i="9" s="1"/>
  <c r="Q122" i="9"/>
  <c r="U122" i="9" s="1"/>
  <c r="Q105" i="9"/>
  <c r="U105" i="9" s="1"/>
  <c r="Q103" i="9"/>
  <c r="U103" i="9" s="1"/>
  <c r="Q78" i="9"/>
  <c r="U78" i="9" s="1"/>
  <c r="Q76" i="9"/>
  <c r="U76" i="9" s="1"/>
  <c r="Q75" i="9"/>
  <c r="U75" i="9" s="1"/>
  <c r="Q130" i="9"/>
  <c r="U130" i="9" s="1"/>
  <c r="Q127" i="9"/>
  <c r="U127" i="9" s="1"/>
  <c r="Q126" i="9"/>
  <c r="U126" i="9" s="1"/>
  <c r="Q125" i="9"/>
  <c r="U125" i="9" s="1"/>
  <c r="Q124" i="9"/>
  <c r="U124" i="9" s="1"/>
  <c r="Q121" i="9"/>
  <c r="U121" i="9" s="1"/>
  <c r="Q120" i="9"/>
  <c r="U120" i="9" s="1"/>
  <c r="Q119" i="9"/>
  <c r="U119" i="9" s="1"/>
  <c r="Q118" i="9"/>
  <c r="U118" i="9" s="1"/>
  <c r="Q117" i="9"/>
  <c r="U117" i="9" s="1"/>
  <c r="Q116" i="9"/>
  <c r="U116" i="9" s="1"/>
  <c r="Q112" i="9"/>
  <c r="U112" i="9" s="1"/>
  <c r="Q111" i="9"/>
  <c r="U111" i="9" s="1"/>
  <c r="Q110" i="9"/>
  <c r="U110" i="9" s="1"/>
  <c r="Q109" i="9"/>
  <c r="U109" i="9" s="1"/>
  <c r="Q108" i="9"/>
  <c r="U108" i="9" s="1"/>
  <c r="Q107" i="9"/>
  <c r="U107" i="9" s="1"/>
  <c r="Q106" i="9"/>
  <c r="U106" i="9" s="1"/>
  <c r="Q104" i="9"/>
  <c r="U104" i="9" s="1"/>
  <c r="Q102" i="9"/>
  <c r="U102" i="9" s="1"/>
  <c r="Q101" i="9"/>
  <c r="U101" i="9" s="1"/>
  <c r="Q100" i="9"/>
  <c r="U100" i="9" s="1"/>
  <c r="Q99" i="9"/>
  <c r="U99" i="9" s="1"/>
  <c r="Q98" i="9"/>
  <c r="U98" i="9" s="1"/>
  <c r="Q97" i="9"/>
  <c r="U97" i="9" s="1"/>
  <c r="Q96" i="9"/>
  <c r="U96" i="9" s="1"/>
  <c r="Q93" i="9"/>
  <c r="U93" i="9" s="1"/>
  <c r="Q92" i="9"/>
  <c r="U92" i="9" s="1"/>
  <c r="Q91" i="9"/>
  <c r="U91" i="9" s="1"/>
  <c r="Q90" i="9"/>
  <c r="U90" i="9" s="1"/>
  <c r="Q89" i="9"/>
  <c r="U89" i="9" s="1"/>
  <c r="Q88" i="9"/>
  <c r="U88" i="9" s="1"/>
  <c r="Q87" i="9"/>
  <c r="U87" i="9" s="1"/>
  <c r="Q86" i="9"/>
  <c r="U86" i="9" s="1"/>
  <c r="Q84" i="9"/>
  <c r="U84" i="9" s="1"/>
  <c r="Q83" i="9"/>
  <c r="U83" i="9" s="1"/>
  <c r="Q82" i="9"/>
  <c r="U82" i="9" s="1"/>
  <c r="Q80" i="9"/>
  <c r="U80" i="9" s="1"/>
  <c r="Q79" i="9"/>
  <c r="U79" i="9" s="1"/>
  <c r="Q77" i="9"/>
  <c r="U77" i="9" s="1"/>
  <c r="Q74" i="9"/>
  <c r="U74" i="9" s="1"/>
  <c r="Q73" i="9"/>
  <c r="U73" i="9" s="1"/>
  <c r="Q71" i="9"/>
  <c r="U71" i="9" s="1"/>
  <c r="Q70" i="9"/>
  <c r="U70" i="9" s="1"/>
  <c r="Q69" i="9"/>
  <c r="U69" i="9" s="1"/>
  <c r="Q67" i="9"/>
  <c r="U67" i="9" s="1"/>
  <c r="Q68" i="9"/>
  <c r="U68" i="9" s="1"/>
  <c r="Q66" i="9"/>
  <c r="U66" i="9" s="1"/>
  <c r="Q65" i="9"/>
  <c r="U65" i="9" s="1"/>
  <c r="Q64" i="9"/>
  <c r="U64" i="9" s="1"/>
  <c r="Q63" i="9"/>
  <c r="U63" i="9" s="1"/>
  <c r="Q62" i="9"/>
  <c r="U62" i="9" s="1"/>
  <c r="Q61" i="9"/>
  <c r="U61" i="9" s="1"/>
  <c r="Q60" i="9"/>
  <c r="U60" i="9" s="1"/>
  <c r="Q59" i="9"/>
  <c r="U59" i="9" s="1"/>
  <c r="Q58" i="9"/>
  <c r="U58" i="9" s="1"/>
  <c r="Q57" i="9"/>
  <c r="U57" i="9" s="1"/>
  <c r="Q56" i="9"/>
  <c r="U56" i="9" s="1"/>
  <c r="Q55" i="9"/>
  <c r="U55" i="9" s="1"/>
  <c r="Q52" i="9"/>
  <c r="U52" i="9" s="1"/>
  <c r="Q51" i="9"/>
  <c r="U51" i="9" s="1"/>
  <c r="Q54" i="9"/>
  <c r="U54" i="9" s="1"/>
  <c r="Q53" i="9"/>
  <c r="U53" i="9" s="1"/>
  <c r="Q50" i="9"/>
  <c r="U50" i="9" s="1"/>
  <c r="Q49" i="9"/>
  <c r="U49" i="9" s="1"/>
  <c r="Q48" i="9"/>
  <c r="U48" i="9" s="1"/>
  <c r="Q47" i="9"/>
  <c r="U47" i="9" s="1"/>
  <c r="Q46" i="9"/>
  <c r="U46" i="9" s="1"/>
  <c r="Q45" i="9"/>
  <c r="U45" i="9" s="1"/>
  <c r="Q44" i="9"/>
  <c r="U44" i="9" s="1"/>
  <c r="P133" i="9"/>
  <c r="T133" i="9" s="1"/>
  <c r="P128" i="9"/>
  <c r="T128" i="9" s="1"/>
  <c r="P127" i="9"/>
  <c r="T127" i="9" s="1"/>
  <c r="P126" i="9"/>
  <c r="T126" i="9" s="1"/>
  <c r="P125" i="9"/>
  <c r="T125" i="9" s="1"/>
  <c r="T110" i="9"/>
  <c r="P106" i="9"/>
  <c r="T106" i="9" s="1"/>
  <c r="P101" i="9"/>
  <c r="T101" i="9" s="1"/>
  <c r="P100" i="9"/>
  <c r="T100" i="9" s="1"/>
  <c r="P93" i="9"/>
  <c r="T93" i="9" s="1"/>
  <c r="P87" i="9"/>
  <c r="T87" i="9" s="1"/>
  <c r="P85" i="9"/>
  <c r="T85" i="9" s="1"/>
  <c r="P84" i="9"/>
  <c r="T84" i="9" s="1"/>
  <c r="P83" i="9"/>
  <c r="T83" i="9" s="1"/>
  <c r="P75" i="9"/>
  <c r="T75" i="9" s="1"/>
  <c r="P74" i="9"/>
  <c r="T74" i="9" s="1"/>
  <c r="P76" i="9"/>
  <c r="T76" i="9" s="1"/>
  <c r="P77" i="9"/>
  <c r="T77" i="9" s="1"/>
  <c r="P78" i="9"/>
  <c r="T78" i="9" s="1"/>
  <c r="P79" i="9"/>
  <c r="T79" i="9" s="1"/>
  <c r="P80" i="9"/>
  <c r="T80" i="9" s="1"/>
  <c r="P82" i="9"/>
  <c r="T82" i="9" s="1"/>
  <c r="P69" i="9"/>
  <c r="T69" i="9" s="1"/>
  <c r="P67" i="9"/>
  <c r="T67" i="9" s="1"/>
  <c r="P68" i="9" a="1"/>
  <c r="P70" i="9"/>
  <c r="T70" i="9" s="1"/>
  <c r="P65" i="9"/>
  <c r="T65" i="9" s="1"/>
  <c r="P64" i="9"/>
  <c r="T64" i="9" s="1"/>
  <c r="P63" i="9"/>
  <c r="T63" i="9" s="1"/>
  <c r="P61" i="9"/>
  <c r="T61" i="9" s="1"/>
  <c r="P60" i="9"/>
  <c r="T60" i="9" s="1"/>
  <c r="P62" i="9"/>
  <c r="T62" i="9" s="1"/>
  <c r="P59" i="9"/>
  <c r="T59" i="9" s="1"/>
  <c r="P49" i="9"/>
  <c r="T49" i="9" s="1"/>
  <c r="P48" i="9"/>
  <c r="T48" i="9" s="1"/>
  <c r="P47" i="9"/>
  <c r="T47" i="9" s="1"/>
  <c r="P46" i="9"/>
  <c r="T46" i="9" s="1"/>
  <c r="P45" i="9"/>
  <c r="T45" i="9" s="1"/>
  <c r="P44" i="9"/>
  <c r="T44" i="9" s="1"/>
  <c r="P86" i="9"/>
  <c r="T86" i="9" s="1"/>
  <c r="P88" i="9"/>
  <c r="T88" i="9" s="1"/>
  <c r="P89" i="9"/>
  <c r="T89" i="9" s="1"/>
  <c r="P90" i="9"/>
  <c r="T90" i="9" s="1"/>
  <c r="P91" i="9"/>
  <c r="T91" i="9" s="1"/>
  <c r="P92" i="9"/>
  <c r="T92" i="9" s="1"/>
  <c r="P96" i="9"/>
  <c r="T96" i="9" s="1"/>
  <c r="P97" i="9"/>
  <c r="T97" i="9" s="1"/>
  <c r="P98" i="9"/>
  <c r="T98" i="9" s="1"/>
  <c r="P57" i="9"/>
  <c r="T57" i="9" s="1"/>
  <c r="P56" i="9"/>
  <c r="T56" i="9" s="1"/>
  <c r="P51" i="9"/>
  <c r="T51" i="9" s="1"/>
  <c r="P50" i="9"/>
  <c r="T50" i="9" s="1"/>
  <c r="P53" i="9"/>
  <c r="T53" i="9" s="1"/>
  <c r="P132" i="9"/>
  <c r="T132" i="9" s="1"/>
  <c r="P131" i="9"/>
  <c r="T131" i="9" s="1"/>
  <c r="P105" i="9"/>
  <c r="T105" i="9" s="1"/>
  <c r="P103" i="9"/>
  <c r="T103" i="9" s="1"/>
  <c r="P54" i="9"/>
  <c r="T54" i="9" s="1"/>
  <c r="P52" i="9"/>
  <c r="T52" i="9" s="1"/>
  <c r="P99" i="9"/>
  <c r="T99" i="9" s="1"/>
  <c r="P102" i="9"/>
  <c r="T102" i="9" s="1"/>
  <c r="P104" i="9"/>
  <c r="T104" i="9" s="1"/>
  <c r="P107" i="9"/>
  <c r="T107" i="9" s="1"/>
  <c r="P108" i="9"/>
  <c r="T108" i="9" s="1"/>
  <c r="P109" i="9"/>
  <c r="T109" i="9" s="1"/>
  <c r="P111" i="9"/>
  <c r="T111" i="9" s="1"/>
  <c r="P112" i="9"/>
  <c r="T112" i="9" s="1"/>
  <c r="P116" i="9"/>
  <c r="T116" i="9" s="1"/>
  <c r="P117" i="9"/>
  <c r="T117" i="9" s="1"/>
  <c r="P118" i="9"/>
  <c r="T118" i="9" s="1"/>
  <c r="P119" i="9"/>
  <c r="T119" i="9" s="1"/>
  <c r="P120" i="9"/>
  <c r="T120" i="9" s="1"/>
  <c r="P121" i="9"/>
  <c r="T121" i="9" s="1"/>
  <c r="P130" i="9"/>
  <c r="T130" i="9" s="1"/>
  <c r="P12" i="9"/>
  <c r="T12" i="9" s="1"/>
  <c r="K31" i="1"/>
  <c r="J31" i="1"/>
  <c r="J131" i="9"/>
  <c r="J130" i="9"/>
  <c r="J121" i="9"/>
  <c r="J119" i="9"/>
  <c r="J118" i="9"/>
  <c r="J109" i="9"/>
  <c r="J107" i="9"/>
  <c r="J106" i="9"/>
  <c r="J97" i="9"/>
  <c r="J95" i="9"/>
  <c r="J94" i="9"/>
  <c r="J85" i="9"/>
  <c r="J83" i="9"/>
  <c r="J82" i="9"/>
  <c r="J73" i="9"/>
  <c r="J71" i="9"/>
  <c r="J70" i="9"/>
  <c r="J61" i="9"/>
  <c r="J59" i="9"/>
  <c r="J58" i="9"/>
  <c r="J49" i="9"/>
  <c r="J47" i="9"/>
  <c r="J46" i="9"/>
  <c r="S43" i="9"/>
  <c r="R43" i="9"/>
  <c r="Q43" i="9"/>
  <c r="P43" i="9"/>
  <c r="J43" i="9"/>
  <c r="S42" i="9"/>
  <c r="R42" i="9"/>
  <c r="Q42" i="9"/>
  <c r="P42" i="9"/>
  <c r="S41" i="9"/>
  <c r="R41" i="9"/>
  <c r="Q41" i="9"/>
  <c r="P41" i="9"/>
  <c r="S40" i="9"/>
  <c r="R40" i="9"/>
  <c r="Q40" i="9"/>
  <c r="P40" i="9"/>
  <c r="S39" i="9"/>
  <c r="R39" i="9"/>
  <c r="Q39" i="9"/>
  <c r="P39" i="9"/>
  <c r="S37" i="9"/>
  <c r="R37" i="9"/>
  <c r="Q37" i="9"/>
  <c r="P37" i="9"/>
  <c r="J37" i="9"/>
  <c r="S36" i="9"/>
  <c r="R36" i="9"/>
  <c r="Q36" i="9"/>
  <c r="P36" i="9"/>
  <c r="J36" i="9"/>
  <c r="S35" i="9"/>
  <c r="R35" i="9"/>
  <c r="Q35" i="9"/>
  <c r="P35" i="9"/>
  <c r="J35" i="9"/>
  <c r="S34" i="9"/>
  <c r="R34" i="9"/>
  <c r="Q34" i="9"/>
  <c r="J34" i="9"/>
  <c r="S33" i="9"/>
  <c r="R33" i="9"/>
  <c r="Q33" i="9"/>
  <c r="U33" i="9" s="1"/>
  <c r="J33" i="9"/>
  <c r="S32" i="9"/>
  <c r="R32" i="9"/>
  <c r="Q32" i="9"/>
  <c r="P32" i="9"/>
  <c r="J32" i="9"/>
  <c r="J31" i="9"/>
  <c r="S30" i="9"/>
  <c r="R30" i="9"/>
  <c r="Q30" i="9"/>
  <c r="P30" i="9"/>
  <c r="S29" i="9"/>
  <c r="R29" i="9"/>
  <c r="Q29" i="9"/>
  <c r="P29" i="9"/>
  <c r="J29" i="9"/>
  <c r="S28" i="9"/>
  <c r="R28" i="9"/>
  <c r="Q28" i="9"/>
  <c r="P28" i="9"/>
  <c r="S27" i="9"/>
  <c r="R27" i="9"/>
  <c r="Q27" i="9"/>
  <c r="P27" i="9"/>
  <c r="S26" i="9"/>
  <c r="R26" i="9"/>
  <c r="Q26" i="9"/>
  <c r="P26" i="9"/>
  <c r="S25" i="9"/>
  <c r="R25" i="9"/>
  <c r="Q25" i="9"/>
  <c r="P25" i="9"/>
  <c r="J25" i="9"/>
  <c r="S24" i="9"/>
  <c r="R24" i="9"/>
  <c r="Q24" i="9"/>
  <c r="P24" i="9"/>
  <c r="J24" i="9"/>
  <c r="S23" i="9"/>
  <c r="R23" i="9"/>
  <c r="Q23" i="9"/>
  <c r="P23" i="9"/>
  <c r="S22" i="9"/>
  <c r="R22" i="9"/>
  <c r="Q22" i="9"/>
  <c r="P22" i="9"/>
  <c r="J22" i="9"/>
  <c r="S21" i="9"/>
  <c r="R21" i="9"/>
  <c r="J21" i="9"/>
  <c r="S20" i="9"/>
  <c r="R20" i="9"/>
  <c r="S19" i="9"/>
  <c r="R19" i="9"/>
  <c r="S18" i="9"/>
  <c r="R18" i="9"/>
  <c r="J18" i="9"/>
  <c r="S17" i="9"/>
  <c r="R17" i="9"/>
  <c r="Q17" i="9"/>
  <c r="S16" i="9"/>
  <c r="R16" i="9"/>
  <c r="Q16" i="9"/>
  <c r="P16" i="9"/>
  <c r="S15" i="9"/>
  <c r="R15" i="9"/>
  <c r="Q15" i="9"/>
  <c r="S14" i="9"/>
  <c r="R14" i="9"/>
  <c r="Q14" i="9"/>
  <c r="P14" i="9"/>
  <c r="S13" i="9"/>
  <c r="R13" i="9"/>
  <c r="Q13" i="9"/>
  <c r="J13" i="9"/>
  <c r="S12" i="9"/>
  <c r="R12" i="9"/>
  <c r="Q12" i="9"/>
  <c r="J12" i="9"/>
  <c r="S11" i="9"/>
  <c r="W11" i="9" s="1"/>
  <c r="R11" i="9"/>
  <c r="V11" i="9" s="1"/>
  <c r="Q11" i="9"/>
  <c r="U11" i="9" s="1"/>
  <c r="P11" i="9"/>
  <c r="T11" i="9" s="1"/>
  <c r="D113" i="7"/>
  <c r="J138" i="2"/>
  <c r="I137" i="6"/>
  <c r="J137" i="6" s="1"/>
  <c r="I136" i="6"/>
  <c r="J136" i="6" s="1"/>
  <c r="I135" i="6"/>
  <c r="J135" i="6" s="1"/>
  <c r="I134" i="6"/>
  <c r="J134" i="6" s="1"/>
  <c r="I133" i="6"/>
  <c r="J133" i="6" s="1"/>
  <c r="I132" i="6"/>
  <c r="J132" i="6" s="1"/>
  <c r="I131" i="6"/>
  <c r="J131" i="6" s="1"/>
  <c r="I130" i="6"/>
  <c r="J130" i="6" s="1"/>
  <c r="I129" i="6"/>
  <c r="J129" i="6" s="1"/>
  <c r="I128" i="6"/>
  <c r="J128" i="6" s="1"/>
  <c r="I127" i="6"/>
  <c r="J127" i="6" s="1"/>
  <c r="I126" i="6"/>
  <c r="J126" i="6" s="1"/>
  <c r="I125" i="6"/>
  <c r="J125" i="6" s="1"/>
  <c r="I124" i="6"/>
  <c r="J124" i="6" s="1"/>
  <c r="I123" i="6"/>
  <c r="J123" i="6" s="1"/>
  <c r="I122" i="6"/>
  <c r="J122" i="6" s="1"/>
  <c r="I121" i="6"/>
  <c r="J121" i="6" s="1"/>
  <c r="I120" i="6"/>
  <c r="J120" i="6" s="1"/>
  <c r="I119" i="6"/>
  <c r="J119" i="6" s="1"/>
  <c r="I118" i="6"/>
  <c r="J118" i="6" s="1"/>
  <c r="I117" i="6"/>
  <c r="J117" i="6" s="1"/>
  <c r="I116" i="6"/>
  <c r="J116" i="6" s="1"/>
  <c r="I115" i="6"/>
  <c r="J115" i="6" s="1"/>
  <c r="I114" i="6"/>
  <c r="J114" i="6" s="1"/>
  <c r="I113" i="6"/>
  <c r="J113" i="6" s="1"/>
  <c r="I112" i="6"/>
  <c r="J112" i="6" s="1"/>
  <c r="I111" i="6"/>
  <c r="J111" i="6" s="1"/>
  <c r="I110" i="6"/>
  <c r="J110" i="6" s="1"/>
  <c r="I109" i="6"/>
  <c r="J109" i="6" s="1"/>
  <c r="I108" i="6"/>
  <c r="J108" i="6" s="1"/>
  <c r="I107" i="6"/>
  <c r="J107" i="6" s="1"/>
  <c r="I106" i="6"/>
  <c r="J106" i="6" s="1"/>
  <c r="I105" i="6"/>
  <c r="J105" i="6" s="1"/>
  <c r="I104" i="6"/>
  <c r="J104" i="6" s="1"/>
  <c r="I103" i="6"/>
  <c r="J103" i="6" s="1"/>
  <c r="I102" i="6"/>
  <c r="J102" i="6" s="1"/>
  <c r="I101" i="6"/>
  <c r="J101" i="6" s="1"/>
  <c r="I100" i="6"/>
  <c r="J100" i="6" s="1"/>
  <c r="I99" i="6"/>
  <c r="J99" i="6" s="1"/>
  <c r="I98" i="6"/>
  <c r="J98" i="6" s="1"/>
  <c r="I97" i="6"/>
  <c r="J97" i="6" s="1"/>
  <c r="I96" i="6"/>
  <c r="J96" i="6" s="1"/>
  <c r="I95" i="6"/>
  <c r="J95" i="6" s="1"/>
  <c r="I94" i="6"/>
  <c r="J94" i="6" s="1"/>
  <c r="I93" i="6"/>
  <c r="J93" i="6" s="1"/>
  <c r="I92" i="6"/>
  <c r="J92" i="6" s="1"/>
  <c r="I91" i="6"/>
  <c r="J91" i="6" s="1"/>
  <c r="I90" i="6"/>
  <c r="J90" i="6" s="1"/>
  <c r="I89" i="6"/>
  <c r="J89" i="6" s="1"/>
  <c r="I88" i="6"/>
  <c r="J88" i="6" s="1"/>
  <c r="I87" i="6"/>
  <c r="J87" i="6" s="1"/>
  <c r="I86" i="6"/>
  <c r="J86" i="6" s="1"/>
  <c r="I85" i="6"/>
  <c r="J85" i="6" s="1"/>
  <c r="I84" i="6"/>
  <c r="J84" i="6" s="1"/>
  <c r="I83" i="6"/>
  <c r="J83" i="6" s="1"/>
  <c r="I82" i="6"/>
  <c r="J82" i="6" s="1"/>
  <c r="I81" i="6"/>
  <c r="J81" i="6" s="1"/>
  <c r="I80" i="6"/>
  <c r="J80" i="6" s="1"/>
  <c r="I79" i="6"/>
  <c r="J79" i="6" s="1"/>
  <c r="I78" i="6"/>
  <c r="J78" i="6" s="1"/>
  <c r="I77" i="6"/>
  <c r="J77" i="6" s="1"/>
  <c r="I76" i="6"/>
  <c r="J76" i="6" s="1"/>
  <c r="I75" i="6"/>
  <c r="J75" i="6" s="1"/>
  <c r="I74" i="6"/>
  <c r="J74" i="6" s="1"/>
  <c r="I73" i="6"/>
  <c r="J73" i="6" s="1"/>
  <c r="I72" i="6"/>
  <c r="J72" i="6" s="1"/>
  <c r="I71" i="6"/>
  <c r="J71" i="6" s="1"/>
  <c r="I70" i="6"/>
  <c r="J70" i="6" s="1"/>
  <c r="I69" i="6"/>
  <c r="J69" i="6" s="1"/>
  <c r="I68" i="6"/>
  <c r="J68" i="6" s="1"/>
  <c r="I67" i="6"/>
  <c r="J67" i="6" s="1"/>
  <c r="I66" i="6"/>
  <c r="J66" i="6" s="1"/>
  <c r="I65" i="6"/>
  <c r="J65" i="6" s="1"/>
  <c r="I64" i="6"/>
  <c r="J64" i="6" s="1"/>
  <c r="I63" i="6"/>
  <c r="J63" i="6" s="1"/>
  <c r="I62" i="6"/>
  <c r="J62" i="6" s="1"/>
  <c r="I61" i="6"/>
  <c r="J61" i="6" s="1"/>
  <c r="I60" i="6"/>
  <c r="J60" i="6" s="1"/>
  <c r="I59" i="6"/>
  <c r="J59" i="6" s="1"/>
  <c r="I58" i="6"/>
  <c r="J58" i="6" s="1"/>
  <c r="I57" i="6"/>
  <c r="J57" i="6" s="1"/>
  <c r="I56" i="6"/>
  <c r="J56" i="6" s="1"/>
  <c r="I55" i="6"/>
  <c r="J55" i="6" s="1"/>
  <c r="I54" i="6"/>
  <c r="J54" i="6" s="1"/>
  <c r="I53" i="6"/>
  <c r="J53" i="6" s="1"/>
  <c r="I52" i="6"/>
  <c r="J52" i="6" s="1"/>
  <c r="I51" i="6"/>
  <c r="J51" i="6" s="1"/>
  <c r="I50" i="6"/>
  <c r="J50" i="6" s="1"/>
  <c r="I49" i="6"/>
  <c r="J49" i="6" s="1"/>
  <c r="I48" i="6"/>
  <c r="J48" i="6" s="1"/>
  <c r="I47" i="6"/>
  <c r="J47" i="6" s="1"/>
  <c r="I46" i="6"/>
  <c r="J46" i="6" s="1"/>
  <c r="I45" i="6"/>
  <c r="J45" i="6" s="1"/>
  <c r="I44" i="6"/>
  <c r="J44" i="6" s="1"/>
  <c r="I43" i="6"/>
  <c r="J43" i="6" s="1"/>
  <c r="I42" i="6"/>
  <c r="J42" i="6" s="1"/>
  <c r="I41" i="6"/>
  <c r="J41" i="6" s="1"/>
  <c r="I40" i="6"/>
  <c r="J40" i="6" s="1"/>
  <c r="I39" i="6"/>
  <c r="J39" i="6" s="1"/>
  <c r="I38" i="6"/>
  <c r="J38" i="6" s="1"/>
  <c r="I37" i="6"/>
  <c r="J37" i="6" s="1"/>
  <c r="I36" i="6"/>
  <c r="J36" i="6" s="1"/>
  <c r="I35" i="6"/>
  <c r="J35" i="6" s="1"/>
  <c r="I34" i="6"/>
  <c r="J34" i="6" s="1"/>
  <c r="I33" i="6"/>
  <c r="J33" i="6" s="1"/>
  <c r="I32" i="6"/>
  <c r="J32" i="6" s="1"/>
  <c r="I31" i="6"/>
  <c r="J31" i="6" s="1"/>
  <c r="I30" i="6"/>
  <c r="J30" i="6" s="1"/>
  <c r="I29" i="6"/>
  <c r="J29" i="6" s="1"/>
  <c r="I28" i="6"/>
  <c r="J28" i="6" s="1"/>
  <c r="I27" i="6"/>
  <c r="J27" i="6" s="1"/>
  <c r="I26" i="6"/>
  <c r="J26" i="6" s="1"/>
  <c r="I25" i="6"/>
  <c r="J25" i="6" s="1"/>
  <c r="I24" i="6"/>
  <c r="J24" i="6" s="1"/>
  <c r="I23" i="6"/>
  <c r="J23" i="6" s="1"/>
  <c r="I22" i="6"/>
  <c r="J22" i="6" s="1"/>
  <c r="I21" i="6"/>
  <c r="J21" i="6" s="1"/>
  <c r="I20" i="6"/>
  <c r="J20" i="6" s="1"/>
  <c r="I19" i="6"/>
  <c r="J19" i="6" s="1"/>
  <c r="I18" i="6"/>
  <c r="J18" i="6" s="1"/>
  <c r="I17" i="6"/>
  <c r="J17" i="6" s="1"/>
  <c r="I16" i="6"/>
  <c r="J16" i="6" s="1"/>
  <c r="I15" i="6"/>
  <c r="J15" i="6" s="1"/>
  <c r="I137" i="5"/>
  <c r="J137" i="5" s="1"/>
  <c r="I136" i="5"/>
  <c r="J136" i="5" s="1"/>
  <c r="I135" i="5"/>
  <c r="J135" i="5" s="1"/>
  <c r="I134" i="5"/>
  <c r="J134" i="5" s="1"/>
  <c r="I133" i="5"/>
  <c r="J133" i="5" s="1"/>
  <c r="I132" i="5"/>
  <c r="J132" i="5" s="1"/>
  <c r="I131" i="5"/>
  <c r="J131" i="5" s="1"/>
  <c r="I130" i="5"/>
  <c r="J130" i="5" s="1"/>
  <c r="I129" i="5"/>
  <c r="J129" i="5" s="1"/>
  <c r="I128" i="5"/>
  <c r="J128" i="5" s="1"/>
  <c r="I127" i="5"/>
  <c r="J127" i="5" s="1"/>
  <c r="I126" i="5"/>
  <c r="J126" i="5" s="1"/>
  <c r="I125" i="5"/>
  <c r="J125" i="5" s="1"/>
  <c r="I124" i="5"/>
  <c r="J124" i="5" s="1"/>
  <c r="I123" i="5"/>
  <c r="J123" i="5" s="1"/>
  <c r="I122" i="5"/>
  <c r="J122" i="5" s="1"/>
  <c r="I121" i="5"/>
  <c r="J121" i="5" s="1"/>
  <c r="I120" i="5"/>
  <c r="J120" i="5" s="1"/>
  <c r="I119" i="5"/>
  <c r="J119" i="5" s="1"/>
  <c r="I118" i="5"/>
  <c r="J118" i="5" s="1"/>
  <c r="I117" i="5"/>
  <c r="J117" i="5" s="1"/>
  <c r="I116" i="5"/>
  <c r="J116" i="5" s="1"/>
  <c r="I115" i="5"/>
  <c r="J115" i="5" s="1"/>
  <c r="I114" i="5"/>
  <c r="J114" i="5" s="1"/>
  <c r="I113" i="5"/>
  <c r="J113" i="5" s="1"/>
  <c r="I112" i="5"/>
  <c r="J112" i="5" s="1"/>
  <c r="I111" i="5"/>
  <c r="J111" i="5" s="1"/>
  <c r="I110" i="5"/>
  <c r="J110" i="5" s="1"/>
  <c r="I109" i="5"/>
  <c r="J109" i="5" s="1"/>
  <c r="I108" i="5"/>
  <c r="J108" i="5" s="1"/>
  <c r="I107" i="5"/>
  <c r="J107" i="5" s="1"/>
  <c r="I106" i="5"/>
  <c r="J106" i="5" s="1"/>
  <c r="I105" i="5"/>
  <c r="J105" i="5" s="1"/>
  <c r="I104" i="5"/>
  <c r="J104" i="5" s="1"/>
  <c r="I103" i="5"/>
  <c r="J103" i="5" s="1"/>
  <c r="I102" i="5"/>
  <c r="J102" i="5" s="1"/>
  <c r="I101" i="5"/>
  <c r="J101" i="5" s="1"/>
  <c r="I100" i="5"/>
  <c r="J100" i="5" s="1"/>
  <c r="I99" i="5"/>
  <c r="J99" i="5" s="1"/>
  <c r="I98" i="5"/>
  <c r="J98" i="5" s="1"/>
  <c r="I97" i="5"/>
  <c r="J97" i="5" s="1"/>
  <c r="I96" i="5"/>
  <c r="J96" i="5" s="1"/>
  <c r="I95" i="5"/>
  <c r="J95" i="5" s="1"/>
  <c r="I94" i="5"/>
  <c r="J94" i="5" s="1"/>
  <c r="I93" i="5"/>
  <c r="J93" i="5" s="1"/>
  <c r="I92" i="5"/>
  <c r="J92" i="5" s="1"/>
  <c r="I91" i="5"/>
  <c r="J91" i="5" s="1"/>
  <c r="I90" i="5"/>
  <c r="J90" i="5" s="1"/>
  <c r="I89" i="5"/>
  <c r="J89" i="5" s="1"/>
  <c r="I88" i="5"/>
  <c r="J88" i="5" s="1"/>
  <c r="I87" i="5"/>
  <c r="J87" i="5" s="1"/>
  <c r="I86" i="5"/>
  <c r="J86" i="5" s="1"/>
  <c r="I85" i="5"/>
  <c r="J85" i="5" s="1"/>
  <c r="I84" i="5"/>
  <c r="J84" i="5" s="1"/>
  <c r="I83" i="5"/>
  <c r="J83" i="5" s="1"/>
  <c r="I82" i="5"/>
  <c r="J82" i="5" s="1"/>
  <c r="I81" i="5"/>
  <c r="J81" i="5" s="1"/>
  <c r="I80" i="5"/>
  <c r="J80" i="5" s="1"/>
  <c r="I79" i="5"/>
  <c r="J79" i="5" s="1"/>
  <c r="I78" i="5"/>
  <c r="J78" i="5" s="1"/>
  <c r="I77" i="5"/>
  <c r="J77" i="5" s="1"/>
  <c r="I76" i="5"/>
  <c r="J76" i="5" s="1"/>
  <c r="I75" i="5"/>
  <c r="J75" i="5" s="1"/>
  <c r="I74" i="5"/>
  <c r="J74" i="5" s="1"/>
  <c r="I73" i="5"/>
  <c r="J73" i="5" s="1"/>
  <c r="I72" i="5"/>
  <c r="J72" i="5" s="1"/>
  <c r="I71" i="5"/>
  <c r="J71" i="5" s="1"/>
  <c r="I70" i="5"/>
  <c r="J70" i="5" s="1"/>
  <c r="I69" i="5"/>
  <c r="J69" i="5" s="1"/>
  <c r="I68" i="5"/>
  <c r="J68" i="5" s="1"/>
  <c r="I67" i="5"/>
  <c r="J67" i="5" s="1"/>
  <c r="I66" i="5"/>
  <c r="J66" i="5" s="1"/>
  <c r="I65" i="5"/>
  <c r="J65" i="5" s="1"/>
  <c r="I64" i="5"/>
  <c r="J64" i="5" s="1"/>
  <c r="I63" i="5"/>
  <c r="J63" i="5" s="1"/>
  <c r="I62" i="5"/>
  <c r="J62" i="5" s="1"/>
  <c r="I61" i="5"/>
  <c r="J61" i="5" s="1"/>
  <c r="I60" i="5"/>
  <c r="J60" i="5" s="1"/>
  <c r="I59" i="5"/>
  <c r="J59" i="5" s="1"/>
  <c r="I58" i="5"/>
  <c r="J58" i="5" s="1"/>
  <c r="I57" i="5"/>
  <c r="J57" i="5" s="1"/>
  <c r="I56" i="5"/>
  <c r="J56" i="5" s="1"/>
  <c r="I55" i="5"/>
  <c r="J55" i="5" s="1"/>
  <c r="I54" i="5"/>
  <c r="J54" i="5" s="1"/>
  <c r="I53" i="5"/>
  <c r="J53" i="5" s="1"/>
  <c r="I52" i="5"/>
  <c r="J52" i="5" s="1"/>
  <c r="I51" i="5"/>
  <c r="J51" i="5" s="1"/>
  <c r="I50" i="5"/>
  <c r="J50" i="5" s="1"/>
  <c r="I49" i="5"/>
  <c r="J49" i="5" s="1"/>
  <c r="I48" i="5"/>
  <c r="J48" i="5" s="1"/>
  <c r="I47" i="5"/>
  <c r="J47" i="5" s="1"/>
  <c r="I46" i="5"/>
  <c r="J46" i="5" s="1"/>
  <c r="I45" i="5"/>
  <c r="J45" i="5" s="1"/>
  <c r="I44" i="5"/>
  <c r="J44" i="5" s="1"/>
  <c r="I43" i="5"/>
  <c r="J43" i="5" s="1"/>
  <c r="I42" i="5"/>
  <c r="J42" i="5" s="1"/>
  <c r="I41" i="5"/>
  <c r="J41" i="5" s="1"/>
  <c r="I40" i="5"/>
  <c r="J40" i="5" s="1"/>
  <c r="I39" i="5"/>
  <c r="J39" i="5" s="1"/>
  <c r="I38" i="5"/>
  <c r="J38" i="5" s="1"/>
  <c r="I37" i="5"/>
  <c r="J37" i="5" s="1"/>
  <c r="I36" i="5"/>
  <c r="J36" i="5" s="1"/>
  <c r="I35" i="5"/>
  <c r="J35" i="5" s="1"/>
  <c r="I34" i="5"/>
  <c r="J34" i="5" s="1"/>
  <c r="I33" i="5"/>
  <c r="J33" i="5" s="1"/>
  <c r="I32" i="5"/>
  <c r="J32" i="5" s="1"/>
  <c r="I31" i="5"/>
  <c r="J31" i="5" s="1"/>
  <c r="I30" i="5"/>
  <c r="J30" i="5" s="1"/>
  <c r="I29" i="5"/>
  <c r="J29" i="5" s="1"/>
  <c r="I28" i="5"/>
  <c r="J28" i="5" s="1"/>
  <c r="I27" i="5"/>
  <c r="J27" i="5" s="1"/>
  <c r="I26" i="5"/>
  <c r="J26" i="5" s="1"/>
  <c r="I25" i="5"/>
  <c r="J25" i="5" s="1"/>
  <c r="I24" i="5"/>
  <c r="J24" i="5" s="1"/>
  <c r="I23" i="5"/>
  <c r="J23" i="5" s="1"/>
  <c r="I22" i="5"/>
  <c r="J22" i="5" s="1"/>
  <c r="I21" i="5"/>
  <c r="J21" i="5" s="1"/>
  <c r="I20" i="5"/>
  <c r="J20" i="5" s="1"/>
  <c r="I19" i="5"/>
  <c r="J19" i="5" s="1"/>
  <c r="I18" i="5"/>
  <c r="J18" i="5" s="1"/>
  <c r="I17" i="5"/>
  <c r="J17" i="5" s="1"/>
  <c r="I16" i="5"/>
  <c r="J16" i="5" s="1"/>
  <c r="I15" i="5"/>
  <c r="J15" i="5" s="1"/>
  <c r="I137" i="4"/>
  <c r="J137" i="4" s="1"/>
  <c r="J133" i="9" s="1"/>
  <c r="I136" i="4"/>
  <c r="J136" i="4" s="1"/>
  <c r="J132" i="9" s="1"/>
  <c r="I135" i="4"/>
  <c r="J135" i="4" s="1"/>
  <c r="I134" i="4"/>
  <c r="J134" i="4" s="1"/>
  <c r="I133" i="4"/>
  <c r="J133" i="4" s="1"/>
  <c r="J129" i="9" s="1"/>
  <c r="I132" i="4"/>
  <c r="J132" i="4" s="1"/>
  <c r="J128" i="9" s="1"/>
  <c r="I131" i="4"/>
  <c r="J131" i="4" s="1"/>
  <c r="J127" i="9" s="1"/>
  <c r="I130" i="4"/>
  <c r="J130" i="4" s="1"/>
  <c r="J126" i="9" s="1"/>
  <c r="I129" i="4"/>
  <c r="J129" i="4" s="1"/>
  <c r="J125" i="9" s="1"/>
  <c r="I128" i="4"/>
  <c r="J128" i="4" s="1"/>
  <c r="J124" i="9" s="1"/>
  <c r="I127" i="4"/>
  <c r="J127" i="4" s="1"/>
  <c r="J123" i="9" s="1"/>
  <c r="I126" i="4"/>
  <c r="J126" i="4" s="1"/>
  <c r="J122" i="9" s="1"/>
  <c r="I125" i="4"/>
  <c r="J125" i="4" s="1"/>
  <c r="I124" i="4"/>
  <c r="J124" i="4" s="1"/>
  <c r="J120" i="9" s="1"/>
  <c r="I123" i="4"/>
  <c r="J123" i="4" s="1"/>
  <c r="I122" i="4"/>
  <c r="J122" i="4" s="1"/>
  <c r="I121" i="4"/>
  <c r="J121" i="4" s="1"/>
  <c r="J117" i="9" s="1"/>
  <c r="I120" i="4"/>
  <c r="J120" i="4" s="1"/>
  <c r="J116" i="9" s="1"/>
  <c r="I119" i="4"/>
  <c r="J119" i="4" s="1"/>
  <c r="J115" i="9" s="1"/>
  <c r="I118" i="4"/>
  <c r="J118" i="4" s="1"/>
  <c r="J114" i="9" s="1"/>
  <c r="I117" i="4"/>
  <c r="J117" i="4" s="1"/>
  <c r="J113" i="9" s="1"/>
  <c r="I116" i="4"/>
  <c r="J116" i="4" s="1"/>
  <c r="J112" i="9" s="1"/>
  <c r="I115" i="4"/>
  <c r="J115" i="4" s="1"/>
  <c r="J111" i="9" s="1"/>
  <c r="I114" i="4"/>
  <c r="J114" i="4" s="1"/>
  <c r="J110" i="9" s="1"/>
  <c r="I113" i="4"/>
  <c r="J113" i="4" s="1"/>
  <c r="I112" i="4"/>
  <c r="J112" i="4" s="1"/>
  <c r="J108" i="9" s="1"/>
  <c r="I111" i="4"/>
  <c r="J111" i="4" s="1"/>
  <c r="I110" i="4"/>
  <c r="J110" i="4" s="1"/>
  <c r="I109" i="4"/>
  <c r="J109" i="4" s="1"/>
  <c r="J105" i="9" s="1"/>
  <c r="I108" i="4"/>
  <c r="J108" i="4" s="1"/>
  <c r="J104" i="9" s="1"/>
  <c r="I107" i="4"/>
  <c r="J107" i="4" s="1"/>
  <c r="J103" i="9" s="1"/>
  <c r="I106" i="4"/>
  <c r="J106" i="4" s="1"/>
  <c r="J102" i="9" s="1"/>
  <c r="I105" i="4"/>
  <c r="J105" i="4" s="1"/>
  <c r="J101" i="9" s="1"/>
  <c r="I104" i="4"/>
  <c r="J104" i="4" s="1"/>
  <c r="J100" i="9" s="1"/>
  <c r="I103" i="4"/>
  <c r="J103" i="4" s="1"/>
  <c r="J99" i="9" s="1"/>
  <c r="I102" i="4"/>
  <c r="J102" i="4" s="1"/>
  <c r="J98" i="9" s="1"/>
  <c r="I101" i="4"/>
  <c r="J101" i="4" s="1"/>
  <c r="I100" i="4"/>
  <c r="J100" i="4" s="1"/>
  <c r="J96" i="9" s="1"/>
  <c r="I99" i="4"/>
  <c r="J99" i="4" s="1"/>
  <c r="I98" i="4"/>
  <c r="J98" i="4" s="1"/>
  <c r="I97" i="4"/>
  <c r="J97" i="4" s="1"/>
  <c r="J93" i="9" s="1"/>
  <c r="I96" i="4"/>
  <c r="J96" i="4" s="1"/>
  <c r="J92" i="9" s="1"/>
  <c r="I95" i="4"/>
  <c r="J95" i="4" s="1"/>
  <c r="J91" i="9" s="1"/>
  <c r="I94" i="4"/>
  <c r="J94" i="4" s="1"/>
  <c r="J90" i="9" s="1"/>
  <c r="I93" i="4"/>
  <c r="J93" i="4" s="1"/>
  <c r="J89" i="9" s="1"/>
  <c r="I92" i="4"/>
  <c r="J92" i="4" s="1"/>
  <c r="J88" i="9" s="1"/>
  <c r="I91" i="4"/>
  <c r="J91" i="4" s="1"/>
  <c r="J87" i="9" s="1"/>
  <c r="I90" i="4"/>
  <c r="J90" i="4" s="1"/>
  <c r="J86" i="9" s="1"/>
  <c r="I89" i="4"/>
  <c r="J89" i="4" s="1"/>
  <c r="I88" i="4"/>
  <c r="J88" i="4" s="1"/>
  <c r="J84" i="9" s="1"/>
  <c r="I87" i="4"/>
  <c r="J87" i="4" s="1"/>
  <c r="I86" i="4"/>
  <c r="J86" i="4" s="1"/>
  <c r="I85" i="4"/>
  <c r="J85" i="4" s="1"/>
  <c r="J81" i="9" s="1"/>
  <c r="I84" i="4"/>
  <c r="J84" i="4" s="1"/>
  <c r="J80" i="9" s="1"/>
  <c r="I83" i="4"/>
  <c r="J83" i="4" s="1"/>
  <c r="J79" i="9" s="1"/>
  <c r="I82" i="4"/>
  <c r="J82" i="4" s="1"/>
  <c r="J78" i="9" s="1"/>
  <c r="I81" i="4"/>
  <c r="J81" i="4" s="1"/>
  <c r="J77" i="9" s="1"/>
  <c r="I80" i="4"/>
  <c r="J80" i="4" s="1"/>
  <c r="J76" i="9" s="1"/>
  <c r="I79" i="4"/>
  <c r="J79" i="4" s="1"/>
  <c r="J75" i="9" s="1"/>
  <c r="I78" i="4"/>
  <c r="J78" i="4" s="1"/>
  <c r="J74" i="9" s="1"/>
  <c r="I77" i="4"/>
  <c r="J77" i="4" s="1"/>
  <c r="I76" i="4"/>
  <c r="J76" i="4" s="1"/>
  <c r="J72" i="9" s="1"/>
  <c r="I75" i="4"/>
  <c r="J75" i="4" s="1"/>
  <c r="I74" i="4"/>
  <c r="J74" i="4" s="1"/>
  <c r="I73" i="4"/>
  <c r="J73" i="4" s="1"/>
  <c r="J69" i="9" s="1"/>
  <c r="I72" i="4"/>
  <c r="J72" i="4" s="1"/>
  <c r="J68" i="9" s="1"/>
  <c r="I71" i="4"/>
  <c r="J71" i="4" s="1"/>
  <c r="J67" i="9" s="1"/>
  <c r="I70" i="4"/>
  <c r="J70" i="4" s="1"/>
  <c r="J66" i="9" s="1"/>
  <c r="I69" i="4"/>
  <c r="J69" i="4" s="1"/>
  <c r="J65" i="9" s="1"/>
  <c r="I68" i="4"/>
  <c r="J68" i="4" s="1"/>
  <c r="J64" i="9" s="1"/>
  <c r="I67" i="4"/>
  <c r="J67" i="4" s="1"/>
  <c r="J63" i="9" s="1"/>
  <c r="I66" i="4"/>
  <c r="J66" i="4" s="1"/>
  <c r="J62" i="9" s="1"/>
  <c r="I65" i="4"/>
  <c r="J65" i="4" s="1"/>
  <c r="I64" i="4"/>
  <c r="J64" i="4" s="1"/>
  <c r="J60" i="9" s="1"/>
  <c r="I63" i="4"/>
  <c r="J63" i="4" s="1"/>
  <c r="I62" i="4"/>
  <c r="J62" i="4" s="1"/>
  <c r="I61" i="4"/>
  <c r="J61" i="4" s="1"/>
  <c r="J57" i="9" s="1"/>
  <c r="I60" i="4"/>
  <c r="J60" i="4" s="1"/>
  <c r="J56" i="9" s="1"/>
  <c r="I59" i="4"/>
  <c r="J59" i="4" s="1"/>
  <c r="J55" i="9" s="1"/>
  <c r="I58" i="4"/>
  <c r="J58" i="4" s="1"/>
  <c r="J54" i="9" s="1"/>
  <c r="I57" i="4"/>
  <c r="J57" i="4" s="1"/>
  <c r="J53" i="9" s="1"/>
  <c r="I56" i="4"/>
  <c r="J56" i="4" s="1"/>
  <c r="J52" i="9" s="1"/>
  <c r="I55" i="4"/>
  <c r="J55" i="4" s="1"/>
  <c r="J51" i="9" s="1"/>
  <c r="I54" i="4"/>
  <c r="J54" i="4" s="1"/>
  <c r="J50" i="9" s="1"/>
  <c r="I53" i="4"/>
  <c r="J53" i="4" s="1"/>
  <c r="I52" i="4"/>
  <c r="J52" i="4" s="1"/>
  <c r="J48" i="9" s="1"/>
  <c r="I51" i="4"/>
  <c r="J51" i="4" s="1"/>
  <c r="I50" i="4"/>
  <c r="J50" i="4" s="1"/>
  <c r="I49" i="4"/>
  <c r="J49" i="4" s="1"/>
  <c r="J45" i="9" s="1"/>
  <c r="I48" i="4"/>
  <c r="J48" i="4" s="1"/>
  <c r="J44" i="9" s="1"/>
  <c r="I47" i="4"/>
  <c r="J47" i="4" s="1"/>
  <c r="I46" i="4"/>
  <c r="J46" i="4" s="1"/>
  <c r="J42" i="9" s="1"/>
  <c r="I45" i="4"/>
  <c r="J45" i="4" s="1"/>
  <c r="J41" i="9" s="1"/>
  <c r="I44" i="4"/>
  <c r="J44" i="4" s="1"/>
  <c r="J40" i="9" s="1"/>
  <c r="I43" i="4"/>
  <c r="J43" i="4" s="1"/>
  <c r="J39" i="9" s="1"/>
  <c r="I42" i="4"/>
  <c r="J42" i="4" s="1"/>
  <c r="J38" i="9" s="1"/>
  <c r="I41" i="4"/>
  <c r="J41" i="4" s="1"/>
  <c r="I40" i="4"/>
  <c r="J40" i="4" s="1"/>
  <c r="I39" i="4"/>
  <c r="J39" i="4" s="1"/>
  <c r="I38" i="4"/>
  <c r="J38" i="4" s="1"/>
  <c r="I37" i="4"/>
  <c r="J37" i="4" s="1"/>
  <c r="I36" i="4"/>
  <c r="J36" i="4" s="1"/>
  <c r="I35" i="4"/>
  <c r="J35" i="4" s="1"/>
  <c r="I34" i="4"/>
  <c r="J34" i="4" s="1"/>
  <c r="J30" i="9" s="1"/>
  <c r="I33" i="4"/>
  <c r="J33" i="4" s="1"/>
  <c r="I32" i="4"/>
  <c r="J32" i="4" s="1"/>
  <c r="J28" i="9" s="1"/>
  <c r="I31" i="4"/>
  <c r="J31" i="4" s="1"/>
  <c r="J27" i="9" s="1"/>
  <c r="I30" i="4"/>
  <c r="J30" i="4" s="1"/>
  <c r="J26" i="9" s="1"/>
  <c r="I29" i="4"/>
  <c r="J29" i="4" s="1"/>
  <c r="I28" i="4"/>
  <c r="J28" i="4" s="1"/>
  <c r="I27" i="4"/>
  <c r="J27" i="4" s="1"/>
  <c r="J23" i="9" s="1"/>
  <c r="I26" i="4"/>
  <c r="J26" i="4" s="1"/>
  <c r="I25" i="4"/>
  <c r="J25" i="4" s="1"/>
  <c r="I24" i="4"/>
  <c r="J24" i="4" s="1"/>
  <c r="J20" i="9" s="1"/>
  <c r="I23" i="4"/>
  <c r="J23" i="4" s="1"/>
  <c r="J19" i="9" s="1"/>
  <c r="I22" i="4"/>
  <c r="J22" i="4" s="1"/>
  <c r="I21" i="4"/>
  <c r="J21" i="4" s="1"/>
  <c r="J17" i="9" s="1"/>
  <c r="I20" i="4"/>
  <c r="J20" i="4" s="1"/>
  <c r="J16" i="9" s="1"/>
  <c r="I19" i="4"/>
  <c r="J19" i="4" s="1"/>
  <c r="J15" i="9" s="1"/>
  <c r="I18" i="4"/>
  <c r="J18" i="4" s="1"/>
  <c r="J14" i="9" s="1"/>
  <c r="I17" i="4"/>
  <c r="J17" i="4" s="1"/>
  <c r="I16" i="4"/>
  <c r="J16" i="4" s="1"/>
  <c r="I15" i="4"/>
  <c r="J15" i="4" s="1"/>
  <c r="J11" i="9" s="1"/>
  <c r="I137" i="3"/>
  <c r="J137" i="3" s="1"/>
  <c r="I136" i="3"/>
  <c r="J136" i="3" s="1"/>
  <c r="I135" i="3"/>
  <c r="J135" i="3" s="1"/>
  <c r="I134" i="3"/>
  <c r="J134" i="3" s="1"/>
  <c r="I133" i="3"/>
  <c r="J133" i="3" s="1"/>
  <c r="I132" i="3"/>
  <c r="J132" i="3" s="1"/>
  <c r="I131" i="3"/>
  <c r="J131" i="3" s="1"/>
  <c r="I130" i="3"/>
  <c r="J130" i="3" s="1"/>
  <c r="I129" i="3"/>
  <c r="J129" i="3" s="1"/>
  <c r="I128" i="3"/>
  <c r="J128" i="3" s="1"/>
  <c r="I127" i="3"/>
  <c r="J127" i="3" s="1"/>
  <c r="I126" i="3"/>
  <c r="J126" i="3" s="1"/>
  <c r="I125" i="3"/>
  <c r="J125" i="3" s="1"/>
  <c r="I124" i="3"/>
  <c r="J124" i="3" s="1"/>
  <c r="I123" i="3"/>
  <c r="J123" i="3" s="1"/>
  <c r="I122" i="3"/>
  <c r="J122" i="3" s="1"/>
  <c r="I121" i="3"/>
  <c r="J121" i="3" s="1"/>
  <c r="I120" i="3"/>
  <c r="J120" i="3" s="1"/>
  <c r="I119" i="3"/>
  <c r="J119" i="3" s="1"/>
  <c r="I118" i="3"/>
  <c r="J118" i="3" s="1"/>
  <c r="I117" i="3"/>
  <c r="J117" i="3" s="1"/>
  <c r="I116" i="3"/>
  <c r="J116" i="3" s="1"/>
  <c r="I115" i="3"/>
  <c r="J115" i="3" s="1"/>
  <c r="I114" i="3"/>
  <c r="J114" i="3" s="1"/>
  <c r="I113" i="3"/>
  <c r="J113" i="3" s="1"/>
  <c r="I112" i="3"/>
  <c r="J112" i="3" s="1"/>
  <c r="I111" i="3"/>
  <c r="J111" i="3" s="1"/>
  <c r="I110" i="3"/>
  <c r="J110" i="3" s="1"/>
  <c r="I109" i="3"/>
  <c r="J109" i="3" s="1"/>
  <c r="I108" i="3"/>
  <c r="J108" i="3" s="1"/>
  <c r="I107" i="3"/>
  <c r="J107" i="3" s="1"/>
  <c r="I106" i="3"/>
  <c r="J106" i="3" s="1"/>
  <c r="I105" i="3"/>
  <c r="J105" i="3" s="1"/>
  <c r="I104" i="3"/>
  <c r="J104" i="3" s="1"/>
  <c r="I103" i="3"/>
  <c r="J103" i="3" s="1"/>
  <c r="I102" i="3"/>
  <c r="J102" i="3" s="1"/>
  <c r="I101" i="3"/>
  <c r="J101" i="3" s="1"/>
  <c r="I100" i="3"/>
  <c r="J100" i="3" s="1"/>
  <c r="I99" i="3"/>
  <c r="J99" i="3" s="1"/>
  <c r="I98" i="3"/>
  <c r="J98" i="3" s="1"/>
  <c r="I97" i="3"/>
  <c r="J97" i="3" s="1"/>
  <c r="I96" i="3"/>
  <c r="J96" i="3" s="1"/>
  <c r="I95" i="3"/>
  <c r="J95" i="3" s="1"/>
  <c r="I94" i="3"/>
  <c r="J94" i="3" s="1"/>
  <c r="I93" i="3"/>
  <c r="J93" i="3" s="1"/>
  <c r="J92" i="3"/>
  <c r="I91" i="3"/>
  <c r="J91" i="3" s="1"/>
  <c r="I90" i="3"/>
  <c r="J90" i="3" s="1"/>
  <c r="I89" i="3"/>
  <c r="J89" i="3" s="1"/>
  <c r="I88" i="3"/>
  <c r="J88" i="3" s="1"/>
  <c r="I87" i="3"/>
  <c r="J87" i="3" s="1"/>
  <c r="I86" i="3"/>
  <c r="J86" i="3" s="1"/>
  <c r="I85" i="3"/>
  <c r="J85" i="3" s="1"/>
  <c r="I84" i="3"/>
  <c r="J84" i="3" s="1"/>
  <c r="I83" i="3"/>
  <c r="J83" i="3" s="1"/>
  <c r="I82" i="3"/>
  <c r="J82" i="3" s="1"/>
  <c r="I81" i="3"/>
  <c r="J81" i="3" s="1"/>
  <c r="I80" i="3"/>
  <c r="J80" i="3" s="1"/>
  <c r="I79" i="3"/>
  <c r="J79" i="3" s="1"/>
  <c r="I78" i="3"/>
  <c r="J78" i="3" s="1"/>
  <c r="I77" i="3"/>
  <c r="J77" i="3" s="1"/>
  <c r="I76" i="3"/>
  <c r="J76" i="3" s="1"/>
  <c r="I75" i="3"/>
  <c r="J75" i="3" s="1"/>
  <c r="I74" i="3"/>
  <c r="J74" i="3" s="1"/>
  <c r="I73" i="3"/>
  <c r="J73" i="3" s="1"/>
  <c r="I72" i="3"/>
  <c r="J72" i="3" s="1"/>
  <c r="I71" i="3"/>
  <c r="J71" i="3" s="1"/>
  <c r="I70" i="3"/>
  <c r="J70" i="3" s="1"/>
  <c r="J69" i="3"/>
  <c r="J68" i="3"/>
  <c r="I67" i="3"/>
  <c r="J67" i="3" s="1"/>
  <c r="I66" i="3"/>
  <c r="J66" i="3" s="1"/>
  <c r="I65" i="3"/>
  <c r="J65" i="3" s="1"/>
  <c r="I64" i="3"/>
  <c r="J64" i="3" s="1"/>
  <c r="I63" i="3"/>
  <c r="J63" i="3" s="1"/>
  <c r="I62" i="3"/>
  <c r="J62" i="3" s="1"/>
  <c r="I61" i="3"/>
  <c r="J61" i="3" s="1"/>
  <c r="I60" i="3"/>
  <c r="J60" i="3" s="1"/>
  <c r="I59" i="3"/>
  <c r="J59" i="3" s="1"/>
  <c r="I58" i="3"/>
  <c r="J58" i="3" s="1"/>
  <c r="I57" i="3"/>
  <c r="J57" i="3" s="1"/>
  <c r="I56" i="3"/>
  <c r="J56" i="3" s="1"/>
  <c r="I55" i="3"/>
  <c r="J55" i="3" s="1"/>
  <c r="I54" i="3"/>
  <c r="J54" i="3" s="1"/>
  <c r="I53" i="3"/>
  <c r="J53" i="3" s="1"/>
  <c r="I52" i="3"/>
  <c r="J52" i="3" s="1"/>
  <c r="I51" i="3"/>
  <c r="J51" i="3" s="1"/>
  <c r="I50" i="3"/>
  <c r="J50" i="3" s="1"/>
  <c r="I49" i="3"/>
  <c r="J49" i="3" s="1"/>
  <c r="I48" i="3"/>
  <c r="J48" i="3" s="1"/>
  <c r="I47" i="3"/>
  <c r="J47" i="3" s="1"/>
  <c r="I46" i="3"/>
  <c r="J46" i="3" s="1"/>
  <c r="I45" i="3"/>
  <c r="J45" i="3" s="1"/>
  <c r="I44" i="3"/>
  <c r="J44" i="3" s="1"/>
  <c r="I43" i="3"/>
  <c r="J43" i="3" s="1"/>
  <c r="I42" i="3"/>
  <c r="J42" i="3" s="1"/>
  <c r="I41" i="3"/>
  <c r="J41" i="3" s="1"/>
  <c r="I40" i="3"/>
  <c r="J40" i="3" s="1"/>
  <c r="I39" i="3"/>
  <c r="J39" i="3" s="1"/>
  <c r="I38" i="3"/>
  <c r="J38" i="3" s="1"/>
  <c r="I37" i="3"/>
  <c r="J37" i="3" s="1"/>
  <c r="I36" i="3"/>
  <c r="J36" i="3" s="1"/>
  <c r="I35" i="3"/>
  <c r="J35" i="3" s="1"/>
  <c r="I34" i="3"/>
  <c r="J34" i="3" s="1"/>
  <c r="I33" i="3"/>
  <c r="J33" i="3" s="1"/>
  <c r="I32" i="3"/>
  <c r="J32" i="3" s="1"/>
  <c r="I31" i="3"/>
  <c r="J31" i="3" s="1"/>
  <c r="I30" i="3"/>
  <c r="J30" i="3" s="1"/>
  <c r="I29" i="3"/>
  <c r="J29" i="3" s="1"/>
  <c r="I28" i="3"/>
  <c r="J28" i="3" s="1"/>
  <c r="I27" i="3"/>
  <c r="J27" i="3" s="1"/>
  <c r="I26" i="3"/>
  <c r="J26" i="3" s="1"/>
  <c r="I25" i="3"/>
  <c r="J25" i="3" s="1"/>
  <c r="I24" i="3"/>
  <c r="J24" i="3" s="1"/>
  <c r="I23" i="3"/>
  <c r="J23" i="3" s="1"/>
  <c r="I22" i="3"/>
  <c r="J22" i="3" s="1"/>
  <c r="I21" i="3"/>
  <c r="J21" i="3" s="1"/>
  <c r="I20" i="3"/>
  <c r="J20" i="3" s="1"/>
  <c r="I19" i="3"/>
  <c r="J19" i="3" s="1"/>
  <c r="I18" i="3"/>
  <c r="J18" i="3" s="1"/>
  <c r="I17" i="3"/>
  <c r="J17" i="3" s="1"/>
  <c r="I16" i="3"/>
  <c r="J16" i="3" s="1"/>
  <c r="I15" i="3"/>
  <c r="J15" i="3" s="1"/>
  <c r="X132" i="9" l="1"/>
  <c r="J132" i="1" s="1"/>
  <c r="X130" i="9"/>
  <c r="J130" i="1" s="1"/>
  <c r="X131" i="9"/>
  <c r="J131" i="1" s="1"/>
  <c r="X115" i="9"/>
  <c r="J115" i="1" s="1"/>
  <c r="Z11" i="9"/>
  <c r="K11" i="1" s="1"/>
  <c r="AA11" i="9"/>
  <c r="AA44" i="9"/>
  <c r="Z117" i="9"/>
  <c r="X127" i="9"/>
  <c r="J127" i="1" s="1"/>
  <c r="AA89" i="9"/>
  <c r="AA56" i="9"/>
  <c r="X46" i="9"/>
  <c r="J46" i="1" s="1"/>
  <c r="X44" i="9"/>
  <c r="J44" i="1" s="1"/>
  <c r="Z89" i="9"/>
  <c r="Z133" i="9"/>
  <c r="K133" i="1" s="1"/>
  <c r="J133" i="1"/>
  <c r="Z44" i="9"/>
  <c r="I133" i="9"/>
  <c r="I132" i="9"/>
  <c r="I131" i="9"/>
  <c r="I130" i="9"/>
  <c r="N130" i="9" s="1"/>
  <c r="I130" i="1" s="1"/>
  <c r="R130" i="1" s="1"/>
  <c r="I129" i="9"/>
  <c r="I128" i="9"/>
  <c r="I127" i="9"/>
  <c r="I126" i="9"/>
  <c r="I125" i="9"/>
  <c r="I124" i="9"/>
  <c r="I123" i="9"/>
  <c r="I122" i="9"/>
  <c r="I121" i="9"/>
  <c r="I120" i="9"/>
  <c r="I119" i="9"/>
  <c r="I118" i="9"/>
  <c r="I117" i="9"/>
  <c r="I116" i="9"/>
  <c r="I115" i="9"/>
  <c r="I114" i="9"/>
  <c r="I113" i="9"/>
  <c r="I112" i="9"/>
  <c r="I111" i="9"/>
  <c r="I110" i="9"/>
  <c r="I100" i="9"/>
  <c r="I98" i="9"/>
  <c r="I96" i="9"/>
  <c r="I95" i="9"/>
  <c r="I93" i="9"/>
  <c r="I91" i="9"/>
  <c r="I90" i="9"/>
  <c r="I88" i="9"/>
  <c r="I87" i="9"/>
  <c r="I85" i="9"/>
  <c r="I84" i="9"/>
  <c r="I82" i="9"/>
  <c r="I80" i="9"/>
  <c r="I79" i="9"/>
  <c r="I77" i="9"/>
  <c r="I76" i="9"/>
  <c r="I74" i="9"/>
  <c r="I72" i="9"/>
  <c r="I70" i="9"/>
  <c r="I69" i="9"/>
  <c r="I67" i="9"/>
  <c r="I65" i="9"/>
  <c r="I64" i="9"/>
  <c r="I62" i="9"/>
  <c r="I61" i="9"/>
  <c r="I59" i="9"/>
  <c r="I58" i="9"/>
  <c r="I57" i="9"/>
  <c r="I55" i="9"/>
  <c r="I54" i="9"/>
  <c r="I52" i="9"/>
  <c r="I50" i="9"/>
  <c r="I49" i="9"/>
  <c r="I47" i="9"/>
  <c r="I46" i="9"/>
  <c r="I109" i="9"/>
  <c r="I108" i="9"/>
  <c r="I107" i="9"/>
  <c r="I106" i="9"/>
  <c r="I105" i="9"/>
  <c r="I104" i="9"/>
  <c r="I103" i="9"/>
  <c r="I102" i="9"/>
  <c r="I101" i="9"/>
  <c r="I99" i="9"/>
  <c r="I97" i="9"/>
  <c r="I94" i="9"/>
  <c r="I92" i="9"/>
  <c r="I89" i="9"/>
  <c r="I86" i="9"/>
  <c r="I83" i="9"/>
  <c r="I81" i="9"/>
  <c r="I78" i="9"/>
  <c r="I75" i="9"/>
  <c r="I73" i="9"/>
  <c r="I71" i="9"/>
  <c r="I68" i="9"/>
  <c r="I66" i="9"/>
  <c r="I63" i="9"/>
  <c r="I60" i="9"/>
  <c r="I56" i="9"/>
  <c r="I53" i="9"/>
  <c r="I51" i="9"/>
  <c r="I48" i="9"/>
  <c r="I45" i="9"/>
  <c r="I44" i="9"/>
  <c r="I43" i="9"/>
  <c r="I42" i="9"/>
  <c r="I41" i="9"/>
  <c r="I40" i="9"/>
  <c r="I39" i="9"/>
  <c r="I38" i="9"/>
  <c r="I37" i="9"/>
  <c r="I36" i="9"/>
  <c r="I35" i="9"/>
  <c r="I34" i="9"/>
  <c r="I33" i="9"/>
  <c r="I32" i="9"/>
  <c r="I31" i="9"/>
  <c r="I30" i="9"/>
  <c r="I29" i="9"/>
  <c r="I28" i="9"/>
  <c r="I27" i="9"/>
  <c r="I26" i="9"/>
  <c r="I25" i="9"/>
  <c r="I24" i="9"/>
  <c r="I23" i="9"/>
  <c r="I22" i="9"/>
  <c r="I21" i="9"/>
  <c r="I20" i="9"/>
  <c r="I19" i="9"/>
  <c r="I18" i="9"/>
  <c r="I17" i="9"/>
  <c r="I16" i="9"/>
  <c r="I15" i="9"/>
  <c r="I14" i="9"/>
  <c r="I13" i="9"/>
  <c r="I12" i="9"/>
  <c r="I11" i="9"/>
  <c r="O11" i="1" s="1"/>
  <c r="J138" i="6"/>
  <c r="J138" i="5"/>
  <c r="AA132" i="9"/>
  <c r="AA129" i="9"/>
  <c r="X128" i="9"/>
  <c r="J128" i="1" s="1"/>
  <c r="Z127" i="9"/>
  <c r="X125" i="9"/>
  <c r="J125" i="1" s="1"/>
  <c r="X124" i="9"/>
  <c r="J124" i="1" s="1"/>
  <c r="X119" i="9"/>
  <c r="J119" i="1" s="1"/>
  <c r="X116" i="9"/>
  <c r="J116" i="1" s="1"/>
  <c r="X109" i="9"/>
  <c r="J109" i="1" s="1"/>
  <c r="AA107" i="9"/>
  <c r="Z99" i="9"/>
  <c r="AA98" i="9"/>
  <c r="Z94" i="9"/>
  <c r="X73" i="9"/>
  <c r="J73" i="1" s="1"/>
  <c r="X71" i="9"/>
  <c r="J71" i="1" s="1"/>
  <c r="AA66" i="9"/>
  <c r="X62" i="9"/>
  <c r="J62" i="1" s="1"/>
  <c r="X61" i="9"/>
  <c r="J61" i="1" s="1"/>
  <c r="X60" i="9"/>
  <c r="X53" i="9"/>
  <c r="J53" i="1" s="1"/>
  <c r="Z45" i="9"/>
  <c r="W32" i="9"/>
  <c r="T32" i="9"/>
  <c r="U30" i="9"/>
  <c r="W28" i="9"/>
  <c r="T28" i="9"/>
  <c r="V21" i="9"/>
  <c r="X89" i="9"/>
  <c r="AA88" i="9"/>
  <c r="Z88" i="9"/>
  <c r="X88" i="9"/>
  <c r="J88" i="1" s="1"/>
  <c r="AA87" i="9"/>
  <c r="Z87" i="9"/>
  <c r="X87" i="9"/>
  <c r="J87" i="1" s="1"/>
  <c r="AA86" i="9"/>
  <c r="Z86" i="9"/>
  <c r="X86" i="9"/>
  <c r="AA85" i="9"/>
  <c r="Z85" i="9"/>
  <c r="X85" i="9"/>
  <c r="J85" i="1" s="1"/>
  <c r="AA84" i="9"/>
  <c r="Z84" i="9"/>
  <c r="X84" i="9"/>
  <c r="J84" i="1" s="1"/>
  <c r="AA83" i="9"/>
  <c r="Z83" i="9"/>
  <c r="X83" i="9"/>
  <c r="AA82" i="9"/>
  <c r="Z82" i="9"/>
  <c r="X82" i="9"/>
  <c r="J82" i="1" s="1"/>
  <c r="X80" i="9"/>
  <c r="J80" i="1" s="1"/>
  <c r="AA78" i="9"/>
  <c r="Z69" i="9"/>
  <c r="X67" i="9"/>
  <c r="J67" i="1" s="1"/>
  <c r="X65" i="9"/>
  <c r="J65" i="1" s="1"/>
  <c r="X63" i="9"/>
  <c r="J63" i="1" s="1"/>
  <c r="X59" i="9"/>
  <c r="J59" i="1" s="1"/>
  <c r="Z57" i="9"/>
  <c r="X56" i="9"/>
  <c r="AA55" i="9"/>
  <c r="W27" i="9"/>
  <c r="U24" i="9"/>
  <c r="U23" i="9"/>
  <c r="U16" i="9"/>
  <c r="V12" i="9"/>
  <c r="W43" i="9"/>
  <c r="V43" i="9"/>
  <c r="U43" i="9"/>
  <c r="T43" i="9"/>
  <c r="W42" i="9"/>
  <c r="V42" i="9"/>
  <c r="U42" i="9"/>
  <c r="T42" i="9"/>
  <c r="W41" i="9"/>
  <c r="V41" i="9"/>
  <c r="U41" i="9"/>
  <c r="T41" i="9"/>
  <c r="W40" i="9"/>
  <c r="V40" i="9"/>
  <c r="U40" i="9"/>
  <c r="T40" i="9"/>
  <c r="W39" i="9"/>
  <c r="V39" i="9"/>
  <c r="U39" i="9"/>
  <c r="T39" i="9"/>
  <c r="W37" i="9"/>
  <c r="V37" i="9"/>
  <c r="U37" i="9"/>
  <c r="T37" i="9"/>
  <c r="W36" i="9"/>
  <c r="V36" i="9"/>
  <c r="U36" i="9"/>
  <c r="T36" i="9"/>
  <c r="W35" i="9"/>
  <c r="V35" i="9"/>
  <c r="U35" i="9"/>
  <c r="T35" i="9"/>
  <c r="W34" i="9"/>
  <c r="V34" i="9"/>
  <c r="U34" i="9"/>
  <c r="V30" i="9"/>
  <c r="V29" i="9"/>
  <c r="W24" i="9"/>
  <c r="T14" i="9"/>
  <c r="V13" i="9"/>
  <c r="AA117" i="9"/>
  <c r="Z115" i="9"/>
  <c r="X106" i="9"/>
  <c r="J106" i="1" s="1"/>
  <c r="Z104" i="9"/>
  <c r="X103" i="9"/>
  <c r="J103" i="1" s="1"/>
  <c r="X102" i="9"/>
  <c r="J102" i="1" s="1"/>
  <c r="Z101" i="9"/>
  <c r="AA100" i="9"/>
  <c r="Z98" i="9"/>
  <c r="Z97" i="9"/>
  <c r="Z96" i="9"/>
  <c r="AA95" i="9"/>
  <c r="X94" i="9"/>
  <c r="J94" i="1" s="1"/>
  <c r="Z93" i="9"/>
  <c r="Z77" i="9"/>
  <c r="Z71" i="9"/>
  <c r="AA67" i="9"/>
  <c r="Z66" i="9"/>
  <c r="AA64" i="9"/>
  <c r="Z63" i="9"/>
  <c r="Z62" i="9"/>
  <c r="Z58" i="9"/>
  <c r="AA54" i="9"/>
  <c r="X52" i="9"/>
  <c r="J52" i="1" s="1"/>
  <c r="AA50" i="9"/>
  <c r="Z49" i="9"/>
  <c r="AA48" i="9"/>
  <c r="X47" i="9"/>
  <c r="J47" i="1" s="1"/>
  <c r="V33" i="9"/>
  <c r="V32" i="9"/>
  <c r="V28" i="9"/>
  <c r="V26" i="9"/>
  <c r="T25" i="9"/>
  <c r="V23" i="9"/>
  <c r="U22" i="9"/>
  <c r="W16" i="9"/>
  <c r="W12" i="9"/>
  <c r="AA133" i="9"/>
  <c r="AA131" i="9"/>
  <c r="AA128" i="9"/>
  <c r="AA126" i="9"/>
  <c r="Z124" i="9"/>
  <c r="Z123" i="9"/>
  <c r="Z122" i="9"/>
  <c r="Z120" i="9"/>
  <c r="AA118" i="9"/>
  <c r="Z116" i="9"/>
  <c r="K113" i="1"/>
  <c r="AA112" i="9"/>
  <c r="X111" i="9"/>
  <c r="J111" i="1" s="1"/>
  <c r="Z110" i="9"/>
  <c r="X108" i="9"/>
  <c r="J108" i="1" s="1"/>
  <c r="Z106" i="9"/>
  <c r="AA103" i="9"/>
  <c r="AA102" i="9"/>
  <c r="X99" i="9"/>
  <c r="AA96" i="9"/>
  <c r="X93" i="9"/>
  <c r="J93" i="1" s="1"/>
  <c r="Z92" i="9"/>
  <c r="AA91" i="9"/>
  <c r="AA80" i="9"/>
  <c r="Z79" i="9"/>
  <c r="AA75" i="9"/>
  <c r="AA74" i="9"/>
  <c r="X70" i="9"/>
  <c r="J70" i="1" s="1"/>
  <c r="X64" i="9"/>
  <c r="J64" i="1" s="1"/>
  <c r="AA62" i="9"/>
  <c r="AA61" i="9"/>
  <c r="X54" i="9"/>
  <c r="J54" i="1" s="1"/>
  <c r="X51" i="9"/>
  <c r="J51" i="1" s="1"/>
  <c r="X49" i="9"/>
  <c r="Z46" i="9"/>
  <c r="X45" i="9"/>
  <c r="J45" i="1" s="1"/>
  <c r="W30" i="9"/>
  <c r="T30" i="9"/>
  <c r="T27" i="9"/>
  <c r="W25" i="9"/>
  <c r="W21" i="9"/>
  <c r="V20" i="9"/>
  <c r="W19" i="9"/>
  <c r="U17" i="9"/>
  <c r="W15" i="9"/>
  <c r="U14" i="9"/>
  <c r="AA127" i="9"/>
  <c r="X126" i="9"/>
  <c r="J126" i="1" s="1"/>
  <c r="X123" i="9"/>
  <c r="J123" i="1" s="1"/>
  <c r="Z121" i="9"/>
  <c r="AA120" i="9"/>
  <c r="X118" i="9"/>
  <c r="AA115" i="9"/>
  <c r="X112" i="9"/>
  <c r="J112" i="1" s="1"/>
  <c r="Z108" i="9"/>
  <c r="X105" i="9"/>
  <c r="X104" i="9"/>
  <c r="J104" i="1" s="1"/>
  <c r="Z102" i="9"/>
  <c r="X97" i="9"/>
  <c r="J97" i="1" s="1"/>
  <c r="Z95" i="9"/>
  <c r="K81" i="1"/>
  <c r="X75" i="9"/>
  <c r="J75" i="1" s="1"/>
  <c r="Z74" i="9"/>
  <c r="AA70" i="9"/>
  <c r="Z61" i="9"/>
  <c r="Z59" i="9"/>
  <c r="X58" i="9"/>
  <c r="J58" i="1" s="1"/>
  <c r="Z47" i="9"/>
  <c r="AA46" i="9"/>
  <c r="W14" i="9"/>
  <c r="U13" i="9"/>
  <c r="J134" i="9"/>
  <c r="H139" i="9"/>
  <c r="Z131" i="9"/>
  <c r="Z130" i="9"/>
  <c r="Z129" i="9"/>
  <c r="Z128" i="9"/>
  <c r="Z125" i="9"/>
  <c r="X117" i="9"/>
  <c r="AA116" i="9"/>
  <c r="AA111" i="9"/>
  <c r="AA110" i="9"/>
  <c r="AA109" i="9"/>
  <c r="AA105" i="9"/>
  <c r="AA104" i="9"/>
  <c r="X100" i="9"/>
  <c r="J100" i="1" s="1"/>
  <c r="AA99" i="9"/>
  <c r="AA97" i="9"/>
  <c r="X96" i="9"/>
  <c r="J96" i="1" s="1"/>
  <c r="AA94" i="9"/>
  <c r="Z90" i="9"/>
  <c r="AA76" i="9"/>
  <c r="AA60" i="9"/>
  <c r="AA53" i="9"/>
  <c r="Z52" i="9"/>
  <c r="Z51" i="9"/>
  <c r="AA49" i="9"/>
  <c r="Z48" i="9"/>
  <c r="U32" i="9"/>
  <c r="U28" i="9"/>
  <c r="V27" i="9"/>
  <c r="U26" i="9"/>
  <c r="U25" i="9"/>
  <c r="T23" i="9"/>
  <c r="W18" i="9"/>
  <c r="U15" i="9"/>
  <c r="W13" i="9"/>
  <c r="Z119" i="9"/>
  <c r="Z109" i="9"/>
  <c r="Z107" i="9"/>
  <c r="Z105" i="9"/>
  <c r="X101" i="9"/>
  <c r="J101" i="1" s="1"/>
  <c r="X98" i="9"/>
  <c r="J98" i="1" s="1"/>
  <c r="X95" i="9"/>
  <c r="J95" i="1" s="1"/>
  <c r="AA93" i="9"/>
  <c r="Z91" i="9"/>
  <c r="Z78" i="9"/>
  <c r="Z76" i="9"/>
  <c r="AA69" i="9"/>
  <c r="X57" i="9"/>
  <c r="J57" i="1" s="1"/>
  <c r="Z56" i="9"/>
  <c r="Z55" i="9"/>
  <c r="AA51" i="9"/>
  <c r="AA47" i="9"/>
  <c r="W33" i="9"/>
  <c r="W29" i="9"/>
  <c r="W26" i="9"/>
  <c r="V24" i="9"/>
  <c r="V18" i="9"/>
  <c r="V15" i="9"/>
  <c r="AA124" i="9"/>
  <c r="X107" i="9"/>
  <c r="J107" i="1" s="1"/>
  <c r="Z100" i="9"/>
  <c r="X91" i="9"/>
  <c r="AA90" i="9"/>
  <c r="AA79" i="9"/>
  <c r="X78" i="9"/>
  <c r="J78" i="1" s="1"/>
  <c r="AA77" i="9"/>
  <c r="Z75" i="9"/>
  <c r="K72" i="1"/>
  <c r="X66" i="9"/>
  <c r="J66" i="1" s="1"/>
  <c r="AA65" i="9"/>
  <c r="Z60" i="9"/>
  <c r="AA59" i="9"/>
  <c r="AA58" i="9"/>
  <c r="X55" i="9"/>
  <c r="J55" i="1" s="1"/>
  <c r="Z54" i="9"/>
  <c r="Z53" i="9"/>
  <c r="T29" i="9"/>
  <c r="U27" i="9"/>
  <c r="T22" i="9"/>
  <c r="W17" i="9"/>
  <c r="V14" i="9"/>
  <c r="X122" i="9"/>
  <c r="X121" i="9"/>
  <c r="J121" i="1" s="1"/>
  <c r="Z111" i="9"/>
  <c r="AA108" i="9"/>
  <c r="Z103" i="9"/>
  <c r="AA101" i="9"/>
  <c r="X92" i="9"/>
  <c r="J92" i="1" s="1"/>
  <c r="X76" i="9"/>
  <c r="J76" i="1" s="1"/>
  <c r="Z73" i="9"/>
  <c r="Z65" i="9"/>
  <c r="X50" i="9"/>
  <c r="J50" i="1" s="1"/>
  <c r="U29" i="9"/>
  <c r="W22" i="9"/>
  <c r="V17" i="9"/>
  <c r="T16" i="9"/>
  <c r="U12" i="9"/>
  <c r="Z132" i="9"/>
  <c r="K132" i="1" s="1"/>
  <c r="AA130" i="9"/>
  <c r="X129" i="9"/>
  <c r="J129" i="1" s="1"/>
  <c r="Z126" i="9"/>
  <c r="AA125" i="9"/>
  <c r="AA123" i="9"/>
  <c r="AA122" i="9"/>
  <c r="AA121" i="9"/>
  <c r="X120" i="9"/>
  <c r="J120" i="1" s="1"/>
  <c r="AA119" i="9"/>
  <c r="Z118" i="9"/>
  <c r="Z112" i="9"/>
  <c r="X110" i="9"/>
  <c r="J110" i="1" s="1"/>
  <c r="AA106" i="9"/>
  <c r="AA92" i="9"/>
  <c r="X90" i="9"/>
  <c r="J90" i="1" s="1"/>
  <c r="Z80" i="9"/>
  <c r="X79" i="9"/>
  <c r="J79" i="1" s="1"/>
  <c r="X77" i="9"/>
  <c r="J77" i="1" s="1"/>
  <c r="X74" i="9"/>
  <c r="J74" i="1" s="1"/>
  <c r="AA73" i="9"/>
  <c r="AA71" i="9"/>
  <c r="Z70" i="9"/>
  <c r="X69" i="9"/>
  <c r="J69" i="1" s="1"/>
  <c r="Z67" i="9"/>
  <c r="Z64" i="9"/>
  <c r="AA63" i="9"/>
  <c r="AA57" i="9"/>
  <c r="AA52" i="9"/>
  <c r="Z50" i="9"/>
  <c r="X48" i="9"/>
  <c r="J48" i="1" s="1"/>
  <c r="AA45" i="9"/>
  <c r="T26" i="9"/>
  <c r="V25" i="9"/>
  <c r="T24" i="9"/>
  <c r="W23" i="9"/>
  <c r="V22" i="9"/>
  <c r="W20" i="9"/>
  <c r="V19" i="9"/>
  <c r="V16" i="9"/>
  <c r="J138" i="4"/>
  <c r="J138" i="3"/>
  <c r="L29" i="9" l="1"/>
  <c r="M29" i="9" s="1"/>
  <c r="N28" i="9"/>
  <c r="L41" i="9"/>
  <c r="M41" i="9" s="1"/>
  <c r="L87" i="9"/>
  <c r="M87" i="9" s="1"/>
  <c r="N30" i="9"/>
  <c r="L49" i="9"/>
  <c r="M49" i="9" s="1"/>
  <c r="N89" i="9"/>
  <c r="I89" i="1" s="1"/>
  <c r="N48" i="9"/>
  <c r="I48" i="1" s="1"/>
  <c r="R48" i="1" s="1"/>
  <c r="F30" i="10" s="1"/>
  <c r="G30" i="10" s="1"/>
  <c r="N13" i="9"/>
  <c r="N80" i="9"/>
  <c r="N56" i="9"/>
  <c r="N27" i="9"/>
  <c r="I27" i="1" s="1"/>
  <c r="R27" i="1" s="1"/>
  <c r="I13" i="1"/>
  <c r="K117" i="1"/>
  <c r="K89" i="1"/>
  <c r="K44" i="1"/>
  <c r="K127" i="1"/>
  <c r="K99" i="1"/>
  <c r="K94" i="1"/>
  <c r="K45" i="1"/>
  <c r="K88" i="1"/>
  <c r="K87" i="1"/>
  <c r="K86" i="1"/>
  <c r="K85" i="1"/>
  <c r="K84" i="1"/>
  <c r="K83" i="1"/>
  <c r="K82" i="1"/>
  <c r="K69" i="1"/>
  <c r="K57" i="1"/>
  <c r="K115" i="1"/>
  <c r="K104" i="1"/>
  <c r="K101" i="1"/>
  <c r="K98" i="1"/>
  <c r="K97" i="1"/>
  <c r="K96" i="1"/>
  <c r="K93" i="1"/>
  <c r="K77" i="1"/>
  <c r="K71" i="1"/>
  <c r="K66" i="1"/>
  <c r="K63" i="1"/>
  <c r="K62" i="1"/>
  <c r="K58" i="1"/>
  <c r="K49" i="1"/>
  <c r="K124" i="1"/>
  <c r="K123" i="1"/>
  <c r="K122" i="1"/>
  <c r="K120" i="1"/>
  <c r="K116" i="1"/>
  <c r="K110" i="1"/>
  <c r="K106" i="1"/>
  <c r="K92" i="1"/>
  <c r="K79" i="1"/>
  <c r="K46" i="1"/>
  <c r="K121" i="1"/>
  <c r="K108" i="1"/>
  <c r="K102" i="1"/>
  <c r="K95" i="1"/>
  <c r="K74" i="1"/>
  <c r="K61" i="1"/>
  <c r="K59" i="1"/>
  <c r="K47" i="1"/>
  <c r="K131" i="1"/>
  <c r="K130" i="1"/>
  <c r="K129" i="1"/>
  <c r="K128" i="1"/>
  <c r="K125" i="1"/>
  <c r="K90" i="1"/>
  <c r="K52" i="1"/>
  <c r="K51" i="1"/>
  <c r="K48" i="1"/>
  <c r="K119" i="1"/>
  <c r="K109" i="1"/>
  <c r="K107" i="1"/>
  <c r="K105" i="1"/>
  <c r="K91" i="1"/>
  <c r="K78" i="1"/>
  <c r="K76" i="1"/>
  <c r="K56" i="1"/>
  <c r="K55" i="1"/>
  <c r="K100" i="1"/>
  <c r="K75" i="1"/>
  <c r="K60" i="1"/>
  <c r="K54" i="1"/>
  <c r="K53" i="1"/>
  <c r="K111" i="1"/>
  <c r="K103" i="1"/>
  <c r="K73" i="1"/>
  <c r="K65" i="1"/>
  <c r="K126" i="1"/>
  <c r="K118" i="1"/>
  <c r="K112" i="1"/>
  <c r="K80" i="1"/>
  <c r="K70" i="1"/>
  <c r="K67" i="1"/>
  <c r="K64" i="1"/>
  <c r="K50" i="1"/>
  <c r="N92" i="9"/>
  <c r="L52" i="9"/>
  <c r="M52" i="9" s="1"/>
  <c r="N115" i="9"/>
  <c r="N110" i="9"/>
  <c r="N84" i="9"/>
  <c r="L105" i="9"/>
  <c r="L118" i="9"/>
  <c r="L130" i="9"/>
  <c r="L116" i="9"/>
  <c r="M116" i="9" s="1"/>
  <c r="L128" i="9"/>
  <c r="N59" i="9"/>
  <c r="L104" i="9"/>
  <c r="M104" i="9" s="1"/>
  <c r="N22" i="9"/>
  <c r="I22" i="1" s="1"/>
  <c r="N81" i="9"/>
  <c r="I81" i="1" s="1"/>
  <c r="N81" i="1" s="1"/>
  <c r="R81" i="1" s="1"/>
  <c r="N105" i="9"/>
  <c r="L113" i="9"/>
  <c r="M113" i="9" s="1"/>
  <c r="L125" i="9"/>
  <c r="M125" i="9" s="1"/>
  <c r="N57" i="9"/>
  <c r="N34" i="9"/>
  <c r="L72" i="9"/>
  <c r="M72" i="9" s="1"/>
  <c r="N118" i="9"/>
  <c r="L40" i="9"/>
  <c r="L97" i="9"/>
  <c r="M97" i="9" s="1"/>
  <c r="L88" i="9"/>
  <c r="M88" i="9" s="1"/>
  <c r="N109" i="9"/>
  <c r="N19" i="9"/>
  <c r="I19" i="1" s="1"/>
  <c r="R19" i="1" s="1"/>
  <c r="F9" i="10" s="1"/>
  <c r="G9" i="10" s="1"/>
  <c r="L117" i="9"/>
  <c r="L129" i="9"/>
  <c r="L76" i="9"/>
  <c r="M76" i="9" s="1"/>
  <c r="N20" i="9"/>
  <c r="I20" i="1" s="1"/>
  <c r="N62" i="9"/>
  <c r="N101" i="9"/>
  <c r="L99" i="9"/>
  <c r="M99" i="9" s="1"/>
  <c r="L30" i="9"/>
  <c r="M30" i="9" s="1"/>
  <c r="L42" i="9"/>
  <c r="L71" i="9"/>
  <c r="M71" i="9" s="1"/>
  <c r="L50" i="9"/>
  <c r="M50" i="9" s="1"/>
  <c r="N117" i="9"/>
  <c r="L115" i="9"/>
  <c r="L127" i="9"/>
  <c r="L54" i="9"/>
  <c r="M54" i="9" s="1"/>
  <c r="N21" i="9"/>
  <c r="L77" i="9"/>
  <c r="M77" i="9" s="1"/>
  <c r="L90" i="9"/>
  <c r="M90" i="9" s="1"/>
  <c r="N116" i="9"/>
  <c r="L78" i="9"/>
  <c r="L35" i="9"/>
  <c r="M35" i="9" s="1"/>
  <c r="L83" i="9"/>
  <c r="M83" i="9" s="1"/>
  <c r="L106" i="9"/>
  <c r="M106" i="9" s="1"/>
  <c r="L96" i="9"/>
  <c r="M96" i="9" s="1"/>
  <c r="L119" i="9"/>
  <c r="M119" i="9" s="1"/>
  <c r="L131" i="9"/>
  <c r="M131" i="9" s="1"/>
  <c r="N114" i="9"/>
  <c r="I114" i="1" s="1"/>
  <c r="N114" i="1" s="1"/>
  <c r="N51" i="9"/>
  <c r="L51" i="9"/>
  <c r="M51" i="9" s="1"/>
  <c r="N127" i="9"/>
  <c r="N54" i="9"/>
  <c r="L16" i="9"/>
  <c r="M16" i="9" s="1"/>
  <c r="L28" i="9"/>
  <c r="M28" i="9" s="1"/>
  <c r="L66" i="9"/>
  <c r="M66" i="9" s="1"/>
  <c r="L47" i="9"/>
  <c r="M47" i="9" s="1"/>
  <c r="L65" i="9"/>
  <c r="M65" i="9" s="1"/>
  <c r="L85" i="9"/>
  <c r="M85" i="9" s="1"/>
  <c r="L112" i="9"/>
  <c r="M112" i="9" s="1"/>
  <c r="N124" i="9"/>
  <c r="I124" i="1" s="1"/>
  <c r="R124" i="1" s="1"/>
  <c r="L124" i="9"/>
  <c r="M124" i="9" s="1"/>
  <c r="L17" i="9"/>
  <c r="M17" i="9" s="1"/>
  <c r="L68" i="9"/>
  <c r="M68" i="9" s="1"/>
  <c r="L67" i="9"/>
  <c r="M67" i="9" s="1"/>
  <c r="L18" i="9"/>
  <c r="M18" i="9" s="1"/>
  <c r="L101" i="9"/>
  <c r="M101" i="9" s="1"/>
  <c r="L69" i="9"/>
  <c r="M69" i="9" s="1"/>
  <c r="L114" i="9"/>
  <c r="M114" i="9" s="1"/>
  <c r="L126" i="9"/>
  <c r="M126" i="9" s="1"/>
  <c r="L19" i="9"/>
  <c r="M19" i="9" s="1"/>
  <c r="L31" i="9"/>
  <c r="M31" i="9" s="1"/>
  <c r="L43" i="9"/>
  <c r="M43" i="9" s="1"/>
  <c r="L73" i="9"/>
  <c r="M73" i="9" s="1"/>
  <c r="L102" i="9"/>
  <c r="M102" i="9" s="1"/>
  <c r="L70" i="9"/>
  <c r="M70" i="9" s="1"/>
  <c r="L20" i="9"/>
  <c r="M20" i="9" s="1"/>
  <c r="L32" i="9"/>
  <c r="M32" i="9" s="1"/>
  <c r="L44" i="9"/>
  <c r="M44" i="9" s="1"/>
  <c r="N75" i="9"/>
  <c r="L75" i="9"/>
  <c r="M75" i="9" s="1"/>
  <c r="N103" i="9"/>
  <c r="L103" i="9"/>
  <c r="M103" i="9" s="1"/>
  <c r="L91" i="9"/>
  <c r="M91" i="9" s="1"/>
  <c r="N125" i="9"/>
  <c r="L21" i="9"/>
  <c r="M21" i="9" s="1"/>
  <c r="N33" i="9"/>
  <c r="L33" i="9"/>
  <c r="M33" i="9" s="1"/>
  <c r="N45" i="9"/>
  <c r="L45" i="9"/>
  <c r="M45" i="9" s="1"/>
  <c r="L55" i="9"/>
  <c r="M55" i="9" s="1"/>
  <c r="N74" i="9"/>
  <c r="L74" i="9"/>
  <c r="L93" i="9"/>
  <c r="M93" i="9" s="1"/>
  <c r="L22" i="9"/>
  <c r="M22" i="9" s="1"/>
  <c r="L34" i="9"/>
  <c r="M34" i="9" s="1"/>
  <c r="L48" i="9"/>
  <c r="M48" i="9" s="1"/>
  <c r="L81" i="9"/>
  <c r="M81" i="9" s="1"/>
  <c r="L57" i="9"/>
  <c r="M57" i="9" s="1"/>
  <c r="L95" i="9"/>
  <c r="M95" i="9" s="1"/>
  <c r="L23" i="9"/>
  <c r="M23" i="9" s="1"/>
  <c r="N18" i="9"/>
  <c r="N102" i="9"/>
  <c r="L12" i="9"/>
  <c r="M12" i="9" s="1"/>
  <c r="L24" i="9"/>
  <c r="M24" i="9" s="1"/>
  <c r="O36" i="1"/>
  <c r="L36" i="9"/>
  <c r="M36" i="9" s="1"/>
  <c r="O53" i="1"/>
  <c r="L53" i="9"/>
  <c r="M53" i="9" s="1"/>
  <c r="N86" i="9"/>
  <c r="L86" i="9"/>
  <c r="M86" i="9" s="1"/>
  <c r="L107" i="9"/>
  <c r="M107" i="9" s="1"/>
  <c r="L59" i="9"/>
  <c r="M59" i="9" s="1"/>
  <c r="L79" i="9"/>
  <c r="M79" i="9" s="1"/>
  <c r="L98" i="9"/>
  <c r="M98" i="9" s="1"/>
  <c r="N120" i="9"/>
  <c r="L120" i="9"/>
  <c r="M120" i="9" s="1"/>
  <c r="L132" i="9"/>
  <c r="M132" i="9" s="1"/>
  <c r="L11" i="9"/>
  <c r="M11" i="9" s="1"/>
  <c r="N71" i="9"/>
  <c r="L13" i="9"/>
  <c r="M13" i="9" s="1"/>
  <c r="L25" i="9"/>
  <c r="M25" i="9" s="1"/>
  <c r="L37" i="9"/>
  <c r="M37" i="9" s="1"/>
  <c r="L56" i="9"/>
  <c r="M56" i="9" s="1"/>
  <c r="L89" i="9"/>
  <c r="M89" i="9" s="1"/>
  <c r="L108" i="9"/>
  <c r="M108" i="9" s="1"/>
  <c r="L61" i="9"/>
  <c r="M61" i="9" s="1"/>
  <c r="L80" i="9"/>
  <c r="M80" i="9" s="1"/>
  <c r="L100" i="9"/>
  <c r="L121" i="9"/>
  <c r="M121" i="9" s="1"/>
  <c r="O133" i="1"/>
  <c r="L133" i="9"/>
  <c r="M133" i="9" s="1"/>
  <c r="N70" i="9"/>
  <c r="N128" i="9"/>
  <c r="L14" i="9"/>
  <c r="M14" i="9" s="1"/>
  <c r="L26" i="9"/>
  <c r="M26" i="9" s="1"/>
  <c r="L38" i="9"/>
  <c r="M38" i="9" s="1"/>
  <c r="L60" i="9"/>
  <c r="M60" i="9" s="1"/>
  <c r="L92" i="9"/>
  <c r="M92" i="9" s="1"/>
  <c r="L109" i="9"/>
  <c r="M109" i="9" s="1"/>
  <c r="L62" i="9"/>
  <c r="M62" i="9" s="1"/>
  <c r="L82" i="9"/>
  <c r="M82" i="9" s="1"/>
  <c r="L110" i="9"/>
  <c r="M110" i="9" s="1"/>
  <c r="L122" i="9"/>
  <c r="M122" i="9" s="1"/>
  <c r="L58" i="9"/>
  <c r="M58" i="9" s="1"/>
  <c r="N72" i="9"/>
  <c r="I72" i="1" s="1"/>
  <c r="N72" i="1" s="1"/>
  <c r="R72" i="1" s="1"/>
  <c r="N15" i="9"/>
  <c r="L15" i="9"/>
  <c r="M15" i="9" s="1"/>
  <c r="L27" i="9"/>
  <c r="L39" i="9"/>
  <c r="M39" i="9" s="1"/>
  <c r="N63" i="9"/>
  <c r="I63" i="1" s="1"/>
  <c r="R63" i="1" s="1"/>
  <c r="F38" i="10" s="1"/>
  <c r="G38" i="10" s="1"/>
  <c r="L63" i="9"/>
  <c r="M63" i="9" s="1"/>
  <c r="L94" i="9"/>
  <c r="M94" i="9" s="1"/>
  <c r="L46" i="9"/>
  <c r="M46" i="9" s="1"/>
  <c r="L64" i="9"/>
  <c r="M64" i="9" s="1"/>
  <c r="L84" i="9"/>
  <c r="M84" i="9" s="1"/>
  <c r="L111" i="9"/>
  <c r="M111" i="9" s="1"/>
  <c r="L123" i="9"/>
  <c r="M123" i="9" s="1"/>
  <c r="N55" i="9"/>
  <c r="O113" i="1"/>
  <c r="O125" i="1"/>
  <c r="N93" i="9"/>
  <c r="O107" i="1"/>
  <c r="N112" i="9"/>
  <c r="N52" i="9"/>
  <c r="N64" i="9"/>
  <c r="N76" i="9"/>
  <c r="O110" i="1"/>
  <c r="O122" i="1"/>
  <c r="N16" i="9"/>
  <c r="O87" i="1"/>
  <c r="N50" i="9"/>
  <c r="N121" i="9"/>
  <c r="O72" i="1"/>
  <c r="N24" i="9"/>
  <c r="O98" i="1"/>
  <c r="O132" i="1"/>
  <c r="O60" i="1"/>
  <c r="N104" i="9"/>
  <c r="O63" i="1"/>
  <c r="O94" i="1"/>
  <c r="N46" i="9"/>
  <c r="O84" i="1"/>
  <c r="O99" i="1"/>
  <c r="O30" i="1"/>
  <c r="O42" i="1"/>
  <c r="N132" i="9"/>
  <c r="N78" i="9"/>
  <c r="N69" i="9"/>
  <c r="N31" i="9"/>
  <c r="I31" i="1" s="1"/>
  <c r="N31" i="1" s="1"/>
  <c r="O90" i="1"/>
  <c r="O115" i="1"/>
  <c r="O127" i="1"/>
  <c r="N65" i="9"/>
  <c r="N47" i="9"/>
  <c r="N107" i="9"/>
  <c r="N66" i="9"/>
  <c r="N87" i="9"/>
  <c r="O32" i="1"/>
  <c r="O44" i="1"/>
  <c r="O75" i="1"/>
  <c r="O54" i="1"/>
  <c r="O116" i="1"/>
  <c r="O128" i="1"/>
  <c r="N111" i="9"/>
  <c r="N123" i="9"/>
  <c r="O78" i="1"/>
  <c r="N108" i="9"/>
  <c r="N90" i="9"/>
  <c r="N42" i="9"/>
  <c r="N97" i="9"/>
  <c r="N113" i="9"/>
  <c r="I113" i="1" s="1"/>
  <c r="N113" i="1" s="1"/>
  <c r="P113" i="1" s="1"/>
  <c r="Q113" i="1" s="1"/>
  <c r="N36" i="9"/>
  <c r="N73" i="9"/>
  <c r="N85" i="9"/>
  <c r="N25" i="9"/>
  <c r="O35" i="1"/>
  <c r="O51" i="1"/>
  <c r="O106" i="1"/>
  <c r="O58" i="1"/>
  <c r="O77" i="1"/>
  <c r="O96" i="1"/>
  <c r="O119" i="1"/>
  <c r="O131" i="1"/>
  <c r="N126" i="9"/>
  <c r="N39" i="9"/>
  <c r="O121" i="1"/>
  <c r="N88" i="9"/>
  <c r="O14" i="1"/>
  <c r="O26" i="1"/>
  <c r="O38" i="1"/>
  <c r="O92" i="1"/>
  <c r="O109" i="1"/>
  <c r="O62" i="1"/>
  <c r="N53" i="9"/>
  <c r="O23" i="1"/>
  <c r="N82" i="9"/>
  <c r="O82" i="1"/>
  <c r="N67" i="9"/>
  <c r="N35" i="9"/>
  <c r="N37" i="9"/>
  <c r="N40" i="9"/>
  <c r="O28" i="1"/>
  <c r="O40" i="1"/>
  <c r="O66" i="1"/>
  <c r="O97" i="1"/>
  <c r="O47" i="1"/>
  <c r="O65" i="1"/>
  <c r="O85" i="1"/>
  <c r="O112" i="1"/>
  <c r="O124" i="1"/>
  <c r="O17" i="1"/>
  <c r="N29" i="9"/>
  <c r="O29" i="1"/>
  <c r="N41" i="9"/>
  <c r="O41" i="1"/>
  <c r="N68" i="9"/>
  <c r="O68" i="1"/>
  <c r="O49" i="1"/>
  <c r="O67" i="1"/>
  <c r="N91" i="9"/>
  <c r="O18" i="1"/>
  <c r="O71" i="1"/>
  <c r="O101" i="1"/>
  <c r="O50" i="1"/>
  <c r="O69" i="1"/>
  <c r="O88" i="1"/>
  <c r="O126" i="1"/>
  <c r="N100" i="9"/>
  <c r="O19" i="1"/>
  <c r="O31" i="1"/>
  <c r="O43" i="1"/>
  <c r="O73" i="1"/>
  <c r="O102" i="1"/>
  <c r="O52" i="1"/>
  <c r="O70" i="1"/>
  <c r="N58" i="9"/>
  <c r="O20" i="1"/>
  <c r="O103" i="1"/>
  <c r="N83" i="9"/>
  <c r="O33" i="1"/>
  <c r="O45" i="1"/>
  <c r="O104" i="1"/>
  <c r="O55" i="1"/>
  <c r="O74" i="1"/>
  <c r="O93" i="1"/>
  <c r="O129" i="1"/>
  <c r="N77" i="9"/>
  <c r="N96" i="9"/>
  <c r="N38" i="9"/>
  <c r="I38" i="1" s="1"/>
  <c r="N38" i="1" s="1"/>
  <c r="N95" i="9"/>
  <c r="O22" i="1"/>
  <c r="O34" i="1"/>
  <c r="O48" i="1"/>
  <c r="O57" i="1"/>
  <c r="O76" i="1"/>
  <c r="O95" i="1"/>
  <c r="O130" i="1"/>
  <c r="N61" i="9"/>
  <c r="H97" i="1"/>
  <c r="L97" i="1" s="1"/>
  <c r="O24" i="1"/>
  <c r="O59" i="1"/>
  <c r="O79" i="1"/>
  <c r="O120" i="1"/>
  <c r="O13" i="1"/>
  <c r="O25" i="1"/>
  <c r="O37" i="1"/>
  <c r="O108" i="1"/>
  <c r="O61" i="1"/>
  <c r="O80" i="1"/>
  <c r="O100" i="1"/>
  <c r="H29" i="1"/>
  <c r="N119" i="9"/>
  <c r="N23" i="9"/>
  <c r="N49" i="9"/>
  <c r="N122" i="9"/>
  <c r="O27" i="1"/>
  <c r="O46" i="1"/>
  <c r="O64" i="1"/>
  <c r="O111" i="1"/>
  <c r="O123" i="1"/>
  <c r="Y58" i="9"/>
  <c r="Y44" i="9"/>
  <c r="N131" i="9"/>
  <c r="O114" i="1"/>
  <c r="J139" i="9"/>
  <c r="I134" i="9"/>
  <c r="I139" i="9" s="1"/>
  <c r="O91" i="1"/>
  <c r="N44" i="9"/>
  <c r="O21" i="1"/>
  <c r="O117" i="1"/>
  <c r="N99" i="9"/>
  <c r="N14" i="9"/>
  <c r="N26" i="9"/>
  <c r="N106" i="9"/>
  <c r="N79" i="9"/>
  <c r="O81" i="1"/>
  <c r="O105" i="1"/>
  <c r="O118" i="1"/>
  <c r="N11" i="9"/>
  <c r="O83" i="1"/>
  <c r="O12" i="1"/>
  <c r="O86" i="1"/>
  <c r="O56" i="1"/>
  <c r="O89" i="1"/>
  <c r="N32" i="9"/>
  <c r="N60" i="9"/>
  <c r="N43" i="9"/>
  <c r="O15" i="1"/>
  <c r="O39" i="1"/>
  <c r="N129" i="9"/>
  <c r="O16" i="1"/>
  <c r="K114" i="1"/>
  <c r="Y127" i="9"/>
  <c r="Y46" i="9"/>
  <c r="Y133" i="9"/>
  <c r="J11" i="1"/>
  <c r="J81" i="1"/>
  <c r="Y97" i="9"/>
  <c r="Y131" i="9"/>
  <c r="Y108" i="9"/>
  <c r="Y80" i="9"/>
  <c r="Y119" i="9"/>
  <c r="Y50" i="9"/>
  <c r="Y118" i="9"/>
  <c r="J118" i="1"/>
  <c r="Y56" i="9"/>
  <c r="J56" i="1"/>
  <c r="Y60" i="9"/>
  <c r="J60" i="1"/>
  <c r="J114" i="1"/>
  <c r="Y61" i="9"/>
  <c r="Y52" i="9"/>
  <c r="Y62" i="9"/>
  <c r="Y75" i="9"/>
  <c r="Y111" i="9"/>
  <c r="Y77" i="9"/>
  <c r="Y84" i="9"/>
  <c r="Y86" i="9"/>
  <c r="J86" i="1"/>
  <c r="Y71" i="9"/>
  <c r="Y78" i="9"/>
  <c r="Y123" i="9"/>
  <c r="Y64" i="9"/>
  <c r="Y63" i="9"/>
  <c r="Y73" i="9"/>
  <c r="Y125" i="9"/>
  <c r="Y79" i="9"/>
  <c r="Y129" i="9"/>
  <c r="Y57" i="9"/>
  <c r="Y106" i="9"/>
  <c r="Y65" i="9"/>
  <c r="Y109" i="9"/>
  <c r="Y120" i="9"/>
  <c r="Y76" i="9"/>
  <c r="Y121" i="9"/>
  <c r="Y100" i="9"/>
  <c r="Y67" i="9"/>
  <c r="J113" i="1"/>
  <c r="Y69" i="9"/>
  <c r="Y122" i="9"/>
  <c r="J122" i="1"/>
  <c r="Y66" i="9"/>
  <c r="Y115" i="9"/>
  <c r="Y112" i="9"/>
  <c r="Y126" i="9"/>
  <c r="Y54" i="9"/>
  <c r="Y91" i="9"/>
  <c r="J91" i="1"/>
  <c r="Y117" i="9"/>
  <c r="J117" i="1"/>
  <c r="Y93" i="9"/>
  <c r="Y128" i="9"/>
  <c r="Y90" i="9"/>
  <c r="Y110" i="9"/>
  <c r="Y92" i="9"/>
  <c r="Y95" i="9"/>
  <c r="Y70" i="9"/>
  <c r="Y130" i="9"/>
  <c r="Y83" i="9"/>
  <c r="J83" i="1"/>
  <c r="Y85" i="9"/>
  <c r="Y87" i="9"/>
  <c r="Y89" i="9"/>
  <c r="J89" i="1"/>
  <c r="Y53" i="9"/>
  <c r="Y116" i="9"/>
  <c r="Y98" i="9"/>
  <c r="Y55" i="9"/>
  <c r="Y132" i="9"/>
  <c r="Y102" i="9"/>
  <c r="Y74" i="9"/>
  <c r="Y104" i="9"/>
  <c r="Y49" i="9"/>
  <c r="J49" i="1"/>
  <c r="Y99" i="9"/>
  <c r="J99" i="1"/>
  <c r="Y101" i="9"/>
  <c r="Y96" i="9"/>
  <c r="Y105" i="9"/>
  <c r="J105" i="1"/>
  <c r="Y103" i="9"/>
  <c r="Y59" i="9"/>
  <c r="Y107" i="9"/>
  <c r="Y51" i="9"/>
  <c r="Y94" i="9"/>
  <c r="Y82" i="9"/>
  <c r="Y88" i="9"/>
  <c r="Y124" i="9"/>
  <c r="Y48" i="9"/>
  <c r="Y47" i="9"/>
  <c r="Y45" i="9"/>
  <c r="N12" i="9"/>
  <c r="N98" i="9"/>
  <c r="I98" i="1" s="1"/>
  <c r="R98" i="1" s="1"/>
  <c r="N94" i="9"/>
  <c r="K134" i="9"/>
  <c r="K139" i="9" s="1"/>
  <c r="N17" i="9"/>
  <c r="Z32" i="9"/>
  <c r="K32" i="1" s="1"/>
  <c r="AA32" i="9"/>
  <c r="X32" i="9"/>
  <c r="J32" i="1" s="1"/>
  <c r="X28" i="9"/>
  <c r="J28" i="1" s="1"/>
  <c r="AA28" i="9"/>
  <c r="Z28" i="9"/>
  <c r="K28" i="1" s="1"/>
  <c r="Z21" i="9"/>
  <c r="X21" i="9"/>
  <c r="AA21" i="9"/>
  <c r="X43" i="9"/>
  <c r="J43" i="1" s="1"/>
  <c r="Z43" i="9"/>
  <c r="K43" i="1" s="1"/>
  <c r="AA43" i="9"/>
  <c r="X42" i="9"/>
  <c r="J42" i="1" s="1"/>
  <c r="Z42" i="9"/>
  <c r="K42" i="1" s="1"/>
  <c r="AA42" i="9"/>
  <c r="X41" i="9"/>
  <c r="J41" i="1" s="1"/>
  <c r="Z41" i="9"/>
  <c r="K41" i="1" s="1"/>
  <c r="AA41" i="9"/>
  <c r="X40" i="9"/>
  <c r="J40" i="1" s="1"/>
  <c r="Z40" i="9"/>
  <c r="K40" i="1" s="1"/>
  <c r="AA40" i="9"/>
  <c r="X39" i="9"/>
  <c r="Z39" i="9"/>
  <c r="AA39" i="9"/>
  <c r="X37" i="9"/>
  <c r="J37" i="1" s="1"/>
  <c r="Z37" i="9"/>
  <c r="K37" i="1" s="1"/>
  <c r="AA37" i="9"/>
  <c r="X36" i="9"/>
  <c r="J36" i="1" s="1"/>
  <c r="Z36" i="9"/>
  <c r="K36" i="1" s="1"/>
  <c r="AA36" i="9"/>
  <c r="X35" i="9"/>
  <c r="J35" i="1" s="1"/>
  <c r="Z35" i="9"/>
  <c r="K35" i="1" s="1"/>
  <c r="AA35" i="9"/>
  <c r="X34" i="9"/>
  <c r="J34" i="1" s="1"/>
  <c r="Z34" i="9"/>
  <c r="K34" i="1" s="1"/>
  <c r="AA34" i="9"/>
  <c r="Z14" i="9"/>
  <c r="K14" i="1" s="1"/>
  <c r="AA14" i="9"/>
  <c r="X14" i="9"/>
  <c r="J14" i="1" s="1"/>
  <c r="Z25" i="9"/>
  <c r="K25" i="1" s="1"/>
  <c r="X25" i="9"/>
  <c r="J25" i="1" s="1"/>
  <c r="AA25" i="9"/>
  <c r="AA30" i="9"/>
  <c r="X30" i="9"/>
  <c r="J30" i="1" s="1"/>
  <c r="Z30" i="9"/>
  <c r="K30" i="1" s="1"/>
  <c r="AA27" i="9"/>
  <c r="Z27" i="9"/>
  <c r="X27" i="9"/>
  <c r="J27" i="1" s="1"/>
  <c r="X20" i="9"/>
  <c r="J20" i="1" s="1"/>
  <c r="Z20" i="9"/>
  <c r="K20" i="1" s="1"/>
  <c r="AA20" i="9"/>
  <c r="Z17" i="9"/>
  <c r="K17" i="1" s="1"/>
  <c r="AA17" i="9"/>
  <c r="X17" i="9"/>
  <c r="J17" i="1" s="1"/>
  <c r="Z13" i="9"/>
  <c r="X13" i="9"/>
  <c r="J13" i="1" s="1"/>
  <c r="AA13" i="9"/>
  <c r="X23" i="9"/>
  <c r="J23" i="1" s="1"/>
  <c r="AA23" i="9"/>
  <c r="Z23" i="9"/>
  <c r="K23" i="1" s="1"/>
  <c r="AA15" i="9"/>
  <c r="X15" i="9"/>
  <c r="Z15" i="9"/>
  <c r="Z18" i="9"/>
  <c r="K18" i="1" s="1"/>
  <c r="X18" i="9"/>
  <c r="J18" i="1" s="1"/>
  <c r="AA18" i="9"/>
  <c r="Z29" i="9"/>
  <c r="K29" i="1" s="1"/>
  <c r="X29" i="9"/>
  <c r="J29" i="1" s="1"/>
  <c r="AA29" i="9"/>
  <c r="Z22" i="9"/>
  <c r="K22" i="1" s="1"/>
  <c r="X22" i="9"/>
  <c r="J22" i="1" s="1"/>
  <c r="AA22" i="9"/>
  <c r="Z33" i="9"/>
  <c r="K33" i="1" s="1"/>
  <c r="AA33" i="9"/>
  <c r="X33" i="9"/>
  <c r="J33" i="1" s="1"/>
  <c r="AA16" i="9"/>
  <c r="Z16" i="9"/>
  <c r="X16" i="9"/>
  <c r="Z12" i="9"/>
  <c r="AA12" i="9"/>
  <c r="X12" i="9"/>
  <c r="Z26" i="9"/>
  <c r="K26" i="1" s="1"/>
  <c r="X26" i="9"/>
  <c r="J26" i="1" s="1"/>
  <c r="AA26" i="9"/>
  <c r="X24" i="9"/>
  <c r="J24" i="1" s="1"/>
  <c r="AA24" i="9"/>
  <c r="Z24" i="9"/>
  <c r="K24" i="1" s="1"/>
  <c r="AA19" i="9"/>
  <c r="Z19" i="9"/>
  <c r="K19" i="1" s="1"/>
  <c r="X19" i="9"/>
  <c r="J19" i="1" s="1"/>
  <c r="M115" i="9" l="1"/>
  <c r="H115" i="1"/>
  <c r="M115" i="1" s="1"/>
  <c r="M78" i="9"/>
  <c r="H78" i="1"/>
  <c r="L78" i="1" s="1"/>
  <c r="P31" i="1"/>
  <c r="Q31" i="1" s="1"/>
  <c r="R31" i="1"/>
  <c r="L164" i="7"/>
  <c r="M164" i="7" s="1"/>
  <c r="R38" i="1"/>
  <c r="I92" i="1"/>
  <c r="R92" i="1" s="1"/>
  <c r="I115" i="1"/>
  <c r="R115" i="1" s="1"/>
  <c r="I110" i="1"/>
  <c r="R110" i="1" s="1"/>
  <c r="I84" i="1"/>
  <c r="M128" i="9"/>
  <c r="H128" i="1"/>
  <c r="I59" i="1"/>
  <c r="R59" i="1" s="1"/>
  <c r="I57" i="1"/>
  <c r="I88" i="1"/>
  <c r="R88" i="1" s="1"/>
  <c r="I82" i="1"/>
  <c r="I80" i="1"/>
  <c r="R80" i="1" s="1"/>
  <c r="F45" i="10" s="1"/>
  <c r="G45" i="10" s="1"/>
  <c r="I56" i="1"/>
  <c r="M130" i="9"/>
  <c r="H130" i="1"/>
  <c r="M129" i="9"/>
  <c r="H129" i="1"/>
  <c r="M42" i="9"/>
  <c r="H42" i="1"/>
  <c r="I127" i="1"/>
  <c r="R127" i="1" s="1"/>
  <c r="I54" i="1"/>
  <c r="R54" i="1" s="1"/>
  <c r="F33" i="10" s="1"/>
  <c r="G33" i="10" s="1"/>
  <c r="M27" i="9"/>
  <c r="H27" i="1"/>
  <c r="I93" i="1"/>
  <c r="R93" i="1" s="1"/>
  <c r="I104" i="1"/>
  <c r="I46" i="1"/>
  <c r="R46" i="1" s="1"/>
  <c r="F28" i="10" s="1"/>
  <c r="G28" i="10" s="1"/>
  <c r="I69" i="1"/>
  <c r="R69" i="1" s="1"/>
  <c r="I53" i="1"/>
  <c r="R53" i="1" s="1"/>
  <c r="I67" i="1"/>
  <c r="I60" i="1"/>
  <c r="I129" i="1"/>
  <c r="K27" i="1"/>
  <c r="M105" i="9"/>
  <c r="H105" i="1"/>
  <c r="M118" i="9"/>
  <c r="H118" i="1"/>
  <c r="P81" i="1"/>
  <c r="Q81" i="1" s="1"/>
  <c r="I105" i="1"/>
  <c r="I34" i="1"/>
  <c r="R34" i="1" s="1"/>
  <c r="F18" i="10" s="1"/>
  <c r="G18" i="10" s="1"/>
  <c r="M40" i="9"/>
  <c r="H40" i="1"/>
  <c r="I109" i="1"/>
  <c r="R109" i="1" s="1"/>
  <c r="M117" i="9"/>
  <c r="H117" i="1"/>
  <c r="I62" i="1"/>
  <c r="R62" i="1" s="1"/>
  <c r="I101" i="1"/>
  <c r="M127" i="9"/>
  <c r="H127" i="1"/>
  <c r="I21" i="1"/>
  <c r="I116" i="1"/>
  <c r="R116" i="1" s="1"/>
  <c r="I51" i="1"/>
  <c r="R51" i="1" s="1"/>
  <c r="I28" i="1"/>
  <c r="I75" i="1"/>
  <c r="R75" i="1" s="1"/>
  <c r="I103" i="1"/>
  <c r="I125" i="1"/>
  <c r="R125" i="1" s="1"/>
  <c r="I33" i="1"/>
  <c r="I45" i="1"/>
  <c r="R45" i="1" s="1"/>
  <c r="F27" i="10" s="1"/>
  <c r="G27" i="10" s="1"/>
  <c r="I74" i="1"/>
  <c r="R74" i="1" s="1"/>
  <c r="M74" i="9"/>
  <c r="H74" i="1"/>
  <c r="I18" i="1"/>
  <c r="I102" i="1"/>
  <c r="R102" i="1" s="1"/>
  <c r="F49" i="10" s="1"/>
  <c r="G49" i="10" s="1"/>
  <c r="I120" i="1"/>
  <c r="R120" i="1" s="1"/>
  <c r="F56" i="10" s="1"/>
  <c r="G56" i="10" s="1"/>
  <c r="I71" i="1"/>
  <c r="R71" i="1" s="1"/>
  <c r="F43" i="10" s="1"/>
  <c r="G43" i="10" s="1"/>
  <c r="M100" i="9"/>
  <c r="H100" i="1"/>
  <c r="I70" i="1"/>
  <c r="R70" i="1" s="1"/>
  <c r="I128" i="1"/>
  <c r="I15" i="1"/>
  <c r="I55" i="1"/>
  <c r="I112" i="1"/>
  <c r="R112" i="1" s="1"/>
  <c r="F55" i="10" s="1"/>
  <c r="G55" i="10" s="1"/>
  <c r="I52" i="1"/>
  <c r="R52" i="1" s="1"/>
  <c r="I64" i="1"/>
  <c r="I76" i="1"/>
  <c r="I16" i="1"/>
  <c r="I50" i="1"/>
  <c r="I121" i="1"/>
  <c r="I24" i="1"/>
  <c r="R24" i="1" s="1"/>
  <c r="F14" i="10" s="1"/>
  <c r="G14" i="10" s="1"/>
  <c r="I132" i="1"/>
  <c r="I78" i="1"/>
  <c r="R78" i="1" s="1"/>
  <c r="I65" i="1"/>
  <c r="I47" i="1"/>
  <c r="R47" i="1" s="1"/>
  <c r="F29" i="10" s="1"/>
  <c r="G29" i="10" s="1"/>
  <c r="I107" i="1"/>
  <c r="I66" i="1"/>
  <c r="I87" i="1"/>
  <c r="R87" i="1" s="1"/>
  <c r="I111" i="1"/>
  <c r="R111" i="1" s="1"/>
  <c r="F54" i="10" s="1"/>
  <c r="G54" i="10" s="1"/>
  <c r="I108" i="1"/>
  <c r="R108" i="1" s="1"/>
  <c r="F53" i="10" s="1"/>
  <c r="G53" i="10" s="1"/>
  <c r="I90" i="1"/>
  <c r="R90" i="1" s="1"/>
  <c r="I42" i="1"/>
  <c r="R42" i="1" s="1"/>
  <c r="F25" i="10" s="1"/>
  <c r="G25" i="10" s="1"/>
  <c r="I97" i="1"/>
  <c r="R97" i="1" s="1"/>
  <c r="I36" i="1"/>
  <c r="R36" i="1" s="1"/>
  <c r="F20" i="10" s="1"/>
  <c r="G20" i="10" s="1"/>
  <c r="I73" i="1"/>
  <c r="R73" i="1" s="1"/>
  <c r="F44" i="10" s="1"/>
  <c r="G44" i="10" s="1"/>
  <c r="I85" i="1"/>
  <c r="R85" i="1" s="1"/>
  <c r="I25" i="1"/>
  <c r="R25" i="1" s="1"/>
  <c r="F15" i="10" s="1"/>
  <c r="G15" i="10" s="1"/>
  <c r="I39" i="1"/>
  <c r="I29" i="1"/>
  <c r="I68" i="1"/>
  <c r="R68" i="1" s="1"/>
  <c r="F42" i="10" s="1"/>
  <c r="G42" i="10" s="1"/>
  <c r="I91" i="1"/>
  <c r="I58" i="1"/>
  <c r="R58" i="1" s="1"/>
  <c r="F36" i="10" s="1"/>
  <c r="G36" i="10" s="1"/>
  <c r="I83" i="1"/>
  <c r="I77" i="1"/>
  <c r="R77" i="1" s="1"/>
  <c r="I96" i="1"/>
  <c r="R96" i="1" s="1"/>
  <c r="I95" i="1"/>
  <c r="R95" i="1" s="1"/>
  <c r="I61" i="1"/>
  <c r="R61" i="1" s="1"/>
  <c r="I119" i="1"/>
  <c r="R119" i="1" s="1"/>
  <c r="I122" i="1"/>
  <c r="I131" i="1"/>
  <c r="R131" i="1" s="1"/>
  <c r="I44" i="1"/>
  <c r="R44" i="1" s="1"/>
  <c r="I26" i="1"/>
  <c r="I79" i="1"/>
  <c r="R79" i="1" s="1"/>
  <c r="I30" i="1"/>
  <c r="R30" i="1" s="1"/>
  <c r="I12" i="1"/>
  <c r="H125" i="1"/>
  <c r="H112" i="1"/>
  <c r="H104" i="1"/>
  <c r="L104" i="1" s="1"/>
  <c r="H13" i="1"/>
  <c r="H59" i="1"/>
  <c r="H71" i="1"/>
  <c r="L71" i="1" s="1"/>
  <c r="H83" i="1"/>
  <c r="H101" i="1"/>
  <c r="L101" i="1" s="1"/>
  <c r="I118" i="1"/>
  <c r="H56" i="1"/>
  <c r="L56" i="1" s="1"/>
  <c r="H107" i="1"/>
  <c r="M107" i="1" s="1"/>
  <c r="H93" i="1"/>
  <c r="L93" i="1" s="1"/>
  <c r="H70" i="1"/>
  <c r="M70" i="1" s="1"/>
  <c r="H99" i="1"/>
  <c r="L99" i="1" s="1"/>
  <c r="H33" i="1"/>
  <c r="M33" i="1" s="1"/>
  <c r="H95" i="1"/>
  <c r="M95" i="1" s="1"/>
  <c r="H68" i="1"/>
  <c r="H43" i="1"/>
  <c r="M43" i="1" s="1"/>
  <c r="H47" i="1"/>
  <c r="L47" i="1" s="1"/>
  <c r="H75" i="1"/>
  <c r="M75" i="1" s="1"/>
  <c r="H121" i="1"/>
  <c r="L121" i="1" s="1"/>
  <c r="H94" i="1"/>
  <c r="L94" i="1" s="1"/>
  <c r="I117" i="1"/>
  <c r="H91" i="1"/>
  <c r="M91" i="1" s="1"/>
  <c r="H36" i="1"/>
  <c r="L36" i="1" s="1"/>
  <c r="H48" i="1"/>
  <c r="M48" i="1" s="1"/>
  <c r="H122" i="1"/>
  <c r="M122" i="1" s="1"/>
  <c r="R113" i="1"/>
  <c r="H50" i="1"/>
  <c r="L50" i="1" s="1"/>
  <c r="H126" i="1"/>
  <c r="L126" i="1" s="1"/>
  <c r="H46" i="1"/>
  <c r="L46" i="1" s="1"/>
  <c r="H90" i="1"/>
  <c r="L90" i="1" s="1"/>
  <c r="P72" i="1"/>
  <c r="Q72" i="1" s="1"/>
  <c r="I86" i="1"/>
  <c r="H81" i="1"/>
  <c r="L81" i="1" s="1"/>
  <c r="H21" i="1"/>
  <c r="L157" i="7"/>
  <c r="M157" i="7" s="1"/>
  <c r="H69" i="1"/>
  <c r="H63" i="1"/>
  <c r="L63" i="1" s="1"/>
  <c r="I123" i="1"/>
  <c r="R123" i="1" s="1"/>
  <c r="F57" i="10" s="1"/>
  <c r="G57" i="10" s="1"/>
  <c r="H57" i="1"/>
  <c r="L57" i="1" s="1"/>
  <c r="H80" i="1"/>
  <c r="L80" i="1" s="1"/>
  <c r="H37" i="1"/>
  <c r="M37" i="1" s="1"/>
  <c r="H22" i="1"/>
  <c r="L22" i="1" s="1"/>
  <c r="H86" i="1"/>
  <c r="M86" i="1" s="1"/>
  <c r="I99" i="1"/>
  <c r="H20" i="1"/>
  <c r="M20" i="1" s="1"/>
  <c r="H65" i="1"/>
  <c r="M65" i="1" s="1"/>
  <c r="H132" i="1"/>
  <c r="M132" i="1" s="1"/>
  <c r="H12" i="1"/>
  <c r="H133" i="1"/>
  <c r="M133" i="1" s="1"/>
  <c r="H17" i="1"/>
  <c r="L17" i="1" s="1"/>
  <c r="H53" i="1"/>
  <c r="L53" i="1" s="1"/>
  <c r="H92" i="1"/>
  <c r="L92" i="1" s="1"/>
  <c r="H108" i="1"/>
  <c r="M97" i="1"/>
  <c r="H98" i="1"/>
  <c r="L98" i="1" s="1"/>
  <c r="H60" i="1"/>
  <c r="M60" i="1" s="1"/>
  <c r="H39" i="1"/>
  <c r="H79" i="1"/>
  <c r="M79" i="1" s="1"/>
  <c r="H66" i="1"/>
  <c r="L66" i="1" s="1"/>
  <c r="H120" i="1"/>
  <c r="L120" i="1" s="1"/>
  <c r="M78" i="1"/>
  <c r="L115" i="1"/>
  <c r="H49" i="1"/>
  <c r="M49" i="1" s="1"/>
  <c r="H64" i="1"/>
  <c r="H67" i="1"/>
  <c r="M67" i="1" s="1"/>
  <c r="H124" i="1"/>
  <c r="H24" i="1"/>
  <c r="M24" i="1" s="1"/>
  <c r="L29" i="1"/>
  <c r="H111" i="1"/>
  <c r="I126" i="1"/>
  <c r="R126" i="1" s="1"/>
  <c r="F58" i="10" s="1"/>
  <c r="G58" i="10" s="1"/>
  <c r="H55" i="1"/>
  <c r="L55" i="1" s="1"/>
  <c r="H61" i="1"/>
  <c r="H72" i="1"/>
  <c r="M72" i="1" s="1"/>
  <c r="I49" i="1"/>
  <c r="H114" i="1"/>
  <c r="L114" i="1" s="1"/>
  <c r="P38" i="1"/>
  <c r="Q38" i="1" s="1"/>
  <c r="H54" i="1"/>
  <c r="H14" i="1"/>
  <c r="H58" i="1"/>
  <c r="M29" i="1"/>
  <c r="H41" i="1"/>
  <c r="M41" i="1" s="1"/>
  <c r="H85" i="1"/>
  <c r="I94" i="1"/>
  <c r="R94" i="1" s="1"/>
  <c r="H44" i="1"/>
  <c r="H106" i="1"/>
  <c r="I32" i="1"/>
  <c r="H18" i="1"/>
  <c r="M18" i="1" s="1"/>
  <c r="H28" i="1"/>
  <c r="M28" i="1" s="1"/>
  <c r="H34" i="1"/>
  <c r="M34" i="1" s="1"/>
  <c r="I23" i="1"/>
  <c r="H110" i="1"/>
  <c r="H51" i="1"/>
  <c r="I17" i="1"/>
  <c r="H103" i="1"/>
  <c r="R22" i="1"/>
  <c r="F12" i="10" s="1"/>
  <c r="G12" i="10" s="1"/>
  <c r="H45" i="1"/>
  <c r="H77" i="1"/>
  <c r="H119" i="1"/>
  <c r="I100" i="1"/>
  <c r="I40" i="1"/>
  <c r="K13" i="1"/>
  <c r="H62" i="1"/>
  <c r="H26" i="1"/>
  <c r="M26" i="1" s="1"/>
  <c r="H89" i="1"/>
  <c r="M89" i="1" s="1"/>
  <c r="H109" i="1"/>
  <c r="I106" i="1"/>
  <c r="I37" i="1"/>
  <c r="H32" i="1"/>
  <c r="M32" i="1" s="1"/>
  <c r="H73" i="1"/>
  <c r="I35" i="1"/>
  <c r="H52" i="1"/>
  <c r="I43" i="1"/>
  <c r="H19" i="1"/>
  <c r="M19" i="1" s="1"/>
  <c r="R20" i="1"/>
  <c r="F10" i="10" s="1"/>
  <c r="G10" i="10" s="1"/>
  <c r="H23" i="1"/>
  <c r="M23" i="1" s="1"/>
  <c r="H84" i="1"/>
  <c r="H116" i="1"/>
  <c r="I14" i="1"/>
  <c r="H30" i="1"/>
  <c r="M30" i="1" s="1"/>
  <c r="H123" i="1"/>
  <c r="H96" i="1"/>
  <c r="H76" i="1"/>
  <c r="H131" i="1"/>
  <c r="H25" i="1"/>
  <c r="M25" i="1" s="1"/>
  <c r="H82" i="1"/>
  <c r="I41" i="1"/>
  <c r="I133" i="1"/>
  <c r="H102" i="1"/>
  <c r="H87" i="1"/>
  <c r="H88" i="1"/>
  <c r="H35" i="1"/>
  <c r="M35" i="1" s="1"/>
  <c r="H38" i="1"/>
  <c r="H11" i="1"/>
  <c r="M11" i="1" s="1"/>
  <c r="P114" i="1"/>
  <c r="Q114" i="1" s="1"/>
  <c r="R114" i="1"/>
  <c r="H16" i="1"/>
  <c r="H31" i="1"/>
  <c r="H15" i="1"/>
  <c r="H113" i="1"/>
  <c r="M113" i="1" s="1"/>
  <c r="Y18" i="9"/>
  <c r="Y25" i="9"/>
  <c r="Y36" i="9"/>
  <c r="K15" i="1"/>
  <c r="Y14" i="9"/>
  <c r="Y15" i="9"/>
  <c r="J15" i="1"/>
  <c r="Y24" i="9"/>
  <c r="Y28" i="9"/>
  <c r="Y22" i="9"/>
  <c r="Y23" i="9"/>
  <c r="Y34" i="9"/>
  <c r="Y39" i="9"/>
  <c r="J39" i="1"/>
  <c r="Y43" i="9"/>
  <c r="Y33" i="9"/>
  <c r="Y37" i="9"/>
  <c r="Y27" i="9"/>
  <c r="Y19" i="9"/>
  <c r="Y17" i="9"/>
  <c r="K21" i="1"/>
  <c r="Y20" i="9"/>
  <c r="Y26" i="9"/>
  <c r="Y29" i="9"/>
  <c r="Y13" i="9"/>
  <c r="Y30" i="9"/>
  <c r="Y16" i="9"/>
  <c r="J16" i="1"/>
  <c r="K16" i="1"/>
  <c r="Y21" i="9"/>
  <c r="J21" i="1"/>
  <c r="Y41" i="9"/>
  <c r="Y42" i="9"/>
  <c r="Y32" i="9"/>
  <c r="K39" i="1"/>
  <c r="Y35" i="9"/>
  <c r="Y40" i="9"/>
  <c r="I11" i="1"/>
  <c r="K12" i="1"/>
  <c r="Y12" i="9"/>
  <c r="J12" i="1"/>
  <c r="L128" i="1" l="1"/>
  <c r="M128" i="1"/>
  <c r="L27" i="1"/>
  <c r="M27" i="1"/>
  <c r="L129" i="1"/>
  <c r="M129" i="1"/>
  <c r="N115" i="1"/>
  <c r="P115" i="1" s="1"/>
  <c r="Q115" i="1" s="1"/>
  <c r="M42" i="1"/>
  <c r="L42" i="1"/>
  <c r="M105" i="1"/>
  <c r="L105" i="1"/>
  <c r="M118" i="1"/>
  <c r="L118" i="1"/>
  <c r="L130" i="1"/>
  <c r="M130" i="1"/>
  <c r="L40" i="1"/>
  <c r="M40" i="1"/>
  <c r="M13" i="1"/>
  <c r="L13" i="1"/>
  <c r="N13" i="1" s="1"/>
  <c r="N97" i="1"/>
  <c r="P97" i="1" s="1"/>
  <c r="Q97" i="1" s="1"/>
  <c r="N78" i="1"/>
  <c r="P78" i="1" s="1"/>
  <c r="Q78" i="1" s="1"/>
  <c r="L74" i="1"/>
  <c r="M74" i="1"/>
  <c r="M100" i="1"/>
  <c r="L100" i="1"/>
  <c r="M125" i="1"/>
  <c r="L125" i="1"/>
  <c r="L112" i="1"/>
  <c r="M112" i="1"/>
  <c r="L59" i="1"/>
  <c r="M59" i="1"/>
  <c r="L83" i="1"/>
  <c r="M83" i="1"/>
  <c r="L117" i="1"/>
  <c r="M117" i="1"/>
  <c r="L127" i="1"/>
  <c r="M127" i="1"/>
  <c r="L70" i="1"/>
  <c r="N70" i="1" s="1"/>
  <c r="P70" i="1" s="1"/>
  <c r="Q70" i="1" s="1"/>
  <c r="M99" i="1"/>
  <c r="N99" i="1" s="1"/>
  <c r="R99" i="1" s="1"/>
  <c r="L86" i="1"/>
  <c r="N86" i="1" s="1"/>
  <c r="R86" i="1" s="1"/>
  <c r="M104" i="1"/>
  <c r="N104" i="1" s="1"/>
  <c r="M101" i="1"/>
  <c r="N101" i="1" s="1"/>
  <c r="M56" i="1"/>
  <c r="N56" i="1" s="1"/>
  <c r="R56" i="1" s="1"/>
  <c r="F34" i="10" s="1"/>
  <c r="G34" i="10" s="1"/>
  <c r="M71" i="1"/>
  <c r="N71" i="1" s="1"/>
  <c r="P71" i="1" s="1"/>
  <c r="Q71" i="1" s="1"/>
  <c r="L33" i="1"/>
  <c r="N33" i="1" s="1"/>
  <c r="M93" i="1"/>
  <c r="N93" i="1" s="1"/>
  <c r="P93" i="1" s="1"/>
  <c r="Q93" i="1" s="1"/>
  <c r="L91" i="1"/>
  <c r="N91" i="1" s="1"/>
  <c r="R91" i="1" s="1"/>
  <c r="F47" i="10" s="1"/>
  <c r="G47" i="10" s="1"/>
  <c r="M90" i="1"/>
  <c r="N90" i="1" s="1"/>
  <c r="P90" i="1" s="1"/>
  <c r="Q90" i="1" s="1"/>
  <c r="L95" i="1"/>
  <c r="N95" i="1" s="1"/>
  <c r="P95" i="1" s="1"/>
  <c r="Q95" i="1" s="1"/>
  <c r="M53" i="1"/>
  <c r="N53" i="1" s="1"/>
  <c r="P53" i="1" s="1"/>
  <c r="Q53" i="1" s="1"/>
  <c r="M36" i="1"/>
  <c r="N36" i="1" s="1"/>
  <c r="P36" i="1" s="1"/>
  <c r="Q36" i="1" s="1"/>
  <c r="M63" i="1"/>
  <c r="N63" i="1" s="1"/>
  <c r="P63" i="1" s="1"/>
  <c r="Q63" i="1" s="1"/>
  <c r="L122" i="1"/>
  <c r="N122" i="1" s="1"/>
  <c r="R122" i="1" s="1"/>
  <c r="M17" i="1"/>
  <c r="N17" i="1" s="1"/>
  <c r="M81" i="1"/>
  <c r="M57" i="1"/>
  <c r="N57" i="1" s="1"/>
  <c r="L107" i="1"/>
  <c r="N107" i="1" s="1"/>
  <c r="L48" i="1"/>
  <c r="N48" i="1" s="1"/>
  <c r="P48" i="1" s="1"/>
  <c r="Q48" i="1" s="1"/>
  <c r="M46" i="1"/>
  <c r="N46" i="1" s="1"/>
  <c r="M126" i="1"/>
  <c r="N126" i="1" s="1"/>
  <c r="P126" i="1" s="1"/>
  <c r="Q126" i="1" s="1"/>
  <c r="M94" i="1"/>
  <c r="N94" i="1" s="1"/>
  <c r="P94" i="1" s="1"/>
  <c r="Q94" i="1" s="1"/>
  <c r="L37" i="1"/>
  <c r="N37" i="1" s="1"/>
  <c r="P37" i="1" s="1"/>
  <c r="Q37" i="1" s="1"/>
  <c r="M121" i="1"/>
  <c r="N121" i="1" s="1"/>
  <c r="L20" i="1"/>
  <c r="N20" i="1" s="1"/>
  <c r="P20" i="1" s="1"/>
  <c r="Q20" i="1" s="1"/>
  <c r="M80" i="1"/>
  <c r="N80" i="1" s="1"/>
  <c r="P80" i="1" s="1"/>
  <c r="Q80" i="1" s="1"/>
  <c r="L75" i="1"/>
  <c r="N75" i="1" s="1"/>
  <c r="P75" i="1" s="1"/>
  <c r="Q75" i="1" s="1"/>
  <c r="L49" i="1"/>
  <c r="N49" i="1" s="1"/>
  <c r="R49" i="1" s="1"/>
  <c r="F31" i="10" s="1"/>
  <c r="G31" i="10" s="1"/>
  <c r="L43" i="1"/>
  <c r="N43" i="1" s="1"/>
  <c r="M50" i="1"/>
  <c r="N50" i="1" s="1"/>
  <c r="M47" i="1"/>
  <c r="N47" i="1" s="1"/>
  <c r="P47" i="1" s="1"/>
  <c r="Q47" i="1" s="1"/>
  <c r="M114" i="1"/>
  <c r="L60" i="1"/>
  <c r="N60" i="1" s="1"/>
  <c r="R60" i="1" s="1"/>
  <c r="F37" i="10" s="1"/>
  <c r="G37" i="10" s="1"/>
  <c r="M66" i="1"/>
  <c r="N66" i="1" s="1"/>
  <c r="L89" i="1"/>
  <c r="N89" i="1" s="1"/>
  <c r="R89" i="1" s="1"/>
  <c r="F46" i="10" s="1"/>
  <c r="G46" i="10" s="1"/>
  <c r="L133" i="1"/>
  <c r="N133" i="1" s="1"/>
  <c r="M120" i="1"/>
  <c r="N120" i="1" s="1"/>
  <c r="P120" i="1" s="1"/>
  <c r="Q120" i="1" s="1"/>
  <c r="M22" i="1"/>
  <c r="N22" i="1" s="1"/>
  <c r="P22" i="1" s="1"/>
  <c r="Q22" i="1" s="1"/>
  <c r="M98" i="1"/>
  <c r="N98" i="1" s="1"/>
  <c r="P98" i="1" s="1"/>
  <c r="Q98" i="1" s="1"/>
  <c r="L132" i="1"/>
  <c r="N132" i="1" s="1"/>
  <c r="M92" i="1"/>
  <c r="N92" i="1" s="1"/>
  <c r="P92" i="1" s="1"/>
  <c r="Q92" i="1" s="1"/>
  <c r="L65" i="1"/>
  <c r="N65" i="1" s="1"/>
  <c r="L69" i="1"/>
  <c r="M69" i="1"/>
  <c r="L79" i="1"/>
  <c r="N79" i="1" s="1"/>
  <c r="P79" i="1" s="1"/>
  <c r="Q79" i="1" s="1"/>
  <c r="M108" i="1"/>
  <c r="L108" i="1"/>
  <c r="N29" i="1"/>
  <c r="L24" i="1"/>
  <c r="N24" i="1" s="1"/>
  <c r="P24" i="1" s="1"/>
  <c r="Q24" i="1" s="1"/>
  <c r="L26" i="1"/>
  <c r="N26" i="1" s="1"/>
  <c r="L32" i="1"/>
  <c r="N32" i="1" s="1"/>
  <c r="M64" i="1"/>
  <c r="L64" i="1"/>
  <c r="L67" i="1"/>
  <c r="N67" i="1" s="1"/>
  <c r="L111" i="1"/>
  <c r="M111" i="1"/>
  <c r="L18" i="1"/>
  <c r="N18" i="1" s="1"/>
  <c r="M55" i="1"/>
  <c r="N55" i="1" s="1"/>
  <c r="L124" i="1"/>
  <c r="M124" i="1"/>
  <c r="L72" i="1"/>
  <c r="M61" i="1"/>
  <c r="L61" i="1"/>
  <c r="L54" i="1"/>
  <c r="M54" i="1"/>
  <c r="L35" i="1"/>
  <c r="N35" i="1" s="1"/>
  <c r="P35" i="1" s="1"/>
  <c r="Q35" i="1" s="1"/>
  <c r="M76" i="1"/>
  <c r="L76" i="1"/>
  <c r="L30" i="1"/>
  <c r="N30" i="1" s="1"/>
  <c r="P30" i="1" s="1"/>
  <c r="Q30" i="1" s="1"/>
  <c r="L23" i="1"/>
  <c r="N23" i="1" s="1"/>
  <c r="L116" i="1"/>
  <c r="M116" i="1"/>
  <c r="L19" i="1"/>
  <c r="N19" i="1" s="1"/>
  <c r="P19" i="1" s="1"/>
  <c r="Q19" i="1" s="1"/>
  <c r="M85" i="1"/>
  <c r="L85" i="1"/>
  <c r="L96" i="1"/>
  <c r="M96" i="1"/>
  <c r="L28" i="1"/>
  <c r="N28" i="1" s="1"/>
  <c r="M119" i="1"/>
  <c r="L119" i="1"/>
  <c r="M110" i="1"/>
  <c r="L110" i="1"/>
  <c r="L44" i="1"/>
  <c r="M44" i="1"/>
  <c r="R40" i="1"/>
  <c r="F23" i="10" s="1"/>
  <c r="G23" i="10" s="1"/>
  <c r="L73" i="1"/>
  <c r="M73" i="1"/>
  <c r="L41" i="1"/>
  <c r="N41" i="1" s="1"/>
  <c r="L123" i="1"/>
  <c r="M123" i="1"/>
  <c r="M84" i="1"/>
  <c r="L84" i="1"/>
  <c r="L25" i="1"/>
  <c r="N25" i="1" s="1"/>
  <c r="P25" i="1" s="1"/>
  <c r="Q25" i="1" s="1"/>
  <c r="M62" i="1"/>
  <c r="L62" i="1"/>
  <c r="M103" i="1"/>
  <c r="L103" i="1"/>
  <c r="L88" i="1"/>
  <c r="M88" i="1"/>
  <c r="R37" i="1"/>
  <c r="F21" i="10" s="1"/>
  <c r="G21" i="10" s="1"/>
  <c r="L52" i="1"/>
  <c r="M52" i="1"/>
  <c r="M82" i="1"/>
  <c r="L82" i="1"/>
  <c r="M77" i="1"/>
  <c r="L77" i="1"/>
  <c r="L58" i="1"/>
  <c r="M58" i="1"/>
  <c r="M87" i="1"/>
  <c r="L87" i="1"/>
  <c r="L131" i="1"/>
  <c r="M131" i="1"/>
  <c r="R35" i="1"/>
  <c r="F19" i="10" s="1"/>
  <c r="G19" i="10" s="1"/>
  <c r="M109" i="1"/>
  <c r="L109" i="1"/>
  <c r="L45" i="1"/>
  <c r="M45" i="1"/>
  <c r="L14" i="1"/>
  <c r="M14" i="1"/>
  <c r="L102" i="1"/>
  <c r="M102" i="1"/>
  <c r="L51" i="1"/>
  <c r="M51" i="1"/>
  <c r="L34" i="1"/>
  <c r="N34" i="1" s="1"/>
  <c r="P34" i="1" s="1"/>
  <c r="Q34" i="1" s="1"/>
  <c r="L106" i="1"/>
  <c r="M106" i="1"/>
  <c r="L11" i="1"/>
  <c r="N11" i="1" s="1"/>
  <c r="R11" i="1" s="1"/>
  <c r="L113" i="1"/>
  <c r="L16" i="1"/>
  <c r="L15" i="1"/>
  <c r="L235" i="7"/>
  <c r="M235" i="7" s="1"/>
  <c r="M16" i="1"/>
  <c r="M15" i="1"/>
  <c r="M39" i="1"/>
  <c r="L39" i="1"/>
  <c r="M21" i="1"/>
  <c r="L21" i="1"/>
  <c r="M12" i="1"/>
  <c r="L12" i="1"/>
  <c r="N42" i="1" l="1"/>
  <c r="P42" i="1" s="1"/>
  <c r="Q42" i="1" s="1"/>
  <c r="N129" i="1"/>
  <c r="R129" i="1" s="1"/>
  <c r="N128" i="1"/>
  <c r="P128" i="1" s="1"/>
  <c r="Q128" i="1" s="1"/>
  <c r="N127" i="1"/>
  <c r="P127" i="1" s="1"/>
  <c r="Q127" i="1" s="1"/>
  <c r="N59" i="1"/>
  <c r="P59" i="1" s="1"/>
  <c r="Q59" i="1" s="1"/>
  <c r="N105" i="1"/>
  <c r="R105" i="1" s="1"/>
  <c r="N27" i="1"/>
  <c r="P27" i="1" s="1"/>
  <c r="Q27" i="1" s="1"/>
  <c r="P133" i="1"/>
  <c r="Q133" i="1" s="1"/>
  <c r="F60" i="10"/>
  <c r="G60" i="10" s="1"/>
  <c r="P132" i="1"/>
  <c r="Q132" i="1" s="1"/>
  <c r="F59" i="10"/>
  <c r="G59" i="10" s="1"/>
  <c r="N40" i="1"/>
  <c r="P40" i="1" s="1"/>
  <c r="Q40" i="1" s="1"/>
  <c r="N74" i="1"/>
  <c r="P104" i="1"/>
  <c r="Q104" i="1" s="1"/>
  <c r="R104" i="1"/>
  <c r="F51" i="10" s="1"/>
  <c r="G51" i="10" s="1"/>
  <c r="P101" i="1"/>
  <c r="Q101" i="1" s="1"/>
  <c r="R101" i="1"/>
  <c r="P33" i="1"/>
  <c r="Q33" i="1" s="1"/>
  <c r="R33" i="1"/>
  <c r="F17" i="10" s="1"/>
  <c r="G17" i="10" s="1"/>
  <c r="P17" i="1"/>
  <c r="Q17" i="1" s="1"/>
  <c r="R17" i="1"/>
  <c r="F8" i="10" s="1"/>
  <c r="G8" i="10" s="1"/>
  <c r="P57" i="1"/>
  <c r="Q57" i="1" s="1"/>
  <c r="R57" i="1"/>
  <c r="F35" i="10" s="1"/>
  <c r="G35" i="10" s="1"/>
  <c r="P107" i="1"/>
  <c r="Q107" i="1" s="1"/>
  <c r="R107" i="1"/>
  <c r="P121" i="1"/>
  <c r="Q121" i="1" s="1"/>
  <c r="R121" i="1"/>
  <c r="P43" i="1"/>
  <c r="Q43" i="1" s="1"/>
  <c r="R43" i="1"/>
  <c r="F26" i="10" s="1"/>
  <c r="G26" i="10" s="1"/>
  <c r="P50" i="1"/>
  <c r="Q50" i="1" s="1"/>
  <c r="R50" i="1"/>
  <c r="F32" i="10" s="1"/>
  <c r="G32" i="10" s="1"/>
  <c r="P66" i="1"/>
  <c r="Q66" i="1" s="1"/>
  <c r="R66" i="1"/>
  <c r="F40" i="10" s="1"/>
  <c r="G40" i="10" s="1"/>
  <c r="P65" i="1"/>
  <c r="Q65" i="1" s="1"/>
  <c r="R65" i="1"/>
  <c r="P29" i="1"/>
  <c r="Q29" i="1" s="1"/>
  <c r="R29" i="1"/>
  <c r="P26" i="1"/>
  <c r="Q26" i="1" s="1"/>
  <c r="R26" i="1"/>
  <c r="P32" i="1"/>
  <c r="Q32" i="1" s="1"/>
  <c r="R32" i="1"/>
  <c r="F16" i="10" s="1"/>
  <c r="G16" i="10" s="1"/>
  <c r="P67" i="1"/>
  <c r="Q67" i="1" s="1"/>
  <c r="R67" i="1"/>
  <c r="F41" i="10" s="1"/>
  <c r="G41" i="10" s="1"/>
  <c r="P18" i="1"/>
  <c r="Q18" i="1" s="1"/>
  <c r="R18" i="1"/>
  <c r="P55" i="1"/>
  <c r="Q55" i="1" s="1"/>
  <c r="R55" i="1"/>
  <c r="P13" i="1"/>
  <c r="Q13" i="1" s="1"/>
  <c r="R13" i="1"/>
  <c r="F4" i="10" s="1"/>
  <c r="G4" i="10" s="1"/>
  <c r="P23" i="1"/>
  <c r="Q23" i="1" s="1"/>
  <c r="R23" i="1"/>
  <c r="F13" i="10" s="1"/>
  <c r="G13" i="10" s="1"/>
  <c r="P28" i="1"/>
  <c r="Q28" i="1" s="1"/>
  <c r="R28" i="1"/>
  <c r="P41" i="1"/>
  <c r="Q41" i="1" s="1"/>
  <c r="R41" i="1"/>
  <c r="F24" i="10" s="1"/>
  <c r="G24" i="10" s="1"/>
  <c r="N130" i="1"/>
  <c r="N118" i="1"/>
  <c r="N100" i="1"/>
  <c r="N125" i="1"/>
  <c r="N112" i="1"/>
  <c r="N117" i="1"/>
  <c r="N83" i="1"/>
  <c r="R83" i="1" s="1"/>
  <c r="P46" i="1"/>
  <c r="Q46" i="1" s="1"/>
  <c r="N14" i="1"/>
  <c r="N85" i="1"/>
  <c r="N108" i="1"/>
  <c r="P108" i="1" s="1"/>
  <c r="Q108" i="1" s="1"/>
  <c r="N110" i="1"/>
  <c r="P110" i="1" s="1"/>
  <c r="Q110" i="1" s="1"/>
  <c r="N69" i="1"/>
  <c r="N77" i="1"/>
  <c r="P77" i="1" s="1"/>
  <c r="Q77" i="1" s="1"/>
  <c r="N76" i="1"/>
  <c r="N109" i="1"/>
  <c r="P109" i="1" s="1"/>
  <c r="Q109" i="1" s="1"/>
  <c r="N64" i="1"/>
  <c r="N103" i="1"/>
  <c r="N96" i="1"/>
  <c r="P96" i="1" s="1"/>
  <c r="Q96" i="1" s="1"/>
  <c r="N124" i="1"/>
  <c r="P124" i="1" s="1"/>
  <c r="Q124" i="1" s="1"/>
  <c r="N111" i="1"/>
  <c r="P111" i="1" s="1"/>
  <c r="Q111" i="1" s="1"/>
  <c r="N84" i="1"/>
  <c r="N106" i="1"/>
  <c r="N82" i="1"/>
  <c r="N62" i="1"/>
  <c r="P62" i="1" s="1"/>
  <c r="Q62" i="1" s="1"/>
  <c r="N51" i="1"/>
  <c r="N131" i="1"/>
  <c r="P131" i="1" s="1"/>
  <c r="Q131" i="1" s="1"/>
  <c r="N54" i="1"/>
  <c r="P54" i="1" s="1"/>
  <c r="Q54" i="1" s="1"/>
  <c r="N87" i="1"/>
  <c r="P87" i="1" s="1"/>
  <c r="Q87" i="1" s="1"/>
  <c r="N61" i="1"/>
  <c r="P61" i="1" s="1"/>
  <c r="Q61" i="1" s="1"/>
  <c r="N116" i="1"/>
  <c r="P116" i="1" s="1"/>
  <c r="Q116" i="1" s="1"/>
  <c r="N123" i="1"/>
  <c r="P123" i="1" s="1"/>
  <c r="Q123" i="1" s="1"/>
  <c r="N119" i="1"/>
  <c r="P119" i="1" s="1"/>
  <c r="Q119" i="1" s="1"/>
  <c r="N102" i="1"/>
  <c r="P102" i="1" s="1"/>
  <c r="Q102" i="1" s="1"/>
  <c r="N52" i="1"/>
  <c r="P52" i="1" s="1"/>
  <c r="Q52" i="1" s="1"/>
  <c r="N58" i="1"/>
  <c r="P58" i="1" s="1"/>
  <c r="Q58" i="1" s="1"/>
  <c r="N44" i="1"/>
  <c r="P44" i="1" s="1"/>
  <c r="Q44" i="1" s="1"/>
  <c r="N45" i="1"/>
  <c r="P45" i="1" s="1"/>
  <c r="Q45" i="1" s="1"/>
  <c r="N88" i="1"/>
  <c r="P88" i="1" s="1"/>
  <c r="Q88" i="1" s="1"/>
  <c r="N73" i="1"/>
  <c r="P73" i="1" s="1"/>
  <c r="Q73" i="1" s="1"/>
  <c r="P89" i="1"/>
  <c r="Q89" i="1" s="1"/>
  <c r="P56" i="1"/>
  <c r="Q56" i="1" s="1"/>
  <c r="P99" i="1"/>
  <c r="Q99" i="1" s="1"/>
  <c r="P122" i="1"/>
  <c r="Q122" i="1" s="1"/>
  <c r="P60" i="1"/>
  <c r="Q60" i="1" s="1"/>
  <c r="P11" i="1"/>
  <c r="Q11" i="1" s="1"/>
  <c r="P49" i="1"/>
  <c r="Q49" i="1" s="1"/>
  <c r="P86" i="1"/>
  <c r="Q86" i="1" s="1"/>
  <c r="P91" i="1"/>
  <c r="Q91" i="1" s="1"/>
  <c r="L137" i="7"/>
  <c r="M137" i="7" s="1"/>
  <c r="L156" i="7"/>
  <c r="M156" i="7" s="1"/>
  <c r="L210" i="7"/>
  <c r="M210" i="7" s="1"/>
  <c r="L214" i="7"/>
  <c r="M214" i="7" s="1"/>
  <c r="L202" i="7"/>
  <c r="M202" i="7" s="1"/>
  <c r="L203" i="7"/>
  <c r="M203" i="7" s="1"/>
  <c r="L194" i="7"/>
  <c r="M194" i="7" s="1"/>
  <c r="L189" i="7"/>
  <c r="M189" i="7" s="1"/>
  <c r="L220" i="7"/>
  <c r="M220" i="7" s="1"/>
  <c r="L219" i="7"/>
  <c r="M219" i="7" s="1"/>
  <c r="L228" i="7"/>
  <c r="M228" i="7" s="1"/>
  <c r="L236" i="7"/>
  <c r="M236" i="7" s="1"/>
  <c r="L217" i="7"/>
  <c r="M217" i="7" s="1"/>
  <c r="L222" i="7"/>
  <c r="M222" i="7" s="1"/>
  <c r="L199" i="7"/>
  <c r="M199" i="7" s="1"/>
  <c r="L242" i="7"/>
  <c r="M242" i="7" s="1"/>
  <c r="L241" i="7"/>
  <c r="M241" i="7" s="1"/>
  <c r="L179" i="7"/>
  <c r="M179" i="7" s="1"/>
  <c r="L216" i="7"/>
  <c r="M216" i="7" s="1"/>
  <c r="L181" i="7"/>
  <c r="M181" i="7" s="1"/>
  <c r="L218" i="7"/>
  <c r="M218" i="7" s="1"/>
  <c r="N15" i="1"/>
  <c r="R15" i="1" s="1"/>
  <c r="F6" i="10" s="1"/>
  <c r="G6" i="10" s="1"/>
  <c r="N16" i="1"/>
  <c r="R16" i="1" s="1"/>
  <c r="F7" i="10" s="1"/>
  <c r="G7" i="10" s="1"/>
  <c r="N39" i="1"/>
  <c r="R39" i="1" s="1"/>
  <c r="F22" i="10" s="1"/>
  <c r="G22" i="10" s="1"/>
  <c r="N21" i="1"/>
  <c r="R21" i="1" s="1"/>
  <c r="F11" i="10" s="1"/>
  <c r="G11" i="10" s="1"/>
  <c r="N12" i="1"/>
  <c r="R12" i="1" s="1"/>
  <c r="F3" i="10" s="1"/>
  <c r="L249" i="7" l="1"/>
  <c r="M249" i="7" s="1"/>
  <c r="P129" i="1"/>
  <c r="Q129" i="1" s="1"/>
  <c r="R128" i="1"/>
  <c r="L248" i="7"/>
  <c r="M248" i="7" s="1"/>
  <c r="L226" i="7"/>
  <c r="M226" i="7" s="1"/>
  <c r="L247" i="7"/>
  <c r="M247" i="7" s="1"/>
  <c r="P105" i="1"/>
  <c r="Q105" i="1" s="1"/>
  <c r="P74" i="1"/>
  <c r="Q74" i="1" s="1"/>
  <c r="L198" i="7"/>
  <c r="M198" i="7" s="1"/>
  <c r="P100" i="1"/>
  <c r="Q100" i="1" s="1"/>
  <c r="R100" i="1"/>
  <c r="F48" i="10" s="1"/>
  <c r="G48" i="10" s="1"/>
  <c r="P14" i="1"/>
  <c r="Q14" i="1" s="1"/>
  <c r="R14" i="1"/>
  <c r="F5" i="10" s="1"/>
  <c r="G5" i="10" s="1"/>
  <c r="P76" i="1"/>
  <c r="Q76" i="1" s="1"/>
  <c r="R76" i="1"/>
  <c r="P64" i="1"/>
  <c r="Q64" i="1" s="1"/>
  <c r="R64" i="1"/>
  <c r="F39" i="10" s="1"/>
  <c r="G39" i="10" s="1"/>
  <c r="P103" i="1"/>
  <c r="Q103" i="1" s="1"/>
  <c r="R103" i="1"/>
  <c r="F50" i="10" s="1"/>
  <c r="G50" i="10" s="1"/>
  <c r="P84" i="1"/>
  <c r="Q84" i="1" s="1"/>
  <c r="R84" i="1"/>
  <c r="P106" i="1"/>
  <c r="Q106" i="1" s="1"/>
  <c r="R106" i="1"/>
  <c r="F52" i="10" s="1"/>
  <c r="G52" i="10" s="1"/>
  <c r="P82" i="1"/>
  <c r="Q82" i="1" s="1"/>
  <c r="R82" i="1"/>
  <c r="P130" i="1"/>
  <c r="Q130" i="1" s="1"/>
  <c r="L250" i="7"/>
  <c r="M250" i="7" s="1"/>
  <c r="R118" i="1"/>
  <c r="P118" i="1"/>
  <c r="Q118" i="1" s="1"/>
  <c r="P125" i="1"/>
  <c r="Q125" i="1" s="1"/>
  <c r="L245" i="7"/>
  <c r="M245" i="7" s="1"/>
  <c r="P112" i="1"/>
  <c r="Q112" i="1" s="1"/>
  <c r="P117" i="1"/>
  <c r="Q117" i="1" s="1"/>
  <c r="R117" i="1"/>
  <c r="L207" i="7"/>
  <c r="M207" i="7" s="1"/>
  <c r="L238" i="7"/>
  <c r="M238" i="7" s="1"/>
  <c r="P83" i="1"/>
  <c r="Q83" i="1" s="1"/>
  <c r="P51" i="1"/>
  <c r="Q51" i="1" s="1"/>
  <c r="P85" i="1"/>
  <c r="Q85" i="1" s="1"/>
  <c r="L209" i="7"/>
  <c r="M209" i="7" s="1"/>
  <c r="P69" i="1"/>
  <c r="Q69" i="1" s="1"/>
  <c r="L211" i="7"/>
  <c r="M211" i="7" s="1"/>
  <c r="L201" i="7"/>
  <c r="M201" i="7" s="1"/>
  <c r="L231" i="7"/>
  <c r="M231" i="7" s="1"/>
  <c r="L200" i="7"/>
  <c r="M200" i="7" s="1"/>
  <c r="L212" i="7"/>
  <c r="M212" i="7" s="1"/>
  <c r="L230" i="7"/>
  <c r="M230" i="7" s="1"/>
  <c r="L251" i="7"/>
  <c r="M251" i="7" s="1"/>
  <c r="L193" i="7"/>
  <c r="M193" i="7" s="1"/>
  <c r="L244" i="7"/>
  <c r="M244" i="7" s="1"/>
  <c r="L177" i="7"/>
  <c r="M177" i="7" s="1"/>
  <c r="L208" i="7"/>
  <c r="M208" i="7" s="1"/>
  <c r="L206" i="7"/>
  <c r="M206" i="7" s="1"/>
  <c r="L178" i="7"/>
  <c r="M178" i="7" s="1"/>
  <c r="L237" i="7"/>
  <c r="M237" i="7" s="1"/>
  <c r="L186" i="7"/>
  <c r="M186" i="7" s="1"/>
  <c r="L239" i="7"/>
  <c r="M239" i="7" s="1"/>
  <c r="L170" i="7"/>
  <c r="M170" i="7" s="1"/>
  <c r="P21" i="1"/>
  <c r="Q21" i="1" s="1"/>
  <c r="P39" i="1"/>
  <c r="Q39" i="1" s="1"/>
  <c r="P16" i="1"/>
  <c r="Q16" i="1" s="1"/>
  <c r="P15" i="1"/>
  <c r="Q15" i="1" s="1"/>
  <c r="P12" i="1"/>
  <c r="Q12" i="1" s="1"/>
  <c r="L154" i="7"/>
  <c r="M154" i="7" s="1"/>
  <c r="L144" i="7"/>
  <c r="M144" i="7" s="1"/>
  <c r="L152" i="7"/>
  <c r="M152" i="7" s="1"/>
  <c r="L153" i="7"/>
  <c r="M153" i="7" s="1"/>
  <c r="L155" i="7"/>
  <c r="M155" i="7" s="1"/>
  <c r="G61" i="10" l="1"/>
  <c r="M255" i="7"/>
  <c r="R113" i="9"/>
  <c r="R81" i="9"/>
  <c r="P68" i="9" l="1"/>
  <c r="T68" i="9" s="1"/>
  <c r="Z68" i="9" l="1"/>
  <c r="K68" i="1" s="1"/>
  <c r="AA68" i="9"/>
  <c r="X68" i="9"/>
  <c r="J68" i="1" l="1"/>
  <c r="Y68" i="9"/>
  <c r="M68" i="1" l="1"/>
  <c r="L68" i="1"/>
  <c r="N68" i="1" l="1"/>
  <c r="P68" i="1" s="1"/>
  <c r="Q68"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<sst xmlns="http://schemas.openxmlformats.org/spreadsheetml/2006/main" count="4193" uniqueCount="796">
  <si>
    <t>BELPAPEL S.A.S</t>
  </si>
  <si>
    <t>Elaboradas en cartón rígido de yute de 600 gr/m2 con refuerzo de tela coleta en el doblez lateral, juego de carátula y contra carátula, con refuerzo externo con dos perforaciones circulares homogéneas.
Tapas anteriores impresa a 1/0 tintas y posterior sin impresión de 27.0 cm de ancho x 35.0 cm de largo.
Debe incluir gancho legajador plástico largo de 18cm (Producto elaborado en plástico 100%, transparente, de alta calidad, de dos (2) piezas, con filamento de 18cm, distancia entre perforaciones entre 7 y 8 cm.
No manchan los documentos, los bordes deben ser redondeados y su
cierre se realiza por medio de enganche).</t>
  </si>
  <si>
    <t>SECRETARÍA DISTRITAL DEL HÁBITAT</t>
  </si>
  <si>
    <t>Objeto del Proceso: SUMINISTRAR ELEMENTOS DE PAPELERIA UTILES DE OFICINA CAJAS Y CARPETAS PARA EL FUNCIONAMIENTO DE LA SECRETARIA DISTRITAL DEL HABITAT.</t>
  </si>
  <si>
    <t>Empresa:</t>
  </si>
  <si>
    <t>Dirección:</t>
  </si>
  <si>
    <t>Nit:</t>
  </si>
  <si>
    <t>Contacto:</t>
  </si>
  <si>
    <t>Cargo:</t>
  </si>
  <si>
    <t>Celular:</t>
  </si>
  <si>
    <t>Fecha</t>
  </si>
  <si>
    <t>Email:</t>
  </si>
  <si>
    <t>Telefono Oficina:</t>
  </si>
  <si>
    <t>Plazo de Ejecución Estimado</t>
  </si>
  <si>
    <t>Item</t>
  </si>
  <si>
    <t>Descripción del Bien o servicio</t>
  </si>
  <si>
    <t>Unidad de Medida</t>
  </si>
  <si>
    <t>IVA 19 %</t>
  </si>
  <si>
    <t>Precio Unitario Incluido IVA</t>
  </si>
  <si>
    <t>Unidad</t>
  </si>
  <si>
    <t>Almohadilla Dactilar - Huellero</t>
  </si>
  <si>
    <t>Almohadilla Recargable para sellos</t>
  </si>
  <si>
    <t>Bandas Elásticas Ref. 22 X 25G, en caucho</t>
  </si>
  <si>
    <t>Caja x 25gr</t>
  </si>
  <si>
    <t>Paquete x 125</t>
  </si>
  <si>
    <t>Bisturí 18 cm plástico con bloqueo de la cuchilla y con corta cuchilla</t>
  </si>
  <si>
    <t>Block Amarillo Cuadriculado Carta X 50 Hojas</t>
  </si>
  <si>
    <t>Block Blanco Cuadriculado Carta X 50 Hojas</t>
  </si>
  <si>
    <t>Bolígrafo de mina negra retráctil, semi gel, punta 0.7 mm</t>
  </si>
  <si>
    <t>Bolígrafo de mina colores surtidos retráctil, semi gel, punta 0.7 mm</t>
  </si>
  <si>
    <t>Borrador de nata No toxico - Producción nacional</t>
  </si>
  <si>
    <t>Caja x 24</t>
  </si>
  <si>
    <t>Caja de Chinches</t>
  </si>
  <si>
    <t>Caja x 50</t>
  </si>
  <si>
    <t>Cargador Pilas AA  Para 4 pilas</t>
  </si>
  <si>
    <t>Cargador Pilas AAA Para 4 pilas</t>
  </si>
  <si>
    <t>CARTUCHO DE TÓNER HP 81A NEGRO LASERJER - ORIGINAL</t>
  </si>
  <si>
    <t>Cartulina Opalina Tamaño Carta 180 g x 50</t>
  </si>
  <si>
    <t>Cartulina Blanca - Octavo</t>
  </si>
  <si>
    <t>Paquete X 100</t>
  </si>
  <si>
    <t>Cartulina Colores Surtidos - Octavo</t>
  </si>
  <si>
    <t>CARTUCHO DE CINTA - EPSON LX-350/LX-300+II/LX-300+ (ORIGINAL)</t>
  </si>
  <si>
    <t>Cd-R x 100, 700mb/80min, mínimo de velocidad de grabado 4x</t>
  </si>
  <si>
    <t>Paquete x 100</t>
  </si>
  <si>
    <t>Cd-Rw x 25, 700mb/80min, mínimo de velocidad de grabado4x</t>
  </si>
  <si>
    <t>Paquete x 25</t>
  </si>
  <si>
    <t>Cinta Invisible Mágica 19 mm x 33 m</t>
  </si>
  <si>
    <t>Cinta Adhesiva de Empaque de polipropileno de 48mm*50 mts</t>
  </si>
  <si>
    <t>Unidad - Rollo</t>
  </si>
  <si>
    <t>Cinta Adhesiva para Enmascarar 12 mm, x 40 mts</t>
  </si>
  <si>
    <t>Cinta Adhesiva para Enmascarar 48 mm, x 40 mts</t>
  </si>
  <si>
    <t>Cinta Adhesiva transparente de polipropileno de 12mm*40 mts</t>
  </si>
  <si>
    <t>Cinta Doble Faz Interiores 18mm x 5mt</t>
  </si>
  <si>
    <t>Clip Estándar Pequeño X 100, Alambre metálico galvanizado</t>
  </si>
  <si>
    <t>Caja x 100</t>
  </si>
  <si>
    <t>Clip Mariposa Gigante X 12, Alambre metálico galvanizado</t>
  </si>
  <si>
    <t>Caja x 12</t>
  </si>
  <si>
    <t>Clip Mariposa x 50, Alambre metálico galvanizado</t>
  </si>
  <si>
    <t>Colbón 125g</t>
  </si>
  <si>
    <t>Corrector Líquido, presentación en lápiz con punta metálica.</t>
  </si>
  <si>
    <t>Cosedora industrial con capacidad superior a 50 hojas metálica</t>
  </si>
  <si>
    <t>DISCO DURO MECÁNICO DE 4 TERAS PARA DVR</t>
  </si>
  <si>
    <t>DVD-R Paquete X 50, Mayor o igual a 4,7 GB mínimo de velocidad de grabado 4x o más</t>
  </si>
  <si>
    <t>Paquete X 50</t>
  </si>
  <si>
    <t>Fichas Bibliográficas - Colores Surtidos</t>
  </si>
  <si>
    <t>Fundas Polipropileno para CD o DVD</t>
  </si>
  <si>
    <t>Funda transparente multitaladro tamaño carta</t>
  </si>
  <si>
    <t>Funda transparente multitaladro tamaño oficio</t>
  </si>
  <si>
    <t>Paquete x 20</t>
  </si>
  <si>
    <t>Grapa estándar galvanizada para cosedora</t>
  </si>
  <si>
    <t>Caja x 5000</t>
  </si>
  <si>
    <t>Guante de nitrilo, poliuretano en nylon para manipulación de archivo</t>
  </si>
  <si>
    <t>Paquete x 5</t>
  </si>
  <si>
    <t>Guillotina manual 30*30, corte de mínimo 10 hojas</t>
  </si>
  <si>
    <t>Lápiz de escritura madera forma hexagonal de mina negra de grafito HB #2, con b orrado r asegurado en casquillo de metal sin bordes afilados ni cortantes con borrador que no manche ni rompe el papel, banda roja de calidad controlada. De producción nacional preferiblemente</t>
  </si>
  <si>
    <t>Lápiz de escritura madera forma hexagonal de mina roja de grafito HB # 2 , con b orrador asegurado en casquillo de metal sin bordes afilados ni cortantes con borrador que no manche ni rompe el papel, banda roja de calidad controlada. De producción nacional preferiblemente</t>
  </si>
  <si>
    <t>Marcador borrable negro</t>
  </si>
  <si>
    <t>Caja x 10</t>
  </si>
  <si>
    <t>Marcador borrable colores surtidos</t>
  </si>
  <si>
    <t>Marcador permanente alto rendimiento punta fina, Color negro</t>
  </si>
  <si>
    <t>Marcador permanente alto rendimiento punta fina Colores surtidos</t>
  </si>
  <si>
    <t>Marcador permanente, cuerpo y tapa en polipropileno, colores surtidos, Tinta in deleble a base de alcohol de secado rápido, calor y humedad, para escribir sobre cualquier superficie alto rendimiento varios colores, Longitud de cuerpo entre 120 - 155 mm, diámetro 1 2 - 1 8 mm, Punta gruesa  biselada con trazo de 2,3 mm a 4,9 mm Cierre hermético</t>
  </si>
  <si>
    <t>Memoria USB mínimo 16 gb</t>
  </si>
  <si>
    <t>Memoria USB mínimo 32 GB</t>
  </si>
  <si>
    <t>Memoria USB mínimo 128 gb</t>
  </si>
  <si>
    <t>Micropunta colores surtidos</t>
  </si>
  <si>
    <t>Bolígrafo de mina roja retráctil, semi gel, punta 0.7 mm</t>
  </si>
  <si>
    <t>Taco x 100</t>
  </si>
  <si>
    <t>Notas Autoadhesivas Pequeñas/ Taco/ Bloque/ Cubo De Mínimo 100 Hojas varios colores</t>
  </si>
  <si>
    <t>Caja x 10 resmas</t>
  </si>
  <si>
    <t>Rollo</t>
  </si>
  <si>
    <t>Papel carbón tamaño carta</t>
  </si>
  <si>
    <t>Papel Digiturno DT-1000-EX.1200 Térmico</t>
  </si>
  <si>
    <t>paquete x 3 rollos</t>
  </si>
  <si>
    <t>Papel Periódico Pliego de 70 x 100 cm de 65 grs</t>
  </si>
  <si>
    <t>Pliego</t>
  </si>
  <si>
    <t>Pegante En Barra Tubo*Mínimo 40 g, Gelificante, glicerina, y polivinil pirrolidona en agua sin componentes tóxicos, Forma redonda, cierre hermético</t>
  </si>
  <si>
    <t>Pegante Instantáneo, resistente al agua, seca transparente, para utilizar en porcelana, metal, hule, piel, madera, plástico, papel, Adhesivo instantáneo transparente, con aplicador y tapa.  Envase de mínimo 53 grs</t>
  </si>
  <si>
    <t>Perforadora escritorio Metálica 2 huecos estándar 20 hojas, dos (2) perforaciones con una distancia entre huecos de 8cm</t>
  </si>
  <si>
    <t>Perforadora Industrial 2 Huecos con una distancia entre huecos de 8 cm, con capacidad superior a 50 hojas metálica, con regleta ajustable.</t>
  </si>
  <si>
    <t>Perforadora metálica 3 Huecos con una distancia entre huecos de 10.8 o 11</t>
  </si>
  <si>
    <t>Pilas AA No Recargables Par</t>
  </si>
  <si>
    <t>Par</t>
  </si>
  <si>
    <t>Pilas AAA No Recargables Par</t>
  </si>
  <si>
    <t>Pilas AA Recargables Par</t>
  </si>
  <si>
    <t>Pilas AAA Recargables Par</t>
  </si>
  <si>
    <t>Pilas Grandes 1,5 volts</t>
  </si>
  <si>
    <t>Porta carné rígido vertical polipropileno, para uso vertical</t>
  </si>
  <si>
    <t>Portaminas 0,5 mm, plástico, zona de agarre en caucho o plástico; con borrador; punta retráctil; clip de sujeción</t>
  </si>
  <si>
    <t>Regla Plástica con longitud de 30 cm y fabricada en plástico varios colores, identifique milímetros, centímetros, y pulgadas con borde biselado</t>
  </si>
  <si>
    <t>Resaltador colores surtidos</t>
  </si>
  <si>
    <t>Revistero organizador</t>
  </si>
  <si>
    <t>Sobre papel blanco para CD o DVD</t>
  </si>
  <si>
    <t>Sobre De Manila carta de 75 grs Paquete X 100</t>
  </si>
  <si>
    <t>Sobre de Manila de 75 grs, Jumbo, Paquete X 50</t>
  </si>
  <si>
    <t>Paquete x 50</t>
  </si>
  <si>
    <t>Sobre De Manila Extra-Oficio de 75 grs, Paquete X 50</t>
  </si>
  <si>
    <t>Sobre De Manila Oficio de 75 grs, Paquete X 100</t>
  </si>
  <si>
    <t>Tabla Planillero bordes Redondeados. En Poliestireno o acrílico. Tamaño: 35 cm alto x 2 3 cm largo - tamaño oficio Clip: 8 cm alto x 20 cm largo</t>
  </si>
  <si>
    <t>Tablero de corcho 1.20 cm de Ancho y 80 cm de largo</t>
  </si>
  <si>
    <t>Tajalápiz eléctrico, Voltios 110v</t>
  </si>
  <si>
    <t>Tapabocas de 3 pliegues con cordón elástico color blanco</t>
  </si>
  <si>
    <t>Tijera De Acero Inoxidable con agarraderas recubiertas en plástico o caucho</t>
  </si>
  <si>
    <t>Tijeras Punta Roma con agarraderas recubiertas en plástico o caucho</t>
  </si>
  <si>
    <t>TINTA PARA PLOTTER HP 727 PK PHOTO BLACK 300 ML - ORIGINAL</t>
  </si>
  <si>
    <t>TINTA PARA PLOTTER HP 727 MK NEGRO 300 ML - ORIGINAL</t>
  </si>
  <si>
    <t>TINTA PARA PLOTTER HP 727 YELLOW 300 ML - ORIGINAL</t>
  </si>
  <si>
    <t>TINTA PARA PLOTTER HP 727 CYAN 300 ML - ORIGINAL</t>
  </si>
  <si>
    <t>TINTA PARA PLOTTER HP 727 GRIS 300 ML - ORIGINAL</t>
  </si>
  <si>
    <t>TINTA PARA PLOTTER HP 727 MAGENTA 300 ML - ORIGINAL</t>
  </si>
  <si>
    <t>Tinta para sello - NEGRO 15ML</t>
  </si>
  <si>
    <t>Tinta para sello - ROJO 15ML</t>
  </si>
  <si>
    <t>Vinipel industrial de 50 cms ancho x 700 mts largo calibre 8</t>
  </si>
  <si>
    <t>Cartucho de tóner hp laserjet print cartridge CF281XC negro - original</t>
  </si>
  <si>
    <t>1 juego - Legajador</t>
  </si>
  <si>
    <t>GRAN TOTAL IVA INCLUIDO</t>
  </si>
  <si>
    <r>
      <rPr>
        <sz val="10"/>
        <color rgb="FFFFFFFF"/>
        <rFont val="Aptos Narrow"/>
        <family val="2"/>
        <scheme val="minor"/>
      </rPr>
      <t>SOLICITUD DE INFORMACIÓN DE PRECIOS</t>
    </r>
  </si>
  <si>
    <r>
      <rPr>
        <sz val="10"/>
        <rFont val="Aptos Narrow"/>
        <family val="2"/>
        <scheme val="minor"/>
      </rPr>
      <t>Cera para contar - Cera dactilar cuenta fácil de 14 grs a 20 grs., pasta incolora a b ase de glicerina, envase de polipropileno de fácil sellado con
tapa.</t>
    </r>
  </si>
  <si>
    <r>
      <rPr>
        <sz val="10"/>
        <rFont val="Aptos Narrow"/>
        <family val="2"/>
        <scheme val="minor"/>
      </rPr>
      <t>CINTA PARA IMPRESORA DE CARNET DATACARD - CINTA COLOR
YMCKT SD160 534100-001-R098</t>
    </r>
  </si>
  <si>
    <r>
      <rPr>
        <sz val="10"/>
        <rFont val="Aptos Narrow"/>
        <family val="2"/>
        <scheme val="minor"/>
      </rPr>
      <t>Cosedora de oficina mínimo 30 Hojas, resistente y fuerte, liviana, Medidas
aproximadas d e 186 mm largo x 64 mm alto x 44 mm ancho</t>
    </r>
  </si>
  <si>
    <r>
      <rPr>
        <sz val="10"/>
        <rFont val="Aptos Narrow"/>
        <family val="2"/>
        <scheme val="minor"/>
      </rPr>
      <t>Cosedora Eléctrica, Profundidad de grapado 10mm aproximadamente,
Voltios 110v, Capacidad de cocido 20 hojas a la vez</t>
    </r>
  </si>
  <si>
    <r>
      <rPr>
        <sz val="10"/>
        <rFont val="Aptos Narrow"/>
        <family val="2"/>
        <scheme val="minor"/>
      </rPr>
      <t>Gancho Legajador polipropileno anticortanté (dos piezas) para perforaciones
de 7 y 8 cm. capacidad de 250 hojas.</t>
    </r>
  </si>
  <si>
    <r>
      <rPr>
        <sz val="10"/>
        <rFont val="Aptos Narrow"/>
        <family val="2"/>
        <scheme val="minor"/>
      </rPr>
      <t>Guía en cartulina carta paquete X 5, cartulina de mínimo 150g. El material
debe cumplir con las especificaciones en la NTC 5397:2005. 5 perforaciones</t>
    </r>
  </si>
  <si>
    <r>
      <rPr>
        <sz val="10"/>
        <rFont val="Aptos Narrow"/>
        <family val="2"/>
        <scheme val="minor"/>
      </rPr>
      <t>Micropunta negro, 0,5 mm., punta con soporte plástico, alto rendimiento,
escritura suave</t>
    </r>
  </si>
  <si>
    <r>
      <rPr>
        <sz val="10"/>
        <rFont val="Aptos Narrow"/>
        <family val="2"/>
        <scheme val="minor"/>
      </rPr>
      <t>Mina Para Portaminas 0,5 mm, Superpolymerisadas/ Ultraresistentes para
su protección contra la rotura, HB</t>
    </r>
  </si>
  <si>
    <r>
      <rPr>
        <sz val="10"/>
        <rFont val="Aptos Narrow"/>
        <family val="2"/>
        <scheme val="minor"/>
      </rPr>
      <t>Mina Para Portaminas 0,7 mm, Superpolymerisadas/ Ultraresistentes para
su protección contra la rotura, HB</t>
    </r>
  </si>
  <si>
    <r>
      <rPr>
        <sz val="10"/>
        <rFont val="Aptos Narrow"/>
        <family val="2"/>
        <scheme val="minor"/>
      </rPr>
      <t>Notas Autoadhesivas Estándar/ Taco/ Bloque/ Cubo De Mínimo 100 Hojas
varios colores</t>
    </r>
  </si>
  <si>
    <r>
      <rPr>
        <sz val="10"/>
        <rFont val="Aptos Narrow"/>
        <family val="2"/>
        <scheme val="minor"/>
      </rPr>
      <t>Papel Adhesivo Tipo Tablero Borrable PVC 45 x 200 cm color blanco
reutilizable</t>
    </r>
  </si>
  <si>
    <r>
      <rPr>
        <sz val="10"/>
        <rFont val="Aptos Narrow"/>
        <family val="2"/>
        <scheme val="minor"/>
      </rPr>
      <t>Papel Bond 75G Carta, El material debe cumplir con la NTC 4436:1998 y la
NTC 5 3 97, Resmas de 500 hojas</t>
    </r>
  </si>
  <si>
    <r>
      <rPr>
        <sz val="10"/>
        <rFont val="Aptos Narrow"/>
        <family val="2"/>
        <scheme val="minor"/>
      </rPr>
      <t>Caja x 10
resmas</t>
    </r>
  </si>
  <si>
    <r>
      <rPr>
        <sz val="10"/>
        <rFont val="Aptos Narrow"/>
        <family val="2"/>
        <scheme val="minor"/>
      </rPr>
      <t>Papel Bond 75G Oficio, El material debe cumplir con la NTC 4436:1998 y la
NTC 5 3 97, Resmas de 500 hojas</t>
    </r>
  </si>
  <si>
    <r>
      <rPr>
        <sz val="10"/>
        <rFont val="Aptos Narrow"/>
        <family val="2"/>
        <scheme val="minor"/>
      </rPr>
      <t>Papel Bond 90 grms para plotter (HP 727) Medidas en el rango de 90 cm s a
1 0 0 cms de ancho, rollo largo 50 mts mínimo</t>
    </r>
  </si>
  <si>
    <r>
      <rPr>
        <sz val="10"/>
        <rFont val="Aptos Narrow"/>
        <family val="2"/>
        <scheme val="minor"/>
      </rPr>
      <t>Papel Kraft mínimo 60g, Rollo 48 pulgadas de ancho x mínimo 210 metros
de largo</t>
    </r>
  </si>
  <si>
    <r>
      <rPr>
        <sz val="10"/>
        <rFont val="Aptos Narrow"/>
        <family val="2"/>
        <scheme val="minor"/>
      </rPr>
      <t>Portaminas 0,7mm, plástico, zona de agarre en caucho o plástico; con
borrador; punta retráctil; clip de sujeción</t>
    </r>
  </si>
  <si>
    <r>
      <rPr>
        <sz val="10"/>
        <rFont val="Aptos Narrow"/>
        <family val="2"/>
        <scheme val="minor"/>
      </rPr>
      <t>Saca ganchos metálicos cromado para Grapa. Guardas de dedos en plástico
ABS de Alta resistencia. Puntas metálicas fuertes.</t>
    </r>
  </si>
  <si>
    <r>
      <rPr>
        <sz val="10"/>
        <rFont val="Aptos Narrow"/>
        <family val="2"/>
        <scheme val="minor"/>
      </rPr>
      <t>Sobre catalogo en papel Bond blanco de mínimo 90 g, Tamaño Carta,
blanco sin adhesivo</t>
    </r>
  </si>
  <si>
    <r>
      <rPr>
        <sz val="10"/>
        <rFont val="Aptos Narrow"/>
        <family val="2"/>
        <scheme val="minor"/>
      </rPr>
      <t>Tablero en acrílico con cuadricula, marco de madera de 1.50 cm ancho x
1.20 cm largo</t>
    </r>
  </si>
  <si>
    <r>
      <rPr>
        <sz val="10"/>
        <rFont val="Aptos Narrow"/>
        <family val="2"/>
        <scheme val="minor"/>
      </rPr>
      <t>Tablero en acrílico con cuadricula, marco de madera de 1.20 cm ancho X 80
cm largo</t>
    </r>
  </si>
  <si>
    <r>
      <rPr>
        <sz val="10"/>
        <rFont val="Aptos Narrow"/>
        <family val="2"/>
        <scheme val="minor"/>
      </rPr>
      <t>Tajalápiz metálico, con cuchilla de acero inoxidable, 1 orificio para minas de
2mm, Forma anatómica para uso manual</t>
    </r>
  </si>
  <si>
    <r>
      <rPr>
        <sz val="10"/>
        <rFont val="Aptos Narrow"/>
        <family val="2"/>
        <scheme val="minor"/>
      </rPr>
      <t>Tarjeta PVC Calibre 30 tipo credencial. Calibre 30 color blanco 8.5 cm x 5.4
cm o tamaño similar. Para Carnet Institucional Paquete X 100</t>
    </r>
  </si>
  <si>
    <r>
      <rPr>
        <b/>
        <sz val="12"/>
        <color rgb="FFFFFFFF"/>
        <rFont val="Aptos Narrow"/>
        <family val="2"/>
        <scheme val="minor"/>
      </rPr>
      <t>DIRECCIÓN ADMINISTRATIVA</t>
    </r>
  </si>
  <si>
    <t>TOTAL ÍTEMS</t>
  </si>
  <si>
    <t>DIRECCIÓN ADMINISTRATIVA</t>
  </si>
  <si>
    <t>SOLICITUD DE INFORMACIÓN DE PRECIOS</t>
  </si>
  <si>
    <r>
      <rPr>
        <b/>
        <sz val="11"/>
        <color rgb="FF000000"/>
        <rFont val="Aptos Display"/>
        <family val="1"/>
        <scheme val="major"/>
      </rPr>
      <t>Objeto del Proceso:</t>
    </r>
    <r>
      <rPr>
        <sz val="11"/>
        <color rgb="FF000000"/>
        <rFont val="Aptos Display"/>
        <family val="1"/>
        <scheme val="major"/>
      </rPr>
      <t xml:space="preserve"> SUMINISTRAR ELEMENTOS DE PAPELERIA UTILES DE OFICINA CAJAS Y CARPETAS PARA EL FUNCIONAMIENTO DE LA SECRETARIA DISTRITAL DEL HABITAT.</t>
    </r>
  </si>
  <si>
    <t>GRUPO LOS LAGOS SAS</t>
  </si>
  <si>
    <t>CRA 28  78 27</t>
  </si>
  <si>
    <t>860053274-9%</t>
  </si>
  <si>
    <t>HECTOR CORREA GIRALDO</t>
  </si>
  <si>
    <t>REPRESENTANTE LEGAL</t>
  </si>
  <si>
    <t>edwinfa8@yahoo.es</t>
  </si>
  <si>
    <r>
      <rPr>
        <b/>
        <sz val="10"/>
        <color rgb="FF7030A0"/>
        <rFont val="Aptos Display"/>
        <family val="2"/>
        <scheme val="major"/>
      </rPr>
      <t xml:space="preserve">Notas a tener en cuenta para registrar los precios: </t>
    </r>
    <r>
      <rPr>
        <sz val="10"/>
        <color theme="1"/>
        <rFont val="Aptos Display"/>
        <family val="2"/>
        <scheme val="major"/>
      </rPr>
      <t xml:space="preserve">
</t>
    </r>
    <r>
      <rPr>
        <b/>
        <sz val="10"/>
        <color rgb="FF7030A0"/>
        <rFont val="Aptos Display"/>
        <family val="2"/>
        <scheme val="major"/>
      </rPr>
      <t xml:space="preserve">(1) </t>
    </r>
    <r>
      <rPr>
        <sz val="10"/>
        <rFont val="Aptos Display"/>
        <family val="2"/>
        <scheme val="major"/>
      </rPr>
      <t xml:space="preserve">Señor/a cotizante, en su propuesta económica al señalar los precios unitarios, deberá tener en cuenta todos los costos directos e indirectos tales como desplazamientos, logística, transporte y demás necesarios para el cumplimiento del objeto de la presente contratación, así como los impuestos Nacionales, IVA, Estampillas departamentales y municipales, y demás impuestos, tasas, contribuciones, polizas, etc, que se puedan generar en consecuencia de la ejecución de las diferentes actividades que componen el Anexo Técnico.
</t>
    </r>
    <r>
      <rPr>
        <b/>
        <sz val="10"/>
        <color rgb="FF7030A0"/>
        <rFont val="Aptos Display"/>
        <family val="2"/>
        <scheme val="major"/>
      </rPr>
      <t>(2)</t>
    </r>
    <r>
      <rPr>
        <sz val="10"/>
        <rFont val="Aptos Display"/>
        <family val="2"/>
        <scheme val="major"/>
      </rPr>
      <t xml:space="preserve"> Esta cotizaciòn es parte del estudio de mercado de la SDHT previo a la contratación, y no implica ninguna obligación de contratar.
</t>
    </r>
    <r>
      <rPr>
        <b/>
        <sz val="10"/>
        <color rgb="FF7030A0"/>
        <rFont val="Aptos Display"/>
        <family val="2"/>
        <scheme val="major"/>
      </rPr>
      <t>(3)</t>
    </r>
    <r>
      <rPr>
        <sz val="10"/>
        <rFont val="Aptos Display"/>
        <family val="2"/>
        <scheme val="major"/>
      </rPr>
      <t xml:space="preserve"> Debe ser válida por una vigencia de 90 dias a partir de la fecha de diligenciamiento.
</t>
    </r>
    <r>
      <rPr>
        <b/>
        <sz val="10"/>
        <color rgb="FF7030A0"/>
        <rFont val="Aptos Display"/>
        <family val="2"/>
        <scheme val="major"/>
      </rPr>
      <t>(4)</t>
    </r>
    <r>
      <rPr>
        <sz val="10"/>
        <rFont val="Aptos Display"/>
        <family val="2"/>
        <scheme val="major"/>
      </rPr>
      <t xml:space="preserve"> Revisar todos los requerimientos que se exponen en el documento "Anexo técnico" y formular su cotización en concordancia con este.
</t>
    </r>
    <r>
      <rPr>
        <b/>
        <sz val="10"/>
        <color rgb="FF7030A0"/>
        <rFont val="Aptos Display"/>
        <family val="2"/>
        <scheme val="major"/>
      </rPr>
      <t>(5)</t>
    </r>
    <r>
      <rPr>
        <sz val="10"/>
        <rFont val="Aptos Display"/>
        <family val="2"/>
        <scheme val="major"/>
      </rPr>
      <t xml:space="preserve"> El valor de la cotización deber ser expresado en PESOS COLOMBIANOS.
(</t>
    </r>
    <r>
      <rPr>
        <b/>
        <sz val="10"/>
        <color rgb="FF7030A0"/>
        <rFont val="Aptos Display"/>
        <family val="2"/>
        <scheme val="major"/>
      </rPr>
      <t>6)</t>
    </r>
    <r>
      <rPr>
        <sz val="10"/>
        <rFont val="Aptos Display"/>
        <family val="2"/>
        <scheme val="major"/>
      </rPr>
      <t xml:space="preserve"> No modificar, agregar o quitar ningún ítem o sub-ítem.
</t>
    </r>
    <r>
      <rPr>
        <b/>
        <sz val="10"/>
        <color rgb="FF7030A0"/>
        <rFont val="Aptos Display"/>
        <family val="2"/>
        <scheme val="major"/>
      </rPr>
      <t>(7)</t>
    </r>
    <r>
      <rPr>
        <sz val="10"/>
        <rFont val="Aptos Display"/>
        <family val="2"/>
        <scheme val="major"/>
      </rPr>
      <t xml:space="preserve"> Asignar precio sin incluir el IVA en las celdas de la columna </t>
    </r>
    <r>
      <rPr>
        <b/>
        <u/>
        <sz val="10"/>
        <rFont val="Aptos Display"/>
        <family val="2"/>
        <scheme val="major"/>
      </rPr>
      <t>"Precio Unitario Antes de IVA" .</t>
    </r>
  </si>
  <si>
    <t xml:space="preserve">Hasta el 31 de diciembre de 2026 </t>
  </si>
  <si>
    <t xml:space="preserve">Item </t>
  </si>
  <si>
    <t xml:space="preserve">Precio Unitario Antes de IVA </t>
  </si>
  <si>
    <t>Agendas hojas interiores de papel bond de 70 grs. Tamaño: 17 cm x 24.5 cm. Mínim o 2 00 hojas. Tapa dura</t>
  </si>
  <si>
    <t>Banderitas-Mini: Señales Autoadhesivas de media pulgada por 5 colores, plás ticas, con adhesivo en la punta y en una cara de la banderita</t>
  </si>
  <si>
    <t>Borrador para tablero acrílico, elaborado con felpa sintética, fieltro o paño chalet. La base debe ser en madera o plástico</t>
  </si>
  <si>
    <t xml:space="preserve">Cargador Pilas AAA Para 4 pilas </t>
  </si>
  <si>
    <t>Carpetas tres argollas blancas de 1", en cartón microcorrugado y vinilo de alta calidad.</t>
  </si>
  <si>
    <t>Carpetas tres argollas blancas de 1/2", en cartón microcorrugado y vinilo de alta calidad.</t>
  </si>
  <si>
    <t>Carpetas tres argollas blancas de 2", en cartón microcorrugado y vinilo de alta calidad.</t>
  </si>
  <si>
    <t>Carpetas tres argollas blancas de 3", en cartón microcorrugado y vinilo de alta calidad.</t>
  </si>
  <si>
    <t>Cera para contar - Cera dactilar cuenta fácil de 14 grs a 20 grs., pasta incolora a b ase de glicerina, envase de polipropileno de fácil sellado con tapa.</t>
  </si>
  <si>
    <t>CINTA PARA IMPRESORA DE CARNET DATACARD - CINTA COLOR YMCKT SD160 534100-001-R098</t>
  </si>
  <si>
    <t>Cosedora de oficina mínimo 30 Hojas, resistente y fuerte, liviana, Medidas aproximadas d e 186 mm largo x 64 mm alto x 44 mm ancho</t>
  </si>
  <si>
    <t>Cosedora Eléctrica, Profundidad de grapado 10mm aproximadamente, Voltios 110v, Capacidad de cocido 20 hojas a la vez</t>
  </si>
  <si>
    <t>Gancho Legajador polipropileno anticortanté (dos piezas) para perforaciones de 7 y 8 cm. capacidad de 250 hojas.</t>
  </si>
  <si>
    <t>Guía en cartulina carta paquete X 5, cartulina de mínimo 150g. El material debe cumplir con las especificaciones en la NTC 5397:2005. 5 perforaciones laterales Ceja de identificación</t>
  </si>
  <si>
    <t>Marcador permanente, cuerpo y tapa en polipropileno, colores surtidos, Tinta in deleble a base de alcohol de secado rápido, calor y humedad, para escribir sobre cualquier superficie alto rendimiento varios colores, Longitud de cuerpo entre 120 - 155 mm, diámetro 1 2 - 1 8 mm, Punta gruesa biselada con trazo de 2,3 mm a 4,9 mm Cierre hermético</t>
  </si>
  <si>
    <t>Micropunta negro, 0,5 mm., punta con soporte plástico, alto rendimiento, escritura suave</t>
  </si>
  <si>
    <t>Mina Para Portaminas 0,5 mm, Superpolymerisadas/ Ultraresistentes para su protección contra la rotura, HB</t>
  </si>
  <si>
    <t>Mina Para Portaminas 0,7 mm, Superpolymerisadas/ Ultraresistentes para su protección contra la rotura, HB</t>
  </si>
  <si>
    <t>Notas Autoadhesivas Estándar/ Taco/ Bloque/ Cubo De Mínimo 100 Hojas varios colores</t>
  </si>
  <si>
    <t>Papel Adhesivo Tipo Tablero Borrable PVC 45 x 200 cm color blanco reutilizable</t>
  </si>
  <si>
    <t>Papel Bond 75G Carta, El material debe cumplir con la NTC 4436:1998 y la NTC 5 3 97, Resmas de 500 hojas</t>
  </si>
  <si>
    <t>Papel Bond 75G Oficio, El material debe cumplir con la NTC 4436:1998 y la NTC 5 3 97, Resmas de 500 hojas</t>
  </si>
  <si>
    <t>Papel Bond 90 grms para plotter (HP 727) Medidas en el rango de 90 cm s a 1 0 0 cms de ancho, rollo largo 50 mts mínimo</t>
  </si>
  <si>
    <t xml:space="preserve">Papel carbón tamaño carta </t>
  </si>
  <si>
    <t>Papel Kraft mínimo 60g, Rollo 48 pulgadas de ancho x mínimo 210 metros de largo</t>
  </si>
  <si>
    <t>Portaminas 0,7mm, plástico, zona de agarre en caucho o plástico; con borrador; punta retráctil; clip de sujeción</t>
  </si>
  <si>
    <t>Saca ganchos metálicos cromado para Grapa. Guardas de dedos en plástico ABS de Alta resistencia. Puntas metálicas fuertes.</t>
  </si>
  <si>
    <t>Sobre catalogo en papel Bond blanco de mínimo 90 g, Tamaño Carta, blanco sin adhesivo</t>
  </si>
  <si>
    <t>Tablero en acrílico con cuadricula, marco de madera de 1.50 cm ancho x 1.20 cm largo</t>
  </si>
  <si>
    <t>Tablero en acrílico con cuadricula, marco de madera de 1.20 cm ancho X 80 cm largo</t>
  </si>
  <si>
    <t>Tajalápiz metálico, con cuchilla de acero inoxidable, 1 orificio para minas de 2mm, Forma anatómica para uso manual</t>
  </si>
  <si>
    <t>Tarjeta PVC Calibre 30 tipo credencial. Calibre 30 color blanco 8.5 cm x 5.4 cm o tamaño similar. Para Carnet Institucional Paquete X 100</t>
  </si>
  <si>
    <r>
      <rPr>
        <b/>
        <sz val="9"/>
        <color rgb="FF000000"/>
        <rFont val="Calibri Light"/>
        <family val="2"/>
      </rPr>
      <t xml:space="preserve">Cajas X-200 para archivo calibre 790kgf/m con las siguientes características:  </t>
    </r>
    <r>
      <rPr>
        <sz val="9"/>
        <color rgb="FF000000"/>
        <rFont val="Calibri Light"/>
        <family val="2"/>
      </rPr>
      <t xml:space="preserve">
Pulpas: El cartón debe estar libre de pulpas recicladas (ASTM D 1030:1999), lignificadas (NTC 998: 1975 o TAPPI 222: 2002) y libre de cloro residual según el Método Mohr (TAPPI 611:1997).
Valor pH: El valor pH del cartón debe ser neutro o alcalino (pH ³ 7) según (TAPPI T 509: 2002 o ISO 6588: 1992).
Reserva alcalina: Si el cartón tiene reserva alcalina, debe estar entre 3 % y 5 %, expresada como carbonato de calcio según (TAPPI T 553: 2000 o ISO 10716:2003 o ASTM D 4988:2001).
Diseño: Incluye una apertura frontal con pliegue en el costado izquierdo y pestaña para su manipulación. Las cajas no deben tener perforaciones que faciliten la entrada de polvo e insectos.
Resistencia: El cartón corrugado debe tener una resistencia mínima a la compresión vertical (RCV) de 790 ó 930 kgf/m y una resistencia mínima al aplastamiento horizontal de 2 kgf/cm2.
Recubrimiento interno: Debido a la composición del cartón corrugado, este material tiene un valor de pH inferior a 7, para evitar la migración de ácido a los documentos, el cartón debe contar con un recubrimiento interior constituido por una película transparente de material inerte con base en ceras neutras, películas poliméricas, emulsión de parafinas o ceras vegetales. La película debe ser químicamente estable, con un pH neutro, debe ser insoluble en agua, no presentar untuosidad al tacto y no experimentar adherencia sobre los documentos. En ningún caso se deben usar cartones que tengan un recubrimiento cuyo único componente sea parafina. 
Para validar este aspecto, la SDHT puede implementar la prueba de la gota: Medición del ángulo de contacto con el agua por métodos ópticos y el Método de prueba TAPPI/ANSI T 835 om-22. Absorción de agua del medio corrugado: prueba de absorción de gotas de agua, basado en la ISO/TS 14778:2021 Papel y cartón.	
Acabado: El cartón corrugado debe tener un acabado liso, suave, libre de partículas abrasivas u otras imperfecciones
Resistencia al doblez: El cartón debe tener una resistencia al doblez de por lo menos 3,3 en cualquier dirección (a máquina o transversal), cuando se determine con el instrumento Schopper, o por lo menos de 3 cuando se determine con los instrumentos Lhomargy, Khöler- Molin y MIT. Las muestras deben estar acondicionadas a 23°C y 50% de humedad relativa, como se describe en la norma ISO 187:2002. El cálculo y la determinación de la resistencia al doblez se realizarán como se describe en la norma ISO 5626:2003.
Resistencia a la oxidación: El cartón debe tener un número Kappa menor a 5 (TAPPI T 236: 1999 o ISO 302:2004). Debe estar libre de partículas metálicas, ceras, plastificantes, residuos de blanqueadores, peróxidos y sulfuro (&lt; 0,000 8 %) (TAPPI T 406:2004). Elementos como el hierro y el cobre deben estar por debajo de 30 ppm y de 1 ppm, respectivamente (TAPPI T 266:2002).
Resistencia al rasgado: El cartón debe tener una resistencia al rasgado de 200 gf por hoja (Método Elmendorf) (TAPPI T414:2004 o ISO 1974: 2002). 
Resistencia a la compresión vertical: El cartón corrugado debe tener una resistencia a la compresión vertical (RCV) de 790 ó 930 kgf/m, determinada según (NTC 973:1997 o NTC 4183:1997 o NTC 5272:2004)
Resistencia al aplastamiento horizontal: El cartón corrugado de pared sencilla debe tener una resistencia mínima al aplastamiento horizontal de 2 kgf/cm2 (NTC 452:1999) determinada según (NTC 1066:1988).
Dimensiones: 
EXTERNAS:
Ancho: 21 cm
Largo: 40 cm
Alto: 26 cm
INTERNAS:
Ancho: 20 cm 
Largo: 39 cm
Alto: 25cm 
</t>
    </r>
  </si>
  <si>
    <t>Carpetas dos tapas de yute para archivo tamaño oficio.
Elaboradas en cartón rígido de yute de 600 gr/m2 con refuerzo de tela coleta en el doblez lateral, juego de carátula y contra carátula, con refuerzo externo con dos perforaciones circulares homogéneas.
Tapas anteriores impresa a 1/0 tintas y posterior sin impresión de 27.0 cm
de ancho x 35.0 cm de largo.
Debe incluir gancho legajador plástico largo de 18cm (Producto elaborado en plástico 100%, transparente, de alta calidad, de dos (2) piezas, con filamento de 18cm, distancia entre perforaciones entre 7 y 8 cm.
No manchan los documentos, los bordes deben ser redondeados y su
cierre se realiza por medio de enganche).</t>
  </si>
  <si>
    <t xml:space="preserve">
1 juego -
Legajador
</t>
  </si>
  <si>
    <r>
      <rPr>
        <b/>
        <sz val="10"/>
        <color rgb="FF000000"/>
        <rFont val="Aptos Display"/>
        <family val="2"/>
        <scheme val="major"/>
      </rPr>
      <t>Observaciones:</t>
    </r>
    <r>
      <rPr>
        <sz val="10"/>
        <color rgb="FF000000"/>
        <rFont val="Aptos Display"/>
        <family val="2"/>
        <scheme val="major"/>
      </rPr>
      <t xml:space="preserve"> Se efectuará los descuentos de ley del orden Nacional y Distrital según las normas vigentes, de acuerdo con la información tributaria suministrada por el contratista a la Entidad y con la actividad objeto del contrato. Así mismo, dará estricto cumplimiento al descuento del uno punto uno por ciento (1.1%) del valor bruto del contrato y de la respectiva adición, si la hubiere, por concepto de gravamen de Estampilla Universidad Distrital Francisco José de Caldas, prevista en el Acuerdo 696 de 2017 del Concejo de Bogotá y el Decreto 250 de 2018 y conforme con sus modificaciones de ley. Además, retendrá el valor de las Estampillas “PRO – CULTURA” creada mediante Acuerdo 187 del 2005 equivalente al 0.5% del valor del contrato antes de IVA y de la respectiva adición, si la hubiere, y “PRO-PERSONAS MAYORES”, creada mediante acuerdo 188 del 2005 modificado por el Acuerdo 645 del 9 de junio de 2016, equivalente al 2% del valor del contrato antes de IVA, y de la respectiva adición, si la hubiere.  </t>
    </r>
  </si>
  <si>
    <t>SUMICORP LTDA</t>
  </si>
  <si>
    <t>Bodegas 5 y 6, Centro Empresarial Clic 80, Autopista Bogotá - Medellín, Costado Sur #Km 2.3</t>
  </si>
  <si>
    <t>900.074.348-1</t>
  </si>
  <si>
    <t>CAMILO TIQUE</t>
  </si>
  <si>
    <t>Ejecutivo Comercial</t>
  </si>
  <si>
    <t>Ventas11@sumicorp.com</t>
  </si>
  <si>
    <t>6740786 EXT 156</t>
  </si>
  <si>
    <t>Luis Felipe Duran Naranjo 
C.C 79.956.611 de Bogota
Representante Legal</t>
  </si>
  <si>
    <t xml:space="preserve">TELEAMARKETER BPO &amp; LOGISTICS SAS </t>
  </si>
  <si>
    <t>CRA 7 64 50 OF 206 2</t>
  </si>
  <si>
    <t>901012708-6%</t>
  </si>
  <si>
    <t xml:space="preserve">JULIO FONTALVO </t>
  </si>
  <si>
    <t>GERENTE</t>
  </si>
  <si>
    <t>telemarketergerencia@gmail.com</t>
  </si>
  <si>
    <t xml:space="preserve">constructora pineda sas </t>
  </si>
  <si>
    <t>calle 183c 1 . 10</t>
  </si>
  <si>
    <t>900866136-4</t>
  </si>
  <si>
    <t>alexander espinosa</t>
  </si>
  <si>
    <t xml:space="preserve">jefe de licitaciones </t>
  </si>
  <si>
    <t>licitacionespinedasas@gmail.com</t>
  </si>
  <si>
    <t>Cartulina Opalina Tamaño Carta 180 g x 50 (x 100)</t>
  </si>
  <si>
    <t xml:space="preserve">Unidad </t>
  </si>
  <si>
    <t>Cinta Adhesiva de Empaque de polipropileno de 48mm*50 mts (x40mt)</t>
  </si>
  <si>
    <t>Colbón 125g (115g)</t>
  </si>
  <si>
    <t>Guillotina manual 30*30, corte de mínimo 10 hojas(tamaño A4)</t>
  </si>
  <si>
    <t>Caja x 10 (12)</t>
  </si>
  <si>
    <t>Unidad x 12</t>
  </si>
  <si>
    <t>Taco x 100(x5 tacos)</t>
  </si>
  <si>
    <t>Papel Bond 90 grms para plotter (HP 727) Medidas en el rango de 90 cm s a 1 0 0 cms de ancho, rollo largo 50 mts mínimo  (75g x 50mt)</t>
  </si>
  <si>
    <t>Paquete X 100 (x50)</t>
  </si>
  <si>
    <t>Papel Digiturno DT-1000-EX.1200 Térmico  (80mm x 60 mt)</t>
  </si>
  <si>
    <t>Unidad - Rollo x 12 kg</t>
  </si>
  <si>
    <t>Pegante Instantáneo, resistente al agua, seca transparente, para utilizar en porcelana, metal, hule, piel, madera, plástico, papel, Adhesivo instantáneo transparente, con aplicador y tapa.  Envase de mínimo 53 grs(x5g)</t>
  </si>
  <si>
    <t>Tinta para sello - NEGRO 15ML  (28cc)</t>
  </si>
  <si>
    <t>Tinta para sello - ROJO 15ML (28cc)</t>
  </si>
  <si>
    <r>
      <rPr>
        <b/>
        <sz val="10"/>
        <rFont val="Aptos Narrow"/>
        <family val="2"/>
        <scheme val="minor"/>
      </rPr>
      <t>Carpetas:</t>
    </r>
    <r>
      <rPr>
        <sz val="10"/>
        <rFont val="Aptos Narrow"/>
        <family val="2"/>
        <scheme val="minor"/>
      </rPr>
      <t xml:space="preserve"> elaboradas en cartón rígido de yute de 600 gr/m2 con refuerzo de tela coleta en el doblez lateral, juego de carátula y contra carátula, con refuerzo externo con dos perforaciones circulares homogéneas.
Tapas anteriores impresa a 1/0 tintas y posterior sin impresión de 27.0 cm de ancho x 35.0 cm de largo.
Debe incluir gancho legajador plástico largo de 18cm (Producto elaborado en plástico 100%, transparente, de alta calidad, de dos (2) piezas, con filamento de 18cm, distancia entre perforaciones entre 7 y 8 cm.
No manchan los documentos, los bordes deben ser redondeados y su
cierre se realiza por medio de enganche).</t>
    </r>
  </si>
  <si>
    <t>CV</t>
  </si>
  <si>
    <t>NIVEL DE DISPERSIÓN</t>
  </si>
  <si>
    <t>MEDIANA</t>
  </si>
  <si>
    <t>Precio Unitario Antes de IVA</t>
  </si>
  <si>
    <r>
      <rPr>
        <b/>
        <sz val="9"/>
        <color rgb="FFFFFFFF"/>
        <rFont val="Calibri Light"/>
        <family val="2"/>
      </rPr>
      <t>DIRECCIÓN ADMINISTRATIVA</t>
    </r>
  </si>
  <si>
    <r>
      <rPr>
        <b/>
        <sz val="9"/>
        <color rgb="FFFFFFFF"/>
        <rFont val="Calibri Light"/>
        <family val="2"/>
      </rPr>
      <t>SOLICITUD DE INFORMACIÓN DE PRECIOS</t>
    </r>
  </si>
  <si>
    <r>
      <rPr>
        <sz val="9"/>
        <rFont val="Calibri Light"/>
        <family val="1"/>
      </rPr>
      <t>Objeto del Proceso: SUMINISTRAR ELEMENTOS DE PAPELERIA UTILES DE OFICINA CAJAS Y CARPETAS PARA EL FUNCIONAMIENTO DE LA SECRETARIA DISTRITAL DEL HABITAT.</t>
    </r>
  </si>
  <si>
    <r>
      <rPr>
        <sz val="9"/>
        <rFont val="Calibri Light"/>
        <family val="1"/>
      </rPr>
      <t>Empresa:</t>
    </r>
  </si>
  <si>
    <r>
      <rPr>
        <sz val="9"/>
        <rFont val="Calibri Light"/>
        <family val="1"/>
      </rPr>
      <t>Dirección:</t>
    </r>
  </si>
  <si>
    <r>
      <rPr>
        <b/>
        <sz val="9"/>
        <rFont val="Calibri"/>
        <family val="1"/>
      </rPr>
      <t>CRA. 57 #93A-44 / BOGOTÁ</t>
    </r>
  </si>
  <si>
    <r>
      <rPr>
        <sz val="9"/>
        <rFont val="Calibri Light"/>
        <family val="1"/>
      </rPr>
      <t>Nit:</t>
    </r>
  </si>
  <si>
    <r>
      <rPr>
        <b/>
        <sz val="9"/>
        <rFont val="Calibri"/>
        <family val="1"/>
      </rPr>
      <t>830027771-9</t>
    </r>
  </si>
  <si>
    <r>
      <rPr>
        <sz val="9"/>
        <rFont val="Calibri Light"/>
        <family val="1"/>
      </rPr>
      <t>Contacto:</t>
    </r>
  </si>
  <si>
    <r>
      <rPr>
        <b/>
        <sz val="9"/>
        <rFont val="Calibri"/>
        <family val="1"/>
      </rPr>
      <t>KAREN VILLANUEVA ZAMUDIO</t>
    </r>
  </si>
  <si>
    <r>
      <rPr>
        <sz val="9"/>
        <rFont val="Calibri Light"/>
        <family val="1"/>
      </rPr>
      <t>Cargo:</t>
    </r>
  </si>
  <si>
    <r>
      <rPr>
        <b/>
        <sz val="9"/>
        <rFont val="Calibri"/>
        <family val="1"/>
      </rPr>
      <t>ASESORA COMERCIAL</t>
    </r>
  </si>
  <si>
    <r>
      <rPr>
        <sz val="9"/>
        <rFont val="Calibri Light"/>
        <family val="1"/>
      </rPr>
      <t>Celular:</t>
    </r>
  </si>
  <si>
    <r>
      <rPr>
        <sz val="9"/>
        <rFont val="Calibri Light"/>
        <family val="1"/>
      </rPr>
      <t>Fecha</t>
    </r>
  </si>
  <si>
    <r>
      <rPr>
        <b/>
        <sz val="9"/>
        <rFont val="Calibri"/>
        <family val="1"/>
      </rPr>
      <t>30 DE MARZO DE 2026</t>
    </r>
  </si>
  <si>
    <r>
      <rPr>
        <sz val="9"/>
        <rFont val="Calibri Light"/>
        <family val="1"/>
      </rPr>
      <t>Email:</t>
    </r>
  </si>
  <si>
    <r>
      <rPr>
        <b/>
        <sz val="9"/>
        <rFont val="Calibri"/>
        <family val="1"/>
      </rPr>
      <t>LICITACION@BELPAPEL.COM</t>
    </r>
  </si>
  <si>
    <r>
      <rPr>
        <sz val="9"/>
        <rFont val="Calibri Light"/>
        <family val="1"/>
      </rPr>
      <t>Telefono Oficina:</t>
    </r>
  </si>
  <si>
    <r>
      <rPr>
        <b/>
        <sz val="9"/>
        <rFont val="Calibri"/>
        <family val="1"/>
      </rPr>
      <t>(601) 6215575 EXT - 113</t>
    </r>
  </si>
  <si>
    <r>
      <rPr>
        <sz val="9"/>
        <color rgb="FF6F2F9F"/>
        <rFont val="Calibri Light"/>
        <family val="1"/>
      </rPr>
      <t xml:space="preserve">Notas a tener en cuenta para registrar los precios:
(1) </t>
    </r>
    <r>
      <rPr>
        <sz val="9"/>
        <rFont val="Calibri Light"/>
        <family val="1"/>
      </rPr>
      <t xml:space="preserve">Señor/a cotizante, en su propuesta económica al señalar los precios unitarios, deberá tener en cuenta todos los costos directos e indirectos tales como desplazamientos, logística, transporte y demás necesarios para el cumplimiento del objeto de la presente contratación, así como los impuestos Nacionales, IVA, Estampillas departamentales y municipales, y demás impuestos, tasas, contribuciones, polizas, etc, que se puedan generar en consecuencia de la ejecución de las diferentes actividades que componen el Anexo Técnico.
</t>
    </r>
    <r>
      <rPr>
        <sz val="9"/>
        <color rgb="FF6F2F9F"/>
        <rFont val="Calibri Light"/>
        <family val="1"/>
      </rPr>
      <t xml:space="preserve">(2) </t>
    </r>
    <r>
      <rPr>
        <sz val="9"/>
        <rFont val="Calibri Light"/>
        <family val="1"/>
      </rPr>
      <t xml:space="preserve">Esta cotizaciòn es parte del estudio de mercado de la SDHT previo a la contratación, y no implica ninguna obligación de contratar.
</t>
    </r>
    <r>
      <rPr>
        <sz val="9"/>
        <color rgb="FF6F2F9F"/>
        <rFont val="Calibri Light"/>
        <family val="1"/>
      </rPr>
      <t xml:space="preserve">(3) </t>
    </r>
    <r>
      <rPr>
        <sz val="9"/>
        <rFont val="Calibri Light"/>
        <family val="1"/>
      </rPr>
      <t xml:space="preserve">Debe ser válida por una vigencia de 90 dias a partir de la fecha de diligenciamiento.
</t>
    </r>
    <r>
      <rPr>
        <sz val="9"/>
        <color rgb="FF6F2F9F"/>
        <rFont val="Calibri Light"/>
        <family val="1"/>
      </rPr>
      <t xml:space="preserve">(4) </t>
    </r>
    <r>
      <rPr>
        <sz val="9"/>
        <rFont val="Calibri Light"/>
        <family val="1"/>
      </rPr>
      <t xml:space="preserve">Revisar todos los requerimientos que se exponen en el documento "Anexo técnico" y formular su cotización en concordancia con este.
</t>
    </r>
    <r>
      <rPr>
        <sz val="9"/>
        <color rgb="FF6F2F9F"/>
        <rFont val="Calibri Light"/>
        <family val="1"/>
      </rPr>
      <t xml:space="preserve">(5) </t>
    </r>
    <r>
      <rPr>
        <sz val="9"/>
        <rFont val="Calibri Light"/>
        <family val="1"/>
      </rPr>
      <t>El valor de la cotización deber ser expresado en PESOS COLOMBIANOS.
(</t>
    </r>
    <r>
      <rPr>
        <sz val="9"/>
        <color rgb="FF6F2F9F"/>
        <rFont val="Calibri Light"/>
        <family val="1"/>
      </rPr>
      <t xml:space="preserve">6) </t>
    </r>
    <r>
      <rPr>
        <sz val="9"/>
        <rFont val="Calibri Light"/>
        <family val="1"/>
      </rPr>
      <t xml:space="preserve">No modificar, agregar o quitar ningún ítem o sub-ítem.
</t>
    </r>
    <r>
      <rPr>
        <sz val="9"/>
        <color rgb="FF6F2F9F"/>
        <rFont val="Calibri Light"/>
        <family val="1"/>
      </rPr>
      <t xml:space="preserve">(7) </t>
    </r>
    <r>
      <rPr>
        <sz val="9"/>
        <rFont val="Calibri Light"/>
        <family val="1"/>
      </rPr>
      <t xml:space="preserve">Asignar precio sin incluir el IVA en las celdas de la columna </t>
    </r>
    <r>
      <rPr>
        <u/>
        <sz val="9"/>
        <rFont val="Calibri Light"/>
        <family val="1"/>
      </rPr>
      <t>"Precio Unitario Antes de IVA" </t>
    </r>
    <r>
      <rPr>
        <sz val="9"/>
        <rFont val="Calibri Light"/>
        <family val="1"/>
      </rPr>
      <t>.</t>
    </r>
  </si>
  <si>
    <r>
      <rPr>
        <sz val="9"/>
        <rFont val="Arial MT"/>
        <family val="2"/>
      </rPr>
      <t>Agendas hojas interiores de papel bond de 70 grs. Tamaño: 17 cm x 24.5
cm. Mínim o 2 00 hojas. Tapa dura</t>
    </r>
  </si>
  <si>
    <r>
      <rPr>
        <sz val="9"/>
        <rFont val="Arial MT"/>
        <family val="2"/>
      </rPr>
      <t>Unidad</t>
    </r>
  </si>
  <si>
    <r>
      <rPr>
        <sz val="9"/>
        <rFont val="Arial MT"/>
        <family val="2"/>
      </rPr>
      <t>Almohadilla Dactilar - Huellero</t>
    </r>
  </si>
  <si>
    <r>
      <rPr>
        <sz val="9"/>
        <rFont val="Arial MT"/>
        <family val="2"/>
      </rPr>
      <t>Almohadilla Recargable para sellos</t>
    </r>
  </si>
  <si>
    <r>
      <rPr>
        <sz val="9"/>
        <rFont val="Arial MT"/>
        <family val="2"/>
      </rPr>
      <t>Bandas Elásticas Ref. 22 X 25G, en caucho</t>
    </r>
  </si>
  <si>
    <r>
      <rPr>
        <sz val="9"/>
        <rFont val="Arial MT"/>
        <family val="2"/>
      </rPr>
      <t>Caja x 25gr</t>
    </r>
  </si>
  <si>
    <r>
      <rPr>
        <sz val="9"/>
        <rFont val="Arial MT"/>
        <family val="2"/>
      </rPr>
      <t>Banderitas-Mini: Señales Autoadhesivas de media pulgada por 5 colores,
plás ticas, con adhesivo en la punta y en una cara de la banderita</t>
    </r>
  </si>
  <si>
    <r>
      <rPr>
        <sz val="9"/>
        <rFont val="Arial MT"/>
        <family val="2"/>
      </rPr>
      <t>Paquete x 125</t>
    </r>
  </si>
  <si>
    <r>
      <rPr>
        <sz val="9"/>
        <rFont val="Arial MT"/>
        <family val="2"/>
      </rPr>
      <t>Bisturí 18 cm plástico con bloqueo de la cuchilla y con corta cuchilla</t>
    </r>
  </si>
  <si>
    <r>
      <rPr>
        <sz val="9"/>
        <rFont val="Arial MT"/>
        <family val="2"/>
      </rPr>
      <t>Block Amarillo Cuadriculado Carta X 50 Hojas</t>
    </r>
  </si>
  <si>
    <r>
      <rPr>
        <sz val="9"/>
        <rFont val="Arial MT"/>
        <family val="2"/>
      </rPr>
      <t>Block Blanco Cuadriculado Carta X 50 Hojas</t>
    </r>
  </si>
  <si>
    <r>
      <rPr>
        <sz val="9"/>
        <rFont val="Arial MT"/>
        <family val="2"/>
      </rPr>
      <t>Bolígrafo de mina negra retráctil, semi gel, punta 0.7 mm</t>
    </r>
  </si>
  <si>
    <r>
      <rPr>
        <sz val="9"/>
        <rFont val="Arial MT"/>
        <family val="2"/>
      </rPr>
      <t>Bolígrafo de mina colores surtidos retráctil, semi gel, punta 0.7 mm</t>
    </r>
  </si>
  <si>
    <r>
      <rPr>
        <sz val="9"/>
        <rFont val="Arial MT"/>
        <family val="2"/>
      </rPr>
      <t>Borrador de nata No toxico - Producción nacional</t>
    </r>
  </si>
  <si>
    <r>
      <rPr>
        <sz val="9"/>
        <rFont val="Arial MT"/>
        <family val="2"/>
      </rPr>
      <t>Caja x 24</t>
    </r>
  </si>
  <si>
    <r>
      <rPr>
        <sz val="9"/>
        <rFont val="Arial MT"/>
        <family val="2"/>
      </rPr>
      <t>Borrador para tablero acrílico, elaborado con felpa sintética, fieltro o paño
chalet. La base debe ser en madera o plástico</t>
    </r>
  </si>
  <si>
    <r>
      <rPr>
        <sz val="9"/>
        <rFont val="Arial MT"/>
        <family val="2"/>
      </rPr>
      <t>Caja de Chinches</t>
    </r>
  </si>
  <si>
    <r>
      <rPr>
        <sz val="9"/>
        <rFont val="Arial MT"/>
        <family val="2"/>
      </rPr>
      <t>Caja x 50</t>
    </r>
  </si>
  <si>
    <r>
      <rPr>
        <sz val="9"/>
        <rFont val="Arial MT"/>
        <family val="2"/>
      </rPr>
      <t>Cargador Pilas AA  Para 4 pilas</t>
    </r>
  </si>
  <si>
    <r>
      <rPr>
        <sz val="9"/>
        <rFont val="Arial MT"/>
        <family val="2"/>
      </rPr>
      <t>Cargador Pilas AAA Para 4 pilas</t>
    </r>
  </si>
  <si>
    <r>
      <rPr>
        <sz val="9"/>
        <rFont val="Arial MT"/>
        <family val="2"/>
      </rPr>
      <t>Carpetas tres argollas blancas de 1", en cartón microcorrugado y vinilo de
alta calidad.</t>
    </r>
  </si>
  <si>
    <r>
      <rPr>
        <sz val="9"/>
        <rFont val="Arial MT"/>
        <family val="2"/>
      </rPr>
      <t>Carpetas tres argollas blancas de 1/2", en cartón microcorrugado y vinilo de
alta calidad.</t>
    </r>
  </si>
  <si>
    <r>
      <rPr>
        <sz val="9"/>
        <rFont val="Arial MT"/>
        <family val="2"/>
      </rPr>
      <t>Carpetas tres argollas blancas de 2", en cartón microcorrugado y vinilo de
alta calidad.</t>
    </r>
  </si>
  <si>
    <r>
      <rPr>
        <sz val="9"/>
        <rFont val="Arial MT"/>
        <family val="2"/>
      </rPr>
      <t>Carpetas tres argollas blancas de 3", en cartón microcorrugado y vinilo de
alta calidad.</t>
    </r>
  </si>
  <si>
    <r>
      <rPr>
        <sz val="9"/>
        <rFont val="Arial MT"/>
        <family val="2"/>
      </rPr>
      <t>CARTUCHO DE TÓNER HP 81A NEGRO LASERJER - ORIGINAL</t>
    </r>
  </si>
  <si>
    <r>
      <rPr>
        <sz val="9"/>
        <rFont val="Arial MT"/>
        <family val="2"/>
      </rPr>
      <t>Cartulina Opalina Tamaño Carta 180 g x 50</t>
    </r>
  </si>
  <si>
    <r>
      <rPr>
        <sz val="9"/>
        <rFont val="Arial MT"/>
        <family val="2"/>
      </rPr>
      <t>Cartulina Blanca - Octavo</t>
    </r>
  </si>
  <si>
    <r>
      <rPr>
        <sz val="9"/>
        <rFont val="Arial MT"/>
        <family val="2"/>
      </rPr>
      <t>Paquete X 100</t>
    </r>
  </si>
  <si>
    <r>
      <rPr>
        <sz val="9"/>
        <rFont val="Arial MT"/>
        <family val="2"/>
      </rPr>
      <t>Cartulina Colores Surtidos - Octavo</t>
    </r>
  </si>
  <si>
    <r>
      <rPr>
        <sz val="9"/>
        <rFont val="Arial MT"/>
        <family val="2"/>
      </rPr>
      <t>CARTUCHO DE CINTA - EPSON LX-350/LX-300+II/LX-300+ (ORIGINAL)</t>
    </r>
  </si>
  <si>
    <r>
      <rPr>
        <sz val="9"/>
        <rFont val="Arial MT"/>
        <family val="2"/>
      </rPr>
      <t>Cd-R x 100, 700mb/80min, mínimo de velocidad de grabado 4x</t>
    </r>
  </si>
  <si>
    <r>
      <rPr>
        <sz val="9"/>
        <rFont val="Arial MT"/>
        <family val="2"/>
      </rPr>
      <t>Paquete x 100</t>
    </r>
  </si>
  <si>
    <r>
      <rPr>
        <sz val="9"/>
        <rFont val="Arial MT"/>
        <family val="2"/>
      </rPr>
      <t>Cd-Rw x 25, 700mb/80min, mínimo de velocidad de grabado4x</t>
    </r>
  </si>
  <si>
    <r>
      <rPr>
        <sz val="9"/>
        <rFont val="Arial MT"/>
        <family val="2"/>
      </rPr>
      <t>Paquete x 25</t>
    </r>
  </si>
  <si>
    <r>
      <rPr>
        <sz val="9"/>
        <rFont val="Arial MT"/>
        <family val="2"/>
      </rPr>
      <t>Cera para contar - Cera dactilar cuenta fácil de 14 grs a 20 grs., pasta incolora a b ase de glicerina, envase de polipropileno de fácil sellado con
tapa.</t>
    </r>
  </si>
  <si>
    <r>
      <rPr>
        <sz val="9"/>
        <rFont val="Arial MT"/>
        <family val="2"/>
      </rPr>
      <t>Cinta Invisible Mágica 19 mm x 33 m</t>
    </r>
  </si>
  <si>
    <r>
      <rPr>
        <sz val="9"/>
        <rFont val="Arial MT"/>
        <family val="2"/>
      </rPr>
      <t>Cinta Adhesiva de Empaque de polipropileno de 48mm*50 mts</t>
    </r>
  </si>
  <si>
    <r>
      <rPr>
        <sz val="9"/>
        <rFont val="Arial MT"/>
        <family val="2"/>
      </rPr>
      <t>Unidad - Rollo</t>
    </r>
  </si>
  <si>
    <r>
      <rPr>
        <sz val="9"/>
        <rFont val="Arial MT"/>
        <family val="2"/>
      </rPr>
      <t>Cinta Adhesiva para Enmascarar 12 mm, x 40 mts</t>
    </r>
  </si>
  <si>
    <r>
      <rPr>
        <sz val="9"/>
        <rFont val="Arial MT"/>
        <family val="2"/>
      </rPr>
      <t>Cinta Adhesiva para Enmascarar 48 mm, x 40 mts</t>
    </r>
  </si>
  <si>
    <r>
      <rPr>
        <sz val="9"/>
        <rFont val="Arial MT"/>
        <family val="2"/>
      </rPr>
      <t>Cinta Adhesiva transparente de polipropileno de 12mm*40 mts</t>
    </r>
  </si>
  <si>
    <r>
      <rPr>
        <sz val="9"/>
        <rFont val="Arial MT"/>
        <family val="2"/>
      </rPr>
      <t>Cinta Doble Faz Interiores 18mm x 5mt</t>
    </r>
  </si>
  <si>
    <r>
      <rPr>
        <sz val="9"/>
        <rFont val="Arial MT"/>
        <family val="2"/>
      </rPr>
      <t>CINTA PARA IMPRESORA DE CARNET DATACARD - CINTA COLOR
YMCKT SD160 534100-001-R098</t>
    </r>
  </si>
  <si>
    <r>
      <rPr>
        <sz val="9"/>
        <rFont val="Arial MT"/>
        <family val="2"/>
      </rPr>
      <t>Clip Estándar Pequeño X 100, Alambre metálico galvanizado</t>
    </r>
  </si>
  <si>
    <r>
      <rPr>
        <sz val="9"/>
        <rFont val="Arial MT"/>
        <family val="2"/>
      </rPr>
      <t>Caja x 100</t>
    </r>
  </si>
  <si>
    <r>
      <rPr>
        <sz val="9"/>
        <rFont val="Arial MT"/>
        <family val="2"/>
      </rPr>
      <t>Clip Mariposa Gigante X 12, Alambre metálico galvanizado</t>
    </r>
  </si>
  <si>
    <r>
      <rPr>
        <sz val="9"/>
        <rFont val="Arial MT"/>
        <family val="2"/>
      </rPr>
      <t>Caja x 12</t>
    </r>
  </si>
  <si>
    <r>
      <rPr>
        <sz val="9"/>
        <rFont val="Arial MT"/>
        <family val="2"/>
      </rPr>
      <t>Clip Mariposa x 50, Alambre metálico galvanizado</t>
    </r>
  </si>
  <si>
    <r>
      <rPr>
        <sz val="9"/>
        <rFont val="Arial MT"/>
        <family val="2"/>
      </rPr>
      <t>Colbón 125g</t>
    </r>
  </si>
  <si>
    <r>
      <rPr>
        <sz val="9"/>
        <rFont val="Arial MT"/>
        <family val="2"/>
      </rPr>
      <t>Corrector Líquido, presentación en lápiz con punta metálica.</t>
    </r>
  </si>
  <si>
    <r>
      <rPr>
        <sz val="9"/>
        <rFont val="Arial MT"/>
        <family val="2"/>
      </rPr>
      <t>Cosedora de oficina mínimo 30 Hojas, resistente y fuerte, liviana, Medidas
aproximadas d e 186 mm largo x 64 mm alto x 44 mm ancho</t>
    </r>
  </si>
  <si>
    <r>
      <rPr>
        <sz val="9"/>
        <rFont val="Arial MT"/>
        <family val="2"/>
      </rPr>
      <t>Cosedora Eléctrica, Profundidad de grapado 10mm aproximadamente,
Voltios 110v, Capacidad de cocido 20 hojas a la vez</t>
    </r>
  </si>
  <si>
    <r>
      <rPr>
        <sz val="9"/>
        <rFont val="Arial MT"/>
        <family val="2"/>
      </rPr>
      <t>Cosedora industrial con capacidad superior a 50 hojas metálica</t>
    </r>
  </si>
  <si>
    <r>
      <rPr>
        <sz val="9"/>
        <rFont val="Arial MT"/>
        <family val="2"/>
      </rPr>
      <t>DISCO DURO MECÁNICO DE 4 TERAS PARA DVR</t>
    </r>
  </si>
  <si>
    <r>
      <rPr>
        <sz val="9"/>
        <rFont val="Arial MT"/>
        <family val="2"/>
      </rPr>
      <t>DVD-R Paquete X 50, Mayor o igual a 4,7 GB mínimo de velocidad de grabado 4x o más</t>
    </r>
  </si>
  <si>
    <r>
      <rPr>
        <sz val="9"/>
        <rFont val="Arial MT"/>
        <family val="2"/>
      </rPr>
      <t>Paquete X 50</t>
    </r>
  </si>
  <si>
    <r>
      <rPr>
        <sz val="9"/>
        <rFont val="Arial MT"/>
        <family val="2"/>
      </rPr>
      <t>Fichas Bibliográficas - Colores Surtidos</t>
    </r>
  </si>
  <si>
    <r>
      <rPr>
        <sz val="9"/>
        <rFont val="Arial MT"/>
        <family val="2"/>
      </rPr>
      <t>Fundas Polipropileno para CD o DVD</t>
    </r>
  </si>
  <si>
    <r>
      <rPr>
        <sz val="9"/>
        <rFont val="Arial MT"/>
        <family val="2"/>
      </rPr>
      <t>Funda transparente multitaladro tamaño carta</t>
    </r>
  </si>
  <si>
    <r>
      <rPr>
        <sz val="9"/>
        <rFont val="Arial MT"/>
        <family val="2"/>
      </rPr>
      <t>Funda transparente multitaladro tamaño oficio</t>
    </r>
  </si>
  <si>
    <r>
      <rPr>
        <sz val="9"/>
        <rFont val="Arial MT"/>
        <family val="2"/>
      </rPr>
      <t>Gancho Legajador polipropileno anticortanté (dos piezas) para perforaciones
de 7 y 8 cm. capacidad de 250 hojas.</t>
    </r>
  </si>
  <si>
    <r>
      <rPr>
        <sz val="9"/>
        <rFont val="Arial MT"/>
        <family val="2"/>
      </rPr>
      <t>Paquete x 20</t>
    </r>
  </si>
  <si>
    <r>
      <rPr>
        <sz val="9"/>
        <rFont val="Arial MT"/>
        <family val="2"/>
      </rPr>
      <t>Grapa estándar galvanizada para cosedora</t>
    </r>
  </si>
  <si>
    <r>
      <rPr>
        <sz val="9"/>
        <rFont val="Arial MT"/>
        <family val="2"/>
      </rPr>
      <t>Caja x 5000</t>
    </r>
  </si>
  <si>
    <r>
      <rPr>
        <sz val="9"/>
        <rFont val="Arial MT"/>
        <family val="2"/>
      </rPr>
      <t>Guante de nitrilo, poliuretano en nylon para manipulación de archivo</t>
    </r>
  </si>
  <si>
    <r>
      <rPr>
        <sz val="9"/>
        <rFont val="Arial MT"/>
        <family val="2"/>
      </rPr>
      <t>Guía en cartulina carta paquete X 5, cartulina de mínimo 150g. El material
debe cumplir con las especificaciones en la NTC 5397:2005. 5 perforaciones</t>
    </r>
  </si>
  <si>
    <r>
      <rPr>
        <sz val="9"/>
        <rFont val="Arial MT"/>
        <family val="2"/>
      </rPr>
      <t>Paquete x 5</t>
    </r>
  </si>
  <si>
    <r>
      <rPr>
        <sz val="9"/>
        <rFont val="Arial MT"/>
        <family val="2"/>
      </rPr>
      <t>Guillotina manual 30*30, corte de mínimo 10 hojas</t>
    </r>
  </si>
  <si>
    <r>
      <rPr>
        <sz val="9"/>
        <rFont val="Arial MT"/>
        <family val="2"/>
      </rPr>
      <t>Lápiz de escritura madera forma hexagonal de mina negra de grafito HB #2, con b orrado r asegurado en casquillo de metal sin bordes afilados ni cortantes con borrador que no manche ni rompe el papel, banda roja de calidad controlada. De producción nacional preferiblemente</t>
    </r>
  </si>
  <si>
    <r>
      <rPr>
        <sz val="9"/>
        <rFont val="Arial MT"/>
        <family val="2"/>
      </rPr>
      <t>Lápiz de escritura madera forma hexagonal de mina roja de grafito HB # 2 , con b orrador asegurado en casquillo de metal sin bordes afilados ni cortantes con borrador que no manche ni rompe el papel, banda roja de calidad controlada. De producción nacional preferiblemente</t>
    </r>
  </si>
  <si>
    <r>
      <rPr>
        <sz val="9"/>
        <rFont val="Arial MT"/>
        <family val="2"/>
      </rPr>
      <t>Marcador borrable negro</t>
    </r>
  </si>
  <si>
    <r>
      <rPr>
        <sz val="9"/>
        <rFont val="Arial MT"/>
        <family val="2"/>
      </rPr>
      <t>Caja x 10</t>
    </r>
  </si>
  <si>
    <r>
      <rPr>
        <sz val="9"/>
        <rFont val="Arial MT"/>
        <family val="2"/>
      </rPr>
      <t>Marcador borrable colores surtidos</t>
    </r>
  </si>
  <si>
    <r>
      <rPr>
        <sz val="9"/>
        <rFont val="Arial MT"/>
        <family val="2"/>
      </rPr>
      <t>Marcador permanente alto rendimiento punta fina, Color negro</t>
    </r>
  </si>
  <si>
    <r>
      <rPr>
        <sz val="9"/>
        <rFont val="Arial MT"/>
        <family val="2"/>
      </rPr>
      <t>Marcador permanente alto rendimiento punta fina Colores surtidos</t>
    </r>
  </si>
  <si>
    <r>
      <rPr>
        <sz val="9"/>
        <rFont val="Arial MT"/>
        <family val="2"/>
      </rPr>
      <t>Marcador permanente, cuerpo y tapa en polipropileno, colores surtidos, Tinta in deleble a base de alcohol de secado rápido, calor y humedad, para escribir sobre cualquier superficie alto rendimiento varios colores, Longitud de cuerpo entre 120 - 155 mm, diámetro 1 2 - 1 8 mm, Punta gruesa  biselada con trazo de 2,3 mm a 4,9 mm Cierre hermético</t>
    </r>
  </si>
  <si>
    <r>
      <rPr>
        <sz val="9"/>
        <rFont val="Arial MT"/>
        <family val="2"/>
      </rPr>
      <t>Memoria USB mínimo 16 gb</t>
    </r>
  </si>
  <si>
    <r>
      <rPr>
        <sz val="9"/>
        <rFont val="Arial MT"/>
        <family val="2"/>
      </rPr>
      <t>Memoria USB mínimo 32 GB</t>
    </r>
  </si>
  <si>
    <r>
      <rPr>
        <sz val="9"/>
        <rFont val="Arial MT"/>
        <family val="2"/>
      </rPr>
      <t>Memoria USB mínimo 128 gb</t>
    </r>
  </si>
  <si>
    <r>
      <rPr>
        <sz val="9"/>
        <rFont val="Arial MT"/>
        <family val="2"/>
      </rPr>
      <t>Micropunta negro, 0,5 mm., punta con soporte plástico, alto rendimiento,
escritura suave</t>
    </r>
  </si>
  <si>
    <r>
      <rPr>
        <sz val="9"/>
        <rFont val="Arial MT"/>
        <family val="2"/>
      </rPr>
      <t>Micropunta colores surtidos</t>
    </r>
  </si>
  <si>
    <r>
      <rPr>
        <sz val="9"/>
        <rFont val="Arial MT"/>
        <family val="2"/>
      </rPr>
      <t>Bolígrafo de mina roja retráctil, semi gel, punta 0.7 mm</t>
    </r>
  </si>
  <si>
    <r>
      <rPr>
        <sz val="9"/>
        <rFont val="Arial MT"/>
        <family val="2"/>
      </rPr>
      <t>Mina Para Portaminas 0,5 mm, Superpolymerisadas/ Ultraresistentes para
su protección contra la rotura, HB</t>
    </r>
  </si>
  <si>
    <r>
      <rPr>
        <sz val="9"/>
        <rFont val="Arial MT"/>
        <family val="2"/>
      </rPr>
      <t>Mina Para Portaminas 0,7 mm, Superpolymerisadas/ Ultraresistentes para
su protección contra la rotura, HB</t>
    </r>
  </si>
  <si>
    <r>
      <rPr>
        <sz val="9"/>
        <rFont val="Arial MT"/>
        <family val="2"/>
      </rPr>
      <t>Notas Autoadhesivas Estándar/ Taco/ Bloque/ Cubo De Mínimo 100 Hojas
varios colores</t>
    </r>
  </si>
  <si>
    <r>
      <rPr>
        <sz val="9"/>
        <rFont val="Arial MT"/>
        <family val="2"/>
      </rPr>
      <t>Taco x 100</t>
    </r>
  </si>
  <si>
    <r>
      <rPr>
        <sz val="9"/>
        <rFont val="Arial MT"/>
        <family val="2"/>
      </rPr>
      <t>Notas Autoadhesivas Pequeñas/ Taco/ Bloque/ Cubo De Mínimo 100 Hojas varios colores</t>
    </r>
  </si>
  <si>
    <r>
      <rPr>
        <sz val="9"/>
        <rFont val="Arial MT"/>
        <family val="2"/>
      </rPr>
      <t>Papel Adhesivo Tipo Tablero Borrable PVC 45 x 200 cm color blanco
reutilizable</t>
    </r>
  </si>
  <si>
    <r>
      <rPr>
        <sz val="9"/>
        <rFont val="Arial MT"/>
        <family val="2"/>
      </rPr>
      <t>Papel Bond 75G Carta, El material debe cumplir con la NTC 4436:1998 y la
NTC 5 3 97, Resmas de 500 hojas</t>
    </r>
  </si>
  <si>
    <r>
      <rPr>
        <sz val="9"/>
        <rFont val="Arial MT"/>
        <family val="2"/>
      </rPr>
      <t>Caja x 10
resmas</t>
    </r>
  </si>
  <si>
    <r>
      <rPr>
        <sz val="9"/>
        <rFont val="Arial MT"/>
        <family val="2"/>
      </rPr>
      <t>Papel Bond 75G Oficio, El material debe cumplir con la NTC 4436:1998 y la
NTC 5 3 97, Resmas de 500 hojas</t>
    </r>
  </si>
  <si>
    <r>
      <rPr>
        <sz val="9"/>
        <rFont val="Arial MT"/>
        <family val="2"/>
      </rPr>
      <t>Caja x 10 resmas</t>
    </r>
  </si>
  <si>
    <r>
      <rPr>
        <sz val="9"/>
        <rFont val="Arial MT"/>
        <family val="2"/>
      </rPr>
      <t>Papel Bond 90 grms para plotter (HP 727) Medidas en el rango de 90 cm s a
1 0 0 cms de ancho, rollo largo 50 mts mínimo</t>
    </r>
  </si>
  <si>
    <r>
      <rPr>
        <sz val="9"/>
        <rFont val="Arial MT"/>
        <family val="2"/>
      </rPr>
      <t>Rollo</t>
    </r>
  </si>
  <si>
    <r>
      <rPr>
        <sz val="9"/>
        <rFont val="Arial MT"/>
        <family val="2"/>
      </rPr>
      <t>Papel carbón tamaño carta</t>
    </r>
  </si>
  <si>
    <r>
      <rPr>
        <sz val="9"/>
        <rFont val="Arial MT"/>
        <family val="2"/>
      </rPr>
      <t>Papel Digiturno DT-1000-EX.1200 Térmico</t>
    </r>
  </si>
  <si>
    <r>
      <rPr>
        <sz val="9"/>
        <rFont val="Arial MT"/>
        <family val="2"/>
      </rPr>
      <t>paquete x 3 rollos</t>
    </r>
  </si>
  <si>
    <r>
      <rPr>
        <sz val="9"/>
        <rFont val="Arial MT"/>
        <family val="2"/>
      </rPr>
      <t>Papel Kraft mínimo 60g, Rollo 48 pulgadas de ancho x mínimo 210 metros
de largo</t>
    </r>
  </si>
  <si>
    <r>
      <rPr>
        <sz val="9"/>
        <rFont val="Arial MT"/>
        <family val="2"/>
      </rPr>
      <t>Papel Periódico Pliego de 70 x 100 cm de 65 grs</t>
    </r>
  </si>
  <si>
    <r>
      <rPr>
        <sz val="9"/>
        <rFont val="Arial MT"/>
        <family val="2"/>
      </rPr>
      <t>Pliego</t>
    </r>
  </si>
  <si>
    <r>
      <rPr>
        <sz val="9"/>
        <rFont val="Arial MT"/>
        <family val="2"/>
      </rPr>
      <t>Pegante En Barra Tubo*Mínimo 40 g, Gelificante, glicerina, y polivinil pirrolidona en agua sin componentes tóxicos, Forma redonda, cierre hermético</t>
    </r>
  </si>
  <si>
    <r>
      <rPr>
        <sz val="9"/>
        <rFont val="Arial MT"/>
        <family val="2"/>
      </rPr>
      <t>Pegante Instantáneo, resistente al agua, seca transparente, para utilizar en porcelana, metal, hule, piel, madera, plástico, papel, Adhesivo instantáneo transparente, con aplicador y tapa.  Envase de mínimo 53 grs</t>
    </r>
  </si>
  <si>
    <r>
      <rPr>
        <sz val="9"/>
        <rFont val="Arial MT"/>
        <family val="2"/>
      </rPr>
      <t>Perforadora escritorio Metálica 2 huecos estándar 20 hojas, dos (2) perforaciones con una distancia entre huecos de 8cm</t>
    </r>
  </si>
  <si>
    <r>
      <rPr>
        <sz val="9"/>
        <rFont val="Arial MT"/>
        <family val="2"/>
      </rPr>
      <t>Perforadora Industrial 2 Huecos con una distancia entre huecos de 8 cm, con capacidad superior a 50 hojas metálica, con regleta ajustable.</t>
    </r>
  </si>
  <si>
    <r>
      <rPr>
        <sz val="9"/>
        <rFont val="Arial MT"/>
        <family val="2"/>
      </rPr>
      <t>Perforadora metálica 3 Huecos con una distancia entre huecos de 10.8 o 11</t>
    </r>
  </si>
  <si>
    <r>
      <rPr>
        <sz val="9"/>
        <rFont val="Arial MT"/>
        <family val="2"/>
      </rPr>
      <t>Pilas AA No Recargables Par</t>
    </r>
  </si>
  <si>
    <r>
      <rPr>
        <sz val="9"/>
        <rFont val="Arial MT"/>
        <family val="2"/>
      </rPr>
      <t>Par</t>
    </r>
  </si>
  <si>
    <r>
      <rPr>
        <sz val="9"/>
        <rFont val="Arial MT"/>
        <family val="2"/>
      </rPr>
      <t>Pilas AAA No Recargables Par</t>
    </r>
  </si>
  <si>
    <r>
      <rPr>
        <sz val="9"/>
        <rFont val="Arial MT"/>
        <family val="2"/>
      </rPr>
      <t>Pilas AA Recargables Par</t>
    </r>
  </si>
  <si>
    <r>
      <rPr>
        <sz val="9"/>
        <rFont val="Arial MT"/>
        <family val="2"/>
      </rPr>
      <t>Pilas AAA Recargables Par</t>
    </r>
  </si>
  <si>
    <r>
      <rPr>
        <sz val="9"/>
        <rFont val="Arial MT"/>
        <family val="2"/>
      </rPr>
      <t>Pilas Grandes 1,5 volts</t>
    </r>
  </si>
  <si>
    <r>
      <rPr>
        <sz val="9"/>
        <rFont val="Arial MT"/>
        <family val="2"/>
      </rPr>
      <t>Porta carné rígido vertical polipropileno, para uso vertical</t>
    </r>
  </si>
  <si>
    <r>
      <rPr>
        <sz val="9"/>
        <rFont val="Arial MT"/>
        <family val="2"/>
      </rPr>
      <t>Portaminas 0,5 mm, plástico, zona de agarre en caucho o plástico; con borrador; punta retráctil; clip de sujeción</t>
    </r>
  </si>
  <si>
    <r>
      <rPr>
        <sz val="9"/>
        <rFont val="Arial MT"/>
        <family val="2"/>
      </rPr>
      <t>Portaminas 0,7mm, plástico, zona de agarre en caucho o plástico; con
borrador; punta retráctil; clip de sujeción</t>
    </r>
  </si>
  <si>
    <r>
      <rPr>
        <sz val="9"/>
        <rFont val="Arial MT"/>
        <family val="2"/>
      </rPr>
      <t>Regla Plástica con longitud de 30 cm y fabricada en plástico varios colores, identifique milímetros, centímetros, y pulgadas con borde biselado</t>
    </r>
  </si>
  <si>
    <r>
      <rPr>
        <sz val="9"/>
        <rFont val="Arial MT"/>
        <family val="2"/>
      </rPr>
      <t>Resaltador colores surtidos</t>
    </r>
  </si>
  <si>
    <r>
      <rPr>
        <sz val="9"/>
        <rFont val="Arial MT"/>
        <family val="2"/>
      </rPr>
      <t>Revistero organizador</t>
    </r>
  </si>
  <si>
    <r>
      <rPr>
        <sz val="9"/>
        <rFont val="Arial MT"/>
        <family val="2"/>
      </rPr>
      <t>Saca ganchos metálicos cromado para Grapa. Guardas de dedos en plástico
ABS de Alta resistencia. Puntas metálicas fuertes.</t>
    </r>
  </si>
  <si>
    <r>
      <rPr>
        <sz val="9"/>
        <rFont val="Arial MT"/>
        <family val="2"/>
      </rPr>
      <t>Sobre papel blanco para CD o DVD</t>
    </r>
  </si>
  <si>
    <r>
      <rPr>
        <sz val="9"/>
        <rFont val="Arial MT"/>
        <family val="2"/>
      </rPr>
      <t>Sobre catalogo en papel Bond blanco de mínimo 90 g, Tamaño Carta,
blanco sin adhesivo</t>
    </r>
  </si>
  <si>
    <r>
      <rPr>
        <sz val="9"/>
        <rFont val="Arial MT"/>
        <family val="2"/>
      </rPr>
      <t>Sobre De Manila carta de 75 grs Paquete X 100</t>
    </r>
  </si>
  <si>
    <r>
      <rPr>
        <sz val="9"/>
        <rFont val="Arial MT"/>
        <family val="2"/>
      </rPr>
      <t>Sobre de Manila de 75 grs, Jumbo, Paquete X 50</t>
    </r>
  </si>
  <si>
    <r>
      <rPr>
        <sz val="9"/>
        <rFont val="Arial MT"/>
        <family val="2"/>
      </rPr>
      <t>Paquete x 50</t>
    </r>
  </si>
  <si>
    <r>
      <rPr>
        <sz val="9"/>
        <rFont val="Arial MT"/>
        <family val="2"/>
      </rPr>
      <t>Sobre De Manila Extra-Oficio de 75 grs, Paquete X 50</t>
    </r>
  </si>
  <si>
    <r>
      <rPr>
        <sz val="9"/>
        <rFont val="Arial MT"/>
        <family val="2"/>
      </rPr>
      <t>Sobre De Manila Oficio de 75 grs, Paquete X 100</t>
    </r>
  </si>
  <si>
    <r>
      <rPr>
        <sz val="9"/>
        <rFont val="Arial MT"/>
        <family val="2"/>
      </rPr>
      <t>Tabla Planillero bordes Redondeados. En Poliestireno o acrílico. Tamaño: 35 cm alto x 2 3 cm largo - tamaño oficio Clip: 8 cm alto x 20 cm largo</t>
    </r>
  </si>
  <si>
    <r>
      <rPr>
        <sz val="9"/>
        <rFont val="Arial MT"/>
        <family val="2"/>
      </rPr>
      <t>Tablero de corcho 1.20 cm de Ancho y 80 cm de largo</t>
    </r>
  </si>
  <si>
    <r>
      <rPr>
        <sz val="9"/>
        <rFont val="Arial MT"/>
        <family val="2"/>
      </rPr>
      <t>Tablero en acrílico con cuadricula, marco de madera de 1.50 cm ancho x
1.20 cm largo</t>
    </r>
  </si>
  <si>
    <r>
      <rPr>
        <sz val="9"/>
        <rFont val="Arial MT"/>
        <family val="2"/>
      </rPr>
      <t>Tablero en acrílico con cuadricula, marco de madera de 1.20 cm ancho X 80
cm largo</t>
    </r>
  </si>
  <si>
    <r>
      <rPr>
        <sz val="9"/>
        <rFont val="Arial MT"/>
        <family val="2"/>
      </rPr>
      <t>Tajalápiz eléctrico, Voltios 110v</t>
    </r>
  </si>
  <si>
    <r>
      <rPr>
        <sz val="9"/>
        <rFont val="Arial MT"/>
        <family val="2"/>
      </rPr>
      <t>Tajalápiz metálico, con cuchilla de acero inoxidable, 1 orificio para minas de
2mm, Forma anatómica para uso manual</t>
    </r>
  </si>
  <si>
    <r>
      <rPr>
        <sz val="9"/>
        <rFont val="Arial MT"/>
        <family val="2"/>
      </rPr>
      <t>Tapabocas de 3 pliegues con cordón elástico color blanco</t>
    </r>
  </si>
  <si>
    <r>
      <rPr>
        <sz val="9"/>
        <rFont val="Arial MT"/>
        <family val="2"/>
      </rPr>
      <t>Tarjeta PVC Calibre 30 tipo credencial. Calibre 30 color blanco 8.5 cm x 5.4
cm o tamaño similar. Para Carnet Institucional Paquete X 100</t>
    </r>
  </si>
  <si>
    <r>
      <rPr>
        <sz val="9"/>
        <rFont val="Arial MT"/>
        <family val="2"/>
      </rPr>
      <t>Tijera De Acero Inoxidable con agarraderas recubiertas en plástico o caucho</t>
    </r>
  </si>
  <si>
    <r>
      <rPr>
        <sz val="9"/>
        <rFont val="Arial MT"/>
        <family val="2"/>
      </rPr>
      <t>Tijeras Punta Roma con agarraderas recubiertas en plástico o caucho</t>
    </r>
  </si>
  <si>
    <r>
      <rPr>
        <sz val="9"/>
        <rFont val="Arial MT"/>
        <family val="2"/>
      </rPr>
      <t>TINTA PARA PLOTTER HP 727 PK PHOTO BLACK 300 ML - ORIGINAL</t>
    </r>
  </si>
  <si>
    <r>
      <rPr>
        <sz val="9"/>
        <rFont val="Arial MT"/>
        <family val="2"/>
      </rPr>
      <t>TINTA PARA PLOTTER HP 727 MK NEGRO 300 ML - ORIGINAL</t>
    </r>
  </si>
  <si>
    <r>
      <rPr>
        <sz val="9"/>
        <rFont val="Arial MT"/>
        <family val="2"/>
      </rPr>
      <t>TINTA PARA PLOTTER HP 727 YELLOW 300 ML - ORIGINAL</t>
    </r>
  </si>
  <si>
    <r>
      <rPr>
        <sz val="9"/>
        <rFont val="Arial MT"/>
        <family val="2"/>
      </rPr>
      <t>TINTA PARA PLOTTER HP 727 CYAN 300 ML - ORIGINAL</t>
    </r>
  </si>
  <si>
    <r>
      <rPr>
        <sz val="9"/>
        <rFont val="Arial MT"/>
        <family val="2"/>
      </rPr>
      <t>TINTA PARA PLOTTER HP 727 GRIS 300 ML - ORIGINAL</t>
    </r>
  </si>
  <si>
    <r>
      <rPr>
        <sz val="9"/>
        <rFont val="Arial MT"/>
        <family val="2"/>
      </rPr>
      <t>TINTA PARA PLOTTER HP 727 MAGENTA 300 ML - ORIGINAL</t>
    </r>
  </si>
  <si>
    <r>
      <rPr>
        <sz val="9"/>
        <rFont val="Arial MT"/>
        <family val="2"/>
      </rPr>
      <t>Tinta para sello - NEGRO 15ML</t>
    </r>
  </si>
  <si>
    <r>
      <rPr>
        <sz val="9"/>
        <rFont val="Arial MT"/>
        <family val="2"/>
      </rPr>
      <t>Tinta para sello - ROJO 15ML</t>
    </r>
  </si>
  <si>
    <r>
      <rPr>
        <sz val="9"/>
        <rFont val="Arial MT"/>
        <family val="2"/>
      </rPr>
      <t>Vinipel industrial de 50 cms ancho x 700 mts largo calibre 8</t>
    </r>
  </si>
  <si>
    <r>
      <rPr>
        <sz val="9"/>
        <rFont val="Arial MT"/>
        <family val="2"/>
      </rPr>
      <t>Cartucho de tóner hp laserjet print cartridge CF281XC negro - original</t>
    </r>
  </si>
  <si>
    <r>
      <rPr>
        <b/>
        <sz val="9"/>
        <rFont val="Arial"/>
        <family val="2"/>
      </rPr>
      <t xml:space="preserve">Cajas X-200 para archivo calibre 790kgf/m con las siguientes
características:
</t>
    </r>
    <r>
      <rPr>
        <sz val="9"/>
        <rFont val="Arial MT"/>
        <family val="2"/>
      </rPr>
      <t xml:space="preserve">Pulpas: El cartón debe estar libre de pulpas recicladas (ASTM D 1030:1999), lignificadas (NTC 998: 1975 o TAPPI 222: 2002) y libre de cloro residual según el Método Mohr (TAPPI 611:1997).
Valor pH: El valor pH del cartón debe ser neutro o alcalino (pH ³ 7) según (TAPPI T 509: 2002 o ISO 6588: 1992).
Reserva alcalina: Si el cartón tiene reserva alcalina, debe estar entre 3 % y 5
%, expresada como carbonato de calcio según (TAPPI T 553: 2000 o ISO 10716:2003 o ASTM D 4988:2001).
Diseño: Incluye una apertura frontal con pliegue en el costado izquierdo y pestaña para su manipulación. Las cajas no deben tener perforaciones que faciliten la entrada de polvo e insectos.
Resistencia: El cartón corrugado debe tener una resistencia mínima a la compresión vertical (RCV) de 790 ó 930 kgf/m y una resistencia mínima al aplastamiento horizontal de 2 kgf/cm2.
Recubrimiento interno: Debido a la composición del cartón corrugado, este material tiene un valor de pH inferior a 7, para evitar la migración de ácido a los documentos, el cartón debe contar con un recubrimiento interior constituido por una película transparente de material inerte con base en ceras neutras, películas poliméricas, emulsión de parafinas o ceras vegetales. La película debe ser químicamente estable, con un pH neutro, debe ser insoluble en agua, no presentar untuosidad al tacto y no experimentar adherencia sobre los documentos. En ningún caso se deben usar cartones que tengan un recubrimiento cuyo único componente sea parafina.
Para validar este aspecto, la SDHT puede implementar la prueba de la gota: Medición del ángulo de contacto con el agua por métodos ópticos y el Método de prueba TAPPI/ANSI T 835 om-22. Absorción de agua del medio corrugado: prueba de absorción de gotas de agua, basado en la ISO/TS 14778:2021 Papel y cartón.
Acabado: El cartón corrugado debe tener un acabado liso, suave, libre de partículas abrasivas u otras imperfecciones
</t>
    </r>
    <r>
      <rPr>
        <vertAlign val="subscript"/>
        <sz val="9"/>
        <rFont val="Arial MT"/>
        <family val="2"/>
      </rPr>
      <t>C</t>
    </r>
    <r>
      <rPr>
        <sz val="9"/>
        <rFont val="Arial MT"/>
        <family val="2"/>
      </rPr>
      <t>R</t>
    </r>
    <r>
      <rPr>
        <vertAlign val="subscript"/>
        <sz val="9"/>
        <rFont val="Arial MT"/>
        <family val="2"/>
      </rPr>
      <t>a</t>
    </r>
    <r>
      <rPr>
        <sz val="9"/>
        <rFont val="Arial MT"/>
        <family val="2"/>
      </rPr>
      <t>e</t>
    </r>
    <r>
      <rPr>
        <vertAlign val="subscript"/>
        <sz val="9"/>
        <rFont val="Arial MT"/>
        <family val="2"/>
      </rPr>
      <t>r</t>
    </r>
    <r>
      <rPr>
        <sz val="9"/>
        <rFont val="Arial MT"/>
        <family val="2"/>
      </rPr>
      <t>s</t>
    </r>
    <r>
      <rPr>
        <vertAlign val="subscript"/>
        <sz val="9"/>
        <rFont val="Arial MT"/>
        <family val="2"/>
      </rPr>
      <t>p</t>
    </r>
    <r>
      <rPr>
        <sz val="9"/>
        <rFont val="Arial MT"/>
        <family val="2"/>
      </rPr>
      <t>is</t>
    </r>
    <r>
      <rPr>
        <vertAlign val="subscript"/>
        <sz val="9"/>
        <rFont val="Arial MT"/>
        <family val="2"/>
      </rPr>
      <t>e</t>
    </r>
    <r>
      <rPr>
        <sz val="9"/>
        <rFont val="Arial MT"/>
        <family val="2"/>
      </rPr>
      <t>t</t>
    </r>
    <r>
      <rPr>
        <vertAlign val="subscript"/>
        <sz val="9"/>
        <rFont val="Arial MT"/>
        <family val="2"/>
      </rPr>
      <t>t</t>
    </r>
    <r>
      <rPr>
        <sz val="9"/>
        <rFont val="Arial MT"/>
        <family val="2"/>
      </rPr>
      <t>e</t>
    </r>
    <r>
      <rPr>
        <vertAlign val="subscript"/>
        <sz val="9"/>
        <rFont val="Arial MT"/>
        <family val="2"/>
      </rPr>
      <t>a</t>
    </r>
    <r>
      <rPr>
        <sz val="9"/>
        <rFont val="Arial MT"/>
        <family val="2"/>
      </rPr>
      <t>n</t>
    </r>
    <r>
      <rPr>
        <vertAlign val="subscript"/>
        <sz val="9"/>
        <rFont val="Arial MT"/>
        <family val="2"/>
      </rPr>
      <t>s</t>
    </r>
    <r>
      <rPr>
        <sz val="9"/>
        <rFont val="Arial MT"/>
        <family val="2"/>
      </rPr>
      <t>c</t>
    </r>
    <r>
      <rPr>
        <vertAlign val="subscript"/>
        <sz val="9"/>
        <rFont val="Arial MT"/>
        <family val="2"/>
      </rPr>
      <t>d</t>
    </r>
    <r>
      <rPr>
        <sz val="9"/>
        <rFont val="Arial MT"/>
        <family val="2"/>
      </rPr>
      <t>ia</t>
    </r>
    <r>
      <rPr>
        <vertAlign val="subscript"/>
        <sz val="9"/>
        <rFont val="Arial MT"/>
        <family val="2"/>
      </rPr>
      <t>os</t>
    </r>
    <r>
      <rPr>
        <sz val="9"/>
        <rFont val="Arial MT"/>
        <family val="2"/>
      </rPr>
      <t>al</t>
    </r>
    <r>
      <rPr>
        <vertAlign val="subscript"/>
        <sz val="9"/>
        <rFont val="Arial MT"/>
        <family val="2"/>
      </rPr>
      <t>ta</t>
    </r>
    <r>
      <rPr>
        <sz val="9"/>
        <rFont val="Arial MT"/>
        <family val="2"/>
      </rPr>
      <t>d</t>
    </r>
    <r>
      <rPr>
        <vertAlign val="subscript"/>
        <sz val="9"/>
        <rFont val="Arial MT"/>
        <family val="2"/>
      </rPr>
      <t>p</t>
    </r>
    <r>
      <rPr>
        <sz val="9"/>
        <rFont val="Arial MT"/>
        <family val="2"/>
      </rPr>
      <t>o</t>
    </r>
    <r>
      <rPr>
        <vertAlign val="subscript"/>
        <sz val="9"/>
        <rFont val="Arial MT"/>
        <family val="2"/>
      </rPr>
      <t>a</t>
    </r>
    <r>
      <rPr>
        <sz val="9"/>
        <rFont val="Arial MT"/>
        <family val="2"/>
      </rPr>
      <t>b</t>
    </r>
    <r>
      <rPr>
        <vertAlign val="subscript"/>
        <sz val="9"/>
        <rFont val="Arial MT"/>
        <family val="2"/>
      </rPr>
      <t>s</t>
    </r>
    <r>
      <rPr>
        <sz val="9"/>
        <rFont val="Arial MT"/>
        <family val="2"/>
      </rPr>
      <t>le</t>
    </r>
    <r>
      <rPr>
        <vertAlign val="subscript"/>
        <sz val="9"/>
        <rFont val="Arial MT"/>
        <family val="2"/>
      </rPr>
      <t>d</t>
    </r>
    <r>
      <rPr>
        <sz val="9"/>
        <rFont val="Arial MT"/>
        <family val="2"/>
      </rPr>
      <t>z:</t>
    </r>
    <r>
      <rPr>
        <vertAlign val="subscript"/>
        <sz val="9"/>
        <rFont val="Arial MT"/>
        <family val="2"/>
      </rPr>
      <t>e</t>
    </r>
    <r>
      <rPr>
        <sz val="9"/>
        <rFont val="Arial MT"/>
        <family val="2"/>
      </rPr>
      <t>E</t>
    </r>
    <r>
      <rPr>
        <vertAlign val="subscript"/>
        <sz val="9"/>
        <rFont val="Arial MT"/>
        <family val="2"/>
      </rPr>
      <t>y</t>
    </r>
    <r>
      <rPr>
        <sz val="9"/>
        <rFont val="Arial MT"/>
        <family val="2"/>
      </rPr>
      <t>l</t>
    </r>
    <r>
      <rPr>
        <vertAlign val="subscript"/>
        <sz val="9"/>
        <rFont val="Arial MT"/>
        <family val="2"/>
      </rPr>
      <t>u</t>
    </r>
    <r>
      <rPr>
        <sz val="9"/>
        <rFont val="Arial MT"/>
        <family val="2"/>
      </rPr>
      <t>c</t>
    </r>
    <r>
      <rPr>
        <vertAlign val="subscript"/>
        <sz val="9"/>
        <rFont val="Arial MT"/>
        <family val="2"/>
      </rPr>
      <t>te</t>
    </r>
    <r>
      <rPr>
        <sz val="9"/>
        <rFont val="Arial MT"/>
        <family val="2"/>
      </rPr>
      <t>ar</t>
    </r>
    <r>
      <rPr>
        <vertAlign val="subscript"/>
        <sz val="9"/>
        <rFont val="Arial MT"/>
        <family val="2"/>
      </rPr>
      <t>p</t>
    </r>
    <r>
      <rPr>
        <sz val="9"/>
        <rFont val="Arial MT"/>
        <family val="2"/>
      </rPr>
      <t>tó</t>
    </r>
    <r>
      <rPr>
        <vertAlign val="subscript"/>
        <sz val="9"/>
        <rFont val="Arial MT"/>
        <family val="2"/>
      </rPr>
      <t>a</t>
    </r>
    <r>
      <rPr>
        <sz val="9"/>
        <rFont val="Arial MT"/>
        <family val="2"/>
      </rPr>
      <t>n</t>
    </r>
    <r>
      <rPr>
        <vertAlign val="subscript"/>
        <sz val="9"/>
        <rFont val="Arial MT"/>
        <family val="2"/>
      </rPr>
      <t>ra</t>
    </r>
    <r>
      <rPr>
        <sz val="9"/>
        <rFont val="Arial MT"/>
        <family val="2"/>
      </rPr>
      <t>d</t>
    </r>
    <r>
      <rPr>
        <vertAlign val="subscript"/>
        <sz val="9"/>
        <rFont val="Arial MT"/>
        <family val="2"/>
      </rPr>
      <t>a</t>
    </r>
    <r>
      <rPr>
        <sz val="9"/>
        <rFont val="Arial MT"/>
        <family val="2"/>
      </rPr>
      <t>e</t>
    </r>
    <r>
      <rPr>
        <vertAlign val="subscript"/>
        <sz val="9"/>
        <rFont val="Arial MT"/>
        <family val="2"/>
      </rPr>
      <t>r</t>
    </r>
    <r>
      <rPr>
        <sz val="9"/>
        <rFont val="Arial MT"/>
        <family val="2"/>
      </rPr>
      <t>b</t>
    </r>
    <r>
      <rPr>
        <vertAlign val="subscript"/>
        <sz val="9"/>
        <rFont val="Arial MT"/>
        <family val="2"/>
      </rPr>
      <t>c</t>
    </r>
    <r>
      <rPr>
        <sz val="9"/>
        <rFont val="Arial MT"/>
        <family val="2"/>
      </rPr>
      <t>e</t>
    </r>
    <r>
      <rPr>
        <vertAlign val="subscript"/>
        <sz val="9"/>
        <rFont val="Arial MT"/>
        <family val="2"/>
      </rPr>
      <t>hi</t>
    </r>
    <r>
      <rPr>
        <sz val="9"/>
        <rFont val="Arial MT"/>
        <family val="2"/>
      </rPr>
      <t>t</t>
    </r>
    <r>
      <rPr>
        <vertAlign val="subscript"/>
        <sz val="9"/>
        <rFont val="Arial MT"/>
        <family val="2"/>
      </rPr>
      <t>v</t>
    </r>
    <r>
      <rPr>
        <sz val="9"/>
        <rFont val="Arial MT"/>
        <family val="2"/>
      </rPr>
      <t>e</t>
    </r>
    <r>
      <rPr>
        <vertAlign val="subscript"/>
        <sz val="9"/>
        <rFont val="Arial MT"/>
        <family val="2"/>
      </rPr>
      <t>o</t>
    </r>
    <r>
      <rPr>
        <sz val="9"/>
        <rFont val="Arial MT"/>
        <family val="2"/>
      </rPr>
      <t>ne</t>
    </r>
    <r>
      <rPr>
        <vertAlign val="subscript"/>
        <sz val="9"/>
        <rFont val="Arial MT"/>
        <family val="2"/>
      </rPr>
      <t>ta</t>
    </r>
    <r>
      <rPr>
        <sz val="9"/>
        <rFont val="Arial MT"/>
        <family val="2"/>
      </rPr>
      <t>r</t>
    </r>
    <r>
      <rPr>
        <vertAlign val="subscript"/>
        <sz val="9"/>
        <rFont val="Arial MT"/>
        <family val="2"/>
      </rPr>
      <t>m</t>
    </r>
    <r>
      <rPr>
        <sz val="9"/>
        <rFont val="Arial MT"/>
        <family val="2"/>
      </rPr>
      <t>un</t>
    </r>
    <r>
      <rPr>
        <vertAlign val="subscript"/>
        <sz val="9"/>
        <rFont val="Arial MT"/>
        <family val="2"/>
      </rPr>
      <t>a</t>
    </r>
    <r>
      <rPr>
        <sz val="9"/>
        <rFont val="Arial MT"/>
        <family val="2"/>
      </rPr>
      <t>a</t>
    </r>
    <r>
      <rPr>
        <vertAlign val="subscript"/>
        <sz val="9"/>
        <rFont val="Arial MT"/>
        <family val="2"/>
      </rPr>
      <t>ño</t>
    </r>
    <r>
      <rPr>
        <sz val="9"/>
        <rFont val="Arial MT"/>
        <family val="2"/>
      </rPr>
      <t>re</t>
    </r>
    <r>
      <rPr>
        <vertAlign val="subscript"/>
        <sz val="9"/>
        <rFont val="Arial MT"/>
        <family val="2"/>
      </rPr>
      <t>o</t>
    </r>
    <r>
      <rPr>
        <sz val="9"/>
        <rFont val="Arial MT"/>
        <family val="2"/>
      </rPr>
      <t>s</t>
    </r>
    <r>
      <rPr>
        <vertAlign val="subscript"/>
        <sz val="9"/>
        <rFont val="Arial MT"/>
        <family val="2"/>
      </rPr>
      <t>f</t>
    </r>
    <r>
      <rPr>
        <sz val="9"/>
        <rFont val="Arial MT"/>
        <family val="2"/>
      </rPr>
      <t>i</t>
    </r>
    <r>
      <rPr>
        <vertAlign val="subscript"/>
        <sz val="9"/>
        <rFont val="Arial MT"/>
        <family val="2"/>
      </rPr>
      <t>i</t>
    </r>
    <r>
      <rPr>
        <sz val="9"/>
        <rFont val="Arial MT"/>
        <family val="2"/>
      </rPr>
      <t>s</t>
    </r>
    <r>
      <rPr>
        <vertAlign val="subscript"/>
        <sz val="9"/>
        <rFont val="Arial MT"/>
        <family val="2"/>
      </rPr>
      <t>c</t>
    </r>
    <r>
      <rPr>
        <sz val="9"/>
        <rFont val="Arial MT"/>
        <family val="2"/>
      </rPr>
      <t>t</t>
    </r>
    <r>
      <rPr>
        <vertAlign val="subscript"/>
        <sz val="9"/>
        <rFont val="Arial MT"/>
        <family val="2"/>
      </rPr>
      <t>i</t>
    </r>
    <r>
      <rPr>
        <sz val="9"/>
        <rFont val="Arial MT"/>
        <family val="2"/>
      </rPr>
      <t>e</t>
    </r>
    <r>
      <rPr>
        <vertAlign val="subscript"/>
        <sz val="9"/>
        <rFont val="Arial MT"/>
        <family val="2"/>
      </rPr>
      <t>o.</t>
    </r>
    <r>
      <rPr>
        <sz val="9"/>
        <rFont val="Arial MT"/>
        <family val="2"/>
      </rPr>
      <t>ncia al doblez de por</t>
    </r>
  </si>
  <si>
    <r>
      <rPr>
        <sz val="9"/>
        <rFont val="Arial MT"/>
        <family val="2"/>
      </rPr>
      <t>1 juego - Legajador</t>
    </r>
  </si>
  <si>
    <r>
      <rPr>
        <b/>
        <sz val="9"/>
        <rFont val="Arial"/>
        <family val="2"/>
      </rPr>
      <t xml:space="preserve">Observaciones: </t>
    </r>
    <r>
      <rPr>
        <sz val="9"/>
        <rFont val="Arial MT"/>
        <family val="2"/>
      </rPr>
      <t>Se efectuará los descuentos de ley del orden Nacional y Distrital según las normas vigentes, de acuerdo con la información tributaria suministrada por el contratista a la Entidad y con la actividad objeto del contrato. Así mismo, dará estricto cumplimiento al descuento del uno punto uno por ciento (1.1%) del valor bruto del contrato y de la respectiva adición, si la hubiere, por concepto de gravamen de Estampilla Universidad Distrital Francisco José de Caldas, prevista en el Acuerdo 696 de 2017 del Concejo de Bogotá y el Decreto 250 de 2018 y conforme con sus modificaciones de ley. Además, retendrá el valor de las Estampillas “PRO – CULTURA” creada mediante Acuerdo 187 del 2005 equivalente al 0.5% del valor del contrato antes de IVA y de la respectiva adición,   si la hubiere, y “PRO-PERSONAS MAYORES”, creada mediante acuerdo 188 del 2005 modificado por el Acuerdo 645 del 9 de junio de 2016, equivalente al 2% del valor del contrato antes de IVA, y de la respectiva adición, si la hubiere.</t>
    </r>
  </si>
  <si>
    <r>
      <rPr>
        <sz val="9"/>
        <rFont val="Arial MT"/>
        <family val="2"/>
      </rPr>
      <t xml:space="preserve">Luis Francisco Guayambuco Quintero </t>
    </r>
    <r>
      <rPr>
        <u/>
        <sz val="9"/>
        <rFont val="Arial MT"/>
        <family val="2"/>
      </rPr>
      <t>                                                                           </t>
    </r>
  </si>
  <si>
    <r>
      <rPr>
        <sz val="9"/>
        <rFont val="Arial MT"/>
        <family val="2"/>
      </rPr>
      <t>CC: 19,149,153</t>
    </r>
  </si>
  <si>
    <r>
      <rPr>
        <sz val="9"/>
        <rFont val="Arial MT"/>
        <family val="2"/>
      </rPr>
      <t>Representante legal - BELPAPEL SAS</t>
    </r>
  </si>
  <si>
    <r>
      <rPr>
        <sz val="9"/>
        <rFont val="Arial MT"/>
        <family val="2"/>
      </rPr>
      <t>NIT: 830027771-9</t>
    </r>
  </si>
  <si>
    <r>
      <rPr>
        <b/>
        <sz val="9"/>
        <color rgb="FFFF0000"/>
        <rFont val="Calibri Light"/>
        <family val="2"/>
      </rPr>
      <t>Hasta el 31 de diciembre de 2026</t>
    </r>
  </si>
  <si>
    <t>DESCRIPCIÓN DEL BIEN</t>
  </si>
  <si>
    <t>UNIDAD DE MEDIDA</t>
  </si>
  <si>
    <t xml:space="preserve">PRECIOS UNITARIOS OFERTADOS CON IVA </t>
  </si>
  <si>
    <t>Agendas hojas interiores de papel bond de 70 grs. Tamaño: 17 cm x 24.5 cm. Mínimo 200 hojas. Tapa dura</t>
  </si>
  <si>
    <t>Almohadilla Dactilar Recargable para sellos, Cascara en poliestireno de alto impacto/ caja plástica rígida, Ancho 90 a 110 mm; largo/longitud 125 a 135 mm</t>
  </si>
  <si>
    <t>Caja</t>
  </si>
  <si>
    <t>Banderitas-Mini-Banderitas- Señales Autoadhesivas de media pulgada por 5 colores, plasticas, Con adhesivo en la punta y en una cara de la banderita</t>
  </si>
  <si>
    <t>Bisturí 18 cm Plástico con bloqueo de la cuchilla y con corta cuchilla.</t>
  </si>
  <si>
    <t>Bolígrafo de mina negra retráctil, escritura suave e intensa</t>
  </si>
  <si>
    <t>Bolígrafo de mina roja retráctil, escritura suave e intensa</t>
  </si>
  <si>
    <t>Borrador para Tablero acrílico, Elaborado con felpa sintética, fieltro o paño chalet. La base debe ser en madera o plástico</t>
  </si>
  <si>
    <t>CAJA DE CHINCHES TRITON X 50 UNIDADES</t>
  </si>
  <si>
    <t>CAJA DE CORRECTORES LIQUIDO X 12 UND, presentación en lápiz, con punta metálica</t>
  </si>
  <si>
    <t>Cajas X-200 para archivo (cantidad minima a solicitar: 1.000 unds) especificaciones completas en anexo tecnico)</t>
  </si>
  <si>
    <t>CARGADOR PILAS AA</t>
  </si>
  <si>
    <t>CARGADOR PILAS AAA</t>
  </si>
  <si>
    <t>Carpeta dos tapas en yute para archivo (cantidad minima a solicitar: 3.000 unds) especificaciones completas en anexo tecnico)</t>
  </si>
  <si>
    <t>Juego</t>
  </si>
  <si>
    <t xml:space="preserve">Cartucho de Toner HP 81A Negro LaserJer original </t>
  </si>
  <si>
    <t>Cartulina Oficio Blanca, de 150 a 165 g/m2</t>
  </si>
  <si>
    <t>Paquete x 100 Unidades</t>
  </si>
  <si>
    <t>Paquete x 25 Unidades</t>
  </si>
  <si>
    <t>Cera Para Contar - Cera Dactilar Cuenta Fácil, Cera dactilar cuenta fácil de 14 grs a 20 grs., Pasta incolora a base de glicerina, Envase de polipropileno de fácil sellado con tapa</t>
  </si>
  <si>
    <t>Cinta Adhesiva De Empaque de polipropileno de 48mm*50 mts</t>
  </si>
  <si>
    <t>Cinta Adhesiva Para Enmascarar 12 mm, x 40 mts</t>
  </si>
  <si>
    <t>Cinta Adhesiva Para Enmascarar 48 mm, x 40 mts</t>
  </si>
  <si>
    <t>CINTA PARA IMPRESORA DE CARNET DATACARD - PRINT RIBBON, YMCKT SD 534700-001-R098. IMPRESORA XSP CARD PRINTER MODEL NUMBER PC10, MARKETING NAME SD160, 1187 PARK PLACE, SHAKOPEE, MC55379, FCC ID: 6DI-Q20010, IC:88913-Q20010</t>
  </si>
  <si>
    <t>Cosedora de Oficina mínimo 30 Hojas, resistente y fuerte, liviana, Medidas aproximadas de 186 mm largo x 64 mm alto x 44 mm ancho</t>
  </si>
  <si>
    <t>Cosedora Eléctrica, Profundidad de grapado 10mm aproxidamente, Voltios 110v, Capacidad de cocido 20 hojas a la vez</t>
  </si>
  <si>
    <t>Disco duro mecanico Toshiba de 4 teras para DVR</t>
  </si>
  <si>
    <t>Dvd-R Paquete X 50, Mayor o igual a 4,7 GB mínimo de velocidad de
grabado 4x o más</t>
  </si>
  <si>
    <t>Esferos tipo gel en colores surtidos und.</t>
  </si>
  <si>
    <t>Gancho cosedora estándar Alambre metálico cobrizado/ galvanizado</t>
  </si>
  <si>
    <t>Caja x 5000 unds</t>
  </si>
  <si>
    <t>Gancho cosedora industrial Alambre metálico cobrizado/ galvanizado</t>
  </si>
  <si>
    <t>Caja x 1000 unds</t>
  </si>
  <si>
    <t xml:space="preserve">Gancho Legajador polipropileno anticortanté (dos piezas) para perforaciones de 7 y 8 cm. capacidad de 250 hojas. </t>
  </si>
  <si>
    <t>caja x 20 Unidades</t>
  </si>
  <si>
    <t>Grapa cobrizada 9-23/10 Alambre metálico cobrizado/ galvanizado</t>
  </si>
  <si>
    <t>Caja x 100 unds</t>
  </si>
  <si>
    <t>Guía En Cartulina Carta Paquete X 5, Cartulina de mínimo 150g. El material debe cumplir con las especificaciones en la NTC 5397:2005. 5 perforaciones laterales Ceja de identificación</t>
  </si>
  <si>
    <t>Lápiz de escritura madera forma hexagonal de mina negra de grafito HB #2, con borrador asegurado en casquillo de metal sin bordes afilados ni cortantes con borrador que no manche ni rompe el papel, banda roja de calidad controlada. De producción nacional preferiblemente</t>
  </si>
  <si>
    <t>Caja x 12 unds</t>
  </si>
  <si>
    <t>Lápiz de escritura madera forma hexagonal de mina roja de grafito HB #2, con borrador asegurado en casquillo de metal sin bordes afilados ni cortantes con borrador que no manche ni rompe el papel, banda roja de calidad controlada. De producción nacional preferiblemente</t>
  </si>
  <si>
    <t>Libro De Actas 100 Folios, tamaño 32 a 34 cm largo por 20 a 23 de ancho para registro papel bond mínimo entre 56 a 60g, tapa en cartón plastificado, 100 folios rayados</t>
  </si>
  <si>
    <t>Libro De Actas 200 Folios,  tamaño 32 a 34 cm largo por 20 a 23 de ancho para registro papel bond mínimo entre 56 a 60g, tapa en cartón plastificado, 200 folios rayados</t>
  </si>
  <si>
    <t xml:space="preserve">Marcado borrable negro </t>
  </si>
  <si>
    <t xml:space="preserve">Marcador borrable colores surtidos </t>
  </si>
  <si>
    <t>Marcador permanente alto rendimiento punta fina, cuerpo y tapa en polipropileno, Color negro, verde, azul o rojo, Tinta indeleble a base de alcohol de secado rápido, para escribir sobre cualquier superficie</t>
  </si>
  <si>
    <t>caja x 10 unds</t>
  </si>
  <si>
    <t xml:space="preserve">Marcador permanente de punta delgada colores surtidos </t>
  </si>
  <si>
    <t>Paquete x 6</t>
  </si>
  <si>
    <t>Marcador permanente, Cuerpo y tapa en polipropileno, Color negro, verde, azul o rojo, Tinta indeleble a base de alcohol de secado rápido, calor y humedad, para escribir sobre cualquier superficie alto rendimiento varios colores, Longitud de cuerpo entre 120 - 155 mm, diámetro 12 - 18 mm, Punta gruesa biselada con trazo de 2,3 mm a 4,9 mm Cierre hermético</t>
  </si>
  <si>
    <t>Memoria usb minimo 8 gb</t>
  </si>
  <si>
    <t>unidad</t>
  </si>
  <si>
    <t xml:space="preserve">Micropunta colores surtidos </t>
  </si>
  <si>
    <t>Paquete x 8</t>
  </si>
  <si>
    <t>Notas Autoadhesivas Estándar/ Taco/ Bloque/ Cubo De Mínimo 100 Hojas</t>
  </si>
  <si>
    <t xml:space="preserve">Taco x 100 </t>
  </si>
  <si>
    <t>Papel Bond 75G Carta, El material debe cumplir con la NTC 4436:1998 y la NTC 5397, Resmas de 500 hojas</t>
  </si>
  <si>
    <t>Papel Bond 75G Oficio, El material debe cumplir con la NTC 4436:1998 y la NTC 5397, Resmas de 500 hojas</t>
  </si>
  <si>
    <t>Papel Bond 90 grms para plotter (HP 727) Medidas en el rango de 90 cms a 100 cms de ancho, rollo largo 50 mts minimo</t>
  </si>
  <si>
    <t xml:space="preserve">Papel carbón </t>
  </si>
  <si>
    <t>Papel kraft  mínimo 60g, Rollo 48 pulgadas de ancho x minimo 210 metros de largo</t>
  </si>
  <si>
    <t>Pegante En Barra Tubo*Mínimo 40 g, Gelificante, glicerina, y polivinilpirrolidona en
agua sin componentes tóxicos, Forma redonda, cierre hermético</t>
  </si>
  <si>
    <t>Pegante Instantáneo, resistente al agua, seca transparente, para utilizar en porcelana, metal, hule, piel, madera, plástico, papel, Adhesivo instantáneo transparente, con aplicador y tapa. Envase de mínimo 5 3 grs</t>
  </si>
  <si>
    <t>Perforadora Industrial 2 Huecos con una distancia entre huecos de 8cm, con capacidad superior a 50 hojas metálica, con regleta ajustable.</t>
  </si>
  <si>
    <t>Perforadora metalica 3 Huecos con una distancia entre huecos de 10.8 o 11</t>
  </si>
  <si>
    <t>PILA AA NO RECARGABLE PAR</t>
  </si>
  <si>
    <t>Portaminas 0,5 mm, plastico, Zona de agarre en caucho o plástico; Con borrador; Punta retráctil; Clip de sujeción</t>
  </si>
  <si>
    <t>Portaminas 0,7mm, plastico, Zona de agarre en caucho o plástico; Con borrador; Punta retráctil; Clip de sujeción</t>
  </si>
  <si>
    <t xml:space="preserve">Resaltador varios colores </t>
  </si>
  <si>
    <t>ROLLOS PAPEL PLOTTER</t>
  </si>
  <si>
    <t>Saca ganchos metálico cromado para Grapa. Guardas de dedos en plástico ABS de Alta resistencia. Puntas metálicas fuertes.</t>
  </si>
  <si>
    <t>Sobre blanco en papel Bond blanco de mínimo 90 gr para CD o DVD</t>
  </si>
  <si>
    <t>Sobre De Manila Extra Oficio de 75 grs, Paquete X 50</t>
  </si>
  <si>
    <t>Tabla Planillero bordes Redondeados. En Poliestireno o acrílico. Tamaño : 35 cm alto x 23 cm largo - tamaño oficio Clip : 8 cm alto x 20 cm largo</t>
  </si>
  <si>
    <t xml:space="preserve">Tablero de corcho 1.87  cm de Ancho y 1.20 cm de Alto </t>
  </si>
  <si>
    <t>Tablero en acrilico</t>
  </si>
  <si>
    <t>caja x 24</t>
  </si>
  <si>
    <t>Caja x 50 unds</t>
  </si>
  <si>
    <t>Tarjeta PVC Calibre 30 tipo credencial. Calibre 30 color blanco 8.5 cm x 5.4 cm o
tamaño similar. Para Carnet Institucional Paquete X 100</t>
  </si>
  <si>
    <t>Tinta para plotter HP 727 CYAN</t>
  </si>
  <si>
    <t>Tinta para plotter HP 727 GRIS</t>
  </si>
  <si>
    <t>Tinta para plotter HP 727 MAGENTA</t>
  </si>
  <si>
    <t>TINTA PARA SELLO NEGRA</t>
  </si>
  <si>
    <t xml:space="preserve">Vinipel industrial de 50 cms ancho x 700 mts largo calibre 8 </t>
  </si>
  <si>
    <t>VALOR TOTAL SUMATORIA ITEMS UNITARIOS PRECIOS TECHOS IVA INCLUIDO</t>
  </si>
  <si>
    <t>VALOR TOTAL SUMATORIA ITEMS UNITARIOS PRECIOS PROPUESTA IVA INCLUIDO</t>
  </si>
  <si>
    <t>MARGARITA ANGIE MARIA VELASQUEZ CHAVES</t>
  </si>
  <si>
    <t>C.C. 63.542.265</t>
  </si>
  <si>
    <t>TAFINCO SAS</t>
  </si>
  <si>
    <t>NIT 901.251.520-3</t>
  </si>
  <si>
    <t>DIRECCION CARRERA 119 80 22</t>
  </si>
  <si>
    <t>TEL 7504952</t>
  </si>
  <si>
    <t>Email: tafincosas@gmail.com</t>
  </si>
  <si>
    <t>Banderitas-Mini: Señales Autoadhesivas de media pulgada por 5 colores, plásticas, con adhesivo en la punta y en una cara de la banderita</t>
  </si>
  <si>
    <t>Caja De Chinches</t>
  </si>
  <si>
    <t>Cajas X-200 para archivo (cantidad mínima a solicitar: 1.000 unidades) especificaciones completas en Anexo Técnico)</t>
  </si>
  <si>
    <t>Cargador Pilas AA</t>
  </si>
  <si>
    <t>Cargador Pilas AAA</t>
  </si>
  <si>
    <t>Carpeta dos tapas en yute para archivo (cantidad mínima a solicitar: 3.000 unidades) especificaciones completas en Anexo Técnico)</t>
  </si>
  <si>
    <t>1 Juego</t>
  </si>
  <si>
    <t>Cartucho de Tóner HP 81A Negro LaserJer - ORIGINAL</t>
  </si>
  <si>
    <t xml:space="preserve">Cartulina Blanca - Octavo </t>
  </si>
  <si>
    <t xml:space="preserve">Cartulina Colores Surtidos - Octavo </t>
  </si>
  <si>
    <t>Cartucho de Cinta - EPSON LX-350/LX-300+II/LX-300+ (ORIGINAL)</t>
  </si>
  <si>
    <t>Cera para contar - Cera dactilar cuenta fácil de 14 grs a 20 grs., pasta incolora a base de glicerina, envase de polipropileno de fácil sellado con tapa.</t>
  </si>
  <si>
    <t>Cosedora de oficina mínimo 30 Hojas, resistente y fuerte, liviana, Medidas aproximadas de 186 mm largo x 64 mm alto x 44 mm ancho</t>
  </si>
  <si>
    <t>Disco duro mecánico Toshiba de 4 teras para DVR</t>
  </si>
  <si>
    <t xml:space="preserve">Funda transparente multitaladro tamaño carta </t>
  </si>
  <si>
    <t xml:space="preserve">Funda transparente multitaladro tamaño oficio </t>
  </si>
  <si>
    <t xml:space="preserve">Grapa estándar galvanizada para cosedora  </t>
  </si>
  <si>
    <t>Marcador borrable colores (rojo, verde, azul)</t>
  </si>
  <si>
    <t>Marcador permanente alto rendimiento punta fina, Color negro,</t>
  </si>
  <si>
    <t>Marcador permanente alto rendimiento punta fina Colores (verde, azul, rojo)</t>
  </si>
  <si>
    <t>Micropunta negro, 0,5 mm., Punta con soporte plástico., Alto rendimiento., Escritura suave</t>
  </si>
  <si>
    <t xml:space="preserve">Caja x 10 </t>
  </si>
  <si>
    <t>Micropunta colores (verde, azul o rojo)</t>
  </si>
  <si>
    <t>Papel Bond 90 grms para plotter (HP 727) Medidas en el rango de 90 cms a 100 cms de ancho, rollo largo 50 mts mínimo</t>
  </si>
  <si>
    <t>Pegante En Barra Tubo*Mínimo 40 g, Gelificante, glicerina, y polivinilpirrolidona en agua sin componentes tóxicos, Forma redonda, cierre hermético</t>
  </si>
  <si>
    <t>Pilas AA No Recargablos Par</t>
  </si>
  <si>
    <t>Pilas AAA No Recargablos Par</t>
  </si>
  <si>
    <t>Portaminas 0,7mm, plástico, zona de agarre en caucho o plástico; zon borrador; punta retráctil; clip de sujeción</t>
  </si>
  <si>
    <t>Resaltador por color (amarillo, azul, rosado, verde y naranja)</t>
  </si>
  <si>
    <t xml:space="preserve">Rollos Papel PLOTTER </t>
  </si>
  <si>
    <t>Tabla Planillero bordes Redondeados. En Poliestireno o acrílico. Tamaño: 35 cm alto x 23 cm largo - tamaño oficio Clip : 8 cm alto x 20 cm largo</t>
  </si>
  <si>
    <t xml:space="preserve">Tablero de corcho 1.87 cm de Ancho y 1.20 cm de Alto </t>
  </si>
  <si>
    <t>Tablero en acrílico</t>
  </si>
  <si>
    <t xml:space="preserve">Caja x 50 </t>
  </si>
  <si>
    <t>Tinta para plotter HP 727 PK PHOTO BLACK 300ml - ORIGINAL</t>
  </si>
  <si>
    <t>Tinta para plotter HP 727 MK NEGRO 300ml - ORIGINAL</t>
  </si>
  <si>
    <t>Tinta para plotter HP 727 YELLOW 300ml - ORIGINAL</t>
  </si>
  <si>
    <t>Tinta para plotter HP 727 CYAN 300ml - ORIGINAL</t>
  </si>
  <si>
    <t>Tinta para plotter HP 727 GRIS 300ml - ORIGINAL</t>
  </si>
  <si>
    <t>Tinta para plotter HP 727 MAGENTA 300ml - ORIGINAL</t>
  </si>
  <si>
    <t>Tinta para plotter HP 727 PK PHOTO BLACK 130ml - ORIGINAL</t>
  </si>
  <si>
    <t>Tinta para plotter HP 727 MK NEGRO 130ml - ORIGINAL</t>
  </si>
  <si>
    <t>Tinta para plotter HP 727 YELLOW 130ml - ORIGINAL</t>
  </si>
  <si>
    <t>Tinta para plotter HP 727 CYAN 130ml - ORIGINAL</t>
  </si>
  <si>
    <t>Tinta para plotter HP 727 GRIS 130ml - ORIGINAL</t>
  </si>
  <si>
    <t>Tinta para plotter HP 727 MAGENTA 130ml - ORIGINAL</t>
  </si>
  <si>
    <t>Tinta para sello - NEGRO</t>
  </si>
  <si>
    <t>Tinta para sello - ROJO</t>
  </si>
  <si>
    <t xml:space="preserve">VALOR TOTAL </t>
  </si>
  <si>
    <t>Agendas hojas interiores de papel bond de 70 grs. Tamaño: 17 cm x 24.5 cm. Mínim o 200 hojas. Tapa dura</t>
  </si>
  <si>
    <t>Cera para contar - Cera dactilar cuenta fácil de 14 grs a 20 grs., pasta inco lora a b ase de glicerina, envase de polipropileno de fácil sellado con tapa.</t>
  </si>
  <si>
    <r>
      <t xml:space="preserve">Lápiz de escritura madera forma hexagonal de </t>
    </r>
    <r>
      <rPr>
        <u/>
        <sz val="9"/>
        <color rgb="FF000000"/>
        <rFont val="Times New Roman"/>
        <family val="1"/>
      </rPr>
      <t>mina negra</t>
    </r>
    <r>
      <rPr>
        <sz val="9"/>
        <color rgb="FF000000"/>
        <rFont val="Times New Roman"/>
        <family val="1"/>
      </rPr>
      <t>de grafito HB #2, con b orrado r asegurado en casquillo de metal sin bordes afilados ni cortantes con borrador que no manche ni rompe el papel, banda roja de calidad controlada. De producción nacional preferiblemente</t>
    </r>
  </si>
  <si>
    <r>
      <t xml:space="preserve">Lápiz de escritura madera forma hexagonal de </t>
    </r>
    <r>
      <rPr>
        <u/>
        <sz val="9"/>
        <color rgb="FF000000"/>
        <rFont val="Times New Roman"/>
        <family val="1"/>
      </rPr>
      <t>mina roja</t>
    </r>
    <r>
      <rPr>
        <sz val="9"/>
        <color rgb="FF000000"/>
        <rFont val="Times New Roman"/>
        <family val="1"/>
      </rPr>
      <t xml:space="preserve"> de grafito HB # 2 , con b orrador asegurado en casquillo de metal sin bordes afilados ni cortantes con borrador que no manche ni rompe el papel, banda roja de calidad controlada. De producción nacional preferiblemente</t>
    </r>
  </si>
  <si>
    <t>Papel carbón</t>
  </si>
  <si>
    <t>Tablero de corcho 1.87 cm de Ancho y 1.20 cm de Alto</t>
  </si>
  <si>
    <r>
      <rPr>
        <b/>
        <sz val="11"/>
        <color theme="1"/>
        <rFont val="Aptos Display"/>
        <family val="2"/>
        <scheme val="major"/>
      </rPr>
      <t>Observaciones:</t>
    </r>
    <r>
      <rPr>
        <sz val="11"/>
        <color theme="1"/>
        <rFont val="Aptos Display"/>
        <family val="2"/>
        <scheme val="major"/>
      </rPr>
      <t xml:space="preserve">   </t>
    </r>
    <r>
      <rPr>
        <b/>
        <u/>
        <sz val="11"/>
        <color theme="1"/>
        <rFont val="Aptos Display"/>
        <family val="2"/>
        <scheme val="major"/>
      </rPr>
      <t>LOS TONER SON ORIGINALES DE LA MARCA DE LA MAQUINA</t>
    </r>
    <r>
      <rPr>
        <sz val="11"/>
        <color theme="1"/>
        <rFont val="Aptos Display"/>
        <family val="2"/>
        <scheme val="major"/>
      </rPr>
      <t xml:space="preserve">                                                                                                                                                                                                              HECTOR CORREA GIRALDO REPRESENTANTE LEGAL / GRUPO LOS LAGOS SAS</t>
    </r>
  </si>
  <si>
    <t>No comparable</t>
  </si>
  <si>
    <t>Precios 2022 a  valores monetarios 2026</t>
  </si>
  <si>
    <t>Precios 2023 a  valores monetarios 2026</t>
  </si>
  <si>
    <t>Precios 2024 a  valores monetarios 2026</t>
  </si>
  <si>
    <t>Precios 2025 a  valores monetarios 2026</t>
  </si>
  <si>
    <t>Colombia, Indice de Precios al Consumidor (IPC)</t>
  </si>
  <si>
    <t>Variaciones porcentuales 2020 - 2026</t>
  </si>
  <si>
    <t>,</t>
  </si>
  <si>
    <t>Nivel de Dispersión</t>
  </si>
  <si>
    <t>MEDIA GEOMÉTRICA</t>
  </si>
  <si>
    <t>ANÁLISIS COTIZACIONES RECIBIDAS</t>
  </si>
  <si>
    <t>Precios unitarios IVA
2022</t>
  </si>
  <si>
    <t>Precios unitarios IVA
2025</t>
  </si>
  <si>
    <t>Precios unitarios IVA
2024</t>
  </si>
  <si>
    <t>Precios unitarios IVA
2023</t>
  </si>
  <si>
    <t>ANÁLISIS HISTÓRICOS</t>
  </si>
  <si>
    <t>CV Coefic. de variación</t>
  </si>
  <si>
    <t>CV COTIZACIONES</t>
  </si>
  <si>
    <t>MEDIANA COTIZACIONES</t>
  </si>
  <si>
    <t>CV HISTÓRICOS</t>
  </si>
  <si>
    <t>MEDIANA HISTÓRICOS</t>
  </si>
  <si>
    <t>Peso porcentual Cotizaciones</t>
  </si>
  <si>
    <t>Peso porcentual Históricos</t>
  </si>
  <si>
    <t>Cajas X-200 para archivo calibre 790kgf/m con las características detalladas en el anexo técnico</t>
  </si>
  <si>
    <t>CONSUMOS MENSUALES</t>
  </si>
  <si>
    <t>ENERO</t>
  </si>
  <si>
    <t>FEBERO</t>
  </si>
  <si>
    <t>Colbón PEQUEÑO</t>
  </si>
  <si>
    <t>Micropunta negro, 0,5 mm., punta con soporte plástico, alto rendimiento,
escritura suave</t>
  </si>
  <si>
    <t>Cosedora Eléctrica, Profundidad de grapado 10mm aproximadamente,
Voltios 110v, Capacidad de cocido 20 hojas a la vez</t>
  </si>
  <si>
    <t>Gancho Legajador polipropileno anticortanté (dos piezas) para perforaciones
de 7 y 8 cm. capacidad de 250 hojas.</t>
  </si>
  <si>
    <t>Total</t>
  </si>
  <si>
    <t xml:space="preserve">MARZO ABR MAY </t>
  </si>
  <si>
    <t>JUN</t>
  </si>
  <si>
    <t>JUL</t>
  </si>
  <si>
    <t>AGOS</t>
  </si>
  <si>
    <t>Promedio</t>
  </si>
  <si>
    <t>SEP OCT NOV DIC</t>
  </si>
  <si>
    <t>Guía en cartulina carta paquete X 5, cartulina de mínimo 150g. El material debe cumplir con las especificaciones en la NTC 5397:2005. 5 perforaciones</t>
  </si>
  <si>
    <t>Papel Bond 90 grms para plotter (HP 727) Medidas en el rango de 90 cm s a 100 cms de ancho, rollo largo 50 mts mínimo</t>
  </si>
  <si>
    <t>PRECIO UNITARIO PONDERADO</t>
  </si>
  <si>
    <t>PRECIO UNITARIO MINIMO COTIZACIONES</t>
  </si>
  <si>
    <t>COTIZANTES DENTRO DEL PRECIO PONDERADO</t>
  </si>
  <si>
    <t>PRECIOS TECHO FINAL</t>
  </si>
  <si>
    <t>NIVEL RIESGO</t>
  </si>
  <si>
    <t>RESULTADO DE DONDE SE ESTABLECE PRECIO TECHO</t>
  </si>
  <si>
    <t xml:space="preserve">MEDIANA DE LAS COTIZACIONES </t>
  </si>
  <si>
    <t>PRECIO UNITARIO PONDEARADO COTIZACIONES - HISTORICOS</t>
  </si>
  <si>
    <t>Promedio consumo mensual 2025</t>
  </si>
  <si>
    <t>Tiempo estimado de ejecución</t>
  </si>
  <si>
    <t>PRESUPUESTO ESTIMADO</t>
  </si>
  <si>
    <t>Presupuesto Estimado</t>
  </si>
  <si>
    <t>6 meses</t>
  </si>
  <si>
    <t>Meses</t>
  </si>
  <si>
    <t>BITACORA BOND 115 GR X 200 HOJAS 17.25 X 25</t>
  </si>
  <si>
    <t>ALMOHADILLA PARA SELLOS AH ROYAL ENTINTADA</t>
  </si>
  <si>
    <t>BANDAS DE CAUCHO # 22</t>
  </si>
  <si>
    <t>NOTAS STICK OE-372 NEON BANDERITAS 44 * 12 5MM</t>
  </si>
  <si>
    <t>BISTURI DE LINEA 18MM SURTIDO</t>
  </si>
  <si>
    <t>BLOCK AMARILLO PAPPYER CARTA CUADROS X 50 HJ</t>
  </si>
  <si>
    <t>BLOCK CARTA X 50 HJS FAMA CUADROS</t>
  </si>
  <si>
    <t>BOLIGRAFO OE-052F SEMI-GEL RETRACT 0.7 UND NEGRO</t>
  </si>
  <si>
    <t>BOLIGRAFO OE-050 SEMI-GEL RETRACT 0.7 UND COLOR</t>
  </si>
  <si>
    <t>BORRADOR AH ROYAL PEQUEÑO 624 X 24 UND</t>
  </si>
  <si>
    <t>BORRADOR PARA TABLERO COLORES AH ROYAL UND</t>
  </si>
  <si>
    <t>CHINCHE METALIZADO TRITON CAJA X 50</t>
  </si>
  <si>
    <t>CARGADOR BST C8001BN / MAXDAY MIXTO AA + AAA + 9V</t>
  </si>
  <si>
    <t>PASTA CATALOGO 1.0 DE LINEA TAMAÑO CARTA</t>
  </si>
  <si>
    <t>PASTA CATALOGO 1.5 DE LINEA TAMAÑO CARTA</t>
  </si>
  <si>
    <t>PASTA CATALOGO 2.0 DE LINEA TAMAÑO CARTA</t>
  </si>
  <si>
    <t>PASTA CATALOGO 3.0 DE LINEA TAMAÑO CARTA</t>
  </si>
  <si>
    <t>TONER HP 81 A ORIGINAL</t>
  </si>
  <si>
    <t>OPALINA BCA 180 GR CARTA PQT X 50 UND</t>
  </si>
  <si>
    <t>BRISTOL 150 GR 1/8 PQT X 100 UND BLANCA</t>
  </si>
  <si>
    <t>BRISTOL 150 GR 1/8 PQT X 100 UND COLORES</t>
  </si>
  <si>
    <t>CINTA EPSON ORIGINAL S015631 - CINTA NEGRA LX - 350</t>
  </si>
  <si>
    <t>CD R TORRE *100 700MB 52x</t>
  </si>
  <si>
    <t>CD RW TORRE X 25 UND 700MB/80MIN</t>
  </si>
  <si>
    <t>HUMEDECEDOR DE DEDOS PEQUEÑO SORTKWIK 14 GR</t>
  </si>
  <si>
    <t>CINTA MAGICA 3M SCOTCH 19MM * 32.9 MTR</t>
  </si>
  <si>
    <t>CINTA EMPAQUE 48 * 50 OFFIESCO</t>
  </si>
  <si>
    <t>CINTA ENMASCARAR 12 * 30 OFFIESCO</t>
  </si>
  <si>
    <t>CINTA ENMASCARAR 48 * 40 DE LINEA</t>
  </si>
  <si>
    <t>CINTA PEGANTE 12 X 40 M UND</t>
  </si>
  <si>
    <t>CINTA DOBLE FAZ ESPUMA AH ROYAL 1.8CM X 4 MTRS 326</t>
  </si>
  <si>
    <t>CINTA DATACARD YMCKT 250 IMAG SD REGIONALIZADA</t>
  </si>
  <si>
    <t>GANCHO CLIP TRITON STANDAR *100 UND</t>
  </si>
  <si>
    <t>GANCHO CLIP TRITON MARIPOSA JUMBO *12 UND</t>
  </si>
  <si>
    <t>GANCHO CLIP TRITON MARIPOSA *50 UND</t>
  </si>
  <si>
    <t>PEGANTE ESPECIAL SIPEGA 125 GR</t>
  </si>
  <si>
    <t>CORRECTOR LAPIZ OFFI-ESCO 8 ML OE-250 CJ X 12 BCO</t>
  </si>
  <si>
    <t>COSEDORA OFFIESCO OE-339 DE LUJO GRANDE 40 HOJAS</t>
  </si>
  <si>
    <t>COSEDORA ELECTRICA 25 HJS POINTER</t>
  </si>
  <si>
    <t>COSEDORA OFFIESCO OE-326 INDUSTRIAL PARA 140 HJ</t>
  </si>
  <si>
    <t>STORE 4TB WD PURPURA</t>
  </si>
  <si>
    <t>DVD R IMPRIMIBLE X 50 UND SMARTBUY</t>
  </si>
  <si>
    <t>FICHAS BIBLIOGRAFICAS 10*15 X 100 UND</t>
  </si>
  <si>
    <t>BOLSILLO PARA CD EN POLIPROPILENO X 100</t>
  </si>
  <si>
    <t>BOLSILLO PARA CATALOGO CARTA OFFIESCO * 100 HJ</t>
  </si>
  <si>
    <t>BOLSILLO PARA CATALOGO OFICIO OFFIESCO * 100</t>
  </si>
  <si>
    <t>GANCHO LEGAJADOR PLASTICO MARFIL *20</t>
  </si>
  <si>
    <t>GANCHO COSEDORA GALVANIZADO TRITON ESTÁNDAR X 5000</t>
  </si>
  <si>
    <t>GUANTES DE POLIURETANO NYLON #8 / 9 / 10 - CAJA X 100 UND 50-PARES</t>
  </si>
  <si>
    <t>SEPARADOR BRISTO CARTA 105 BELPAPEL *5 UND</t>
  </si>
  <si>
    <t>LAPIZ PENMAX / AH ROYAL X 12</t>
  </si>
  <si>
    <t>LAPIZ ROJO OFFIESCO OE-149 CAJA X 12 UND</t>
  </si>
  <si>
    <t>MARCADOR BORRABLE DORICOLOR NEGRO CAJA X 10</t>
  </si>
  <si>
    <t>MARCADOR BORRABLE DORICOLOR COLORES CAJA X 10</t>
  </si>
  <si>
    <t>MARCADOR PERMANENTE OE528 PUNTA FINA NEGRO x 10</t>
  </si>
  <si>
    <t>MARCADOR PERMANENTE OE528 PUNTA FINA EST*12 SURTID</t>
  </si>
  <si>
    <t>MARCADOR PERMANENTE PELIKAN 420 CAJA X 10</t>
  </si>
  <si>
    <t>MEMORIA USB 16 GB</t>
  </si>
  <si>
    <t>MEMORIA USB 32 GB</t>
  </si>
  <si>
    <t>MEMORIA USB 128 GB</t>
  </si>
  <si>
    <t>MICROPUNTA OFFIESCO 0,4M OE-068 NEGRO CAJA X 10</t>
  </si>
  <si>
    <t>MICROPUNTA OFFIESCO OE-175 0.4 ESTUCHE *10 SURTIDO</t>
  </si>
  <si>
    <t>BOLIGRAFO OE-052F SEMI-GEL RETRACT 0.7 ROJO UND</t>
  </si>
  <si>
    <t>MINAS 0.5MM 2H PELIKAN UND</t>
  </si>
  <si>
    <t>MINAS 0.7MM HB PELIKAN UND</t>
  </si>
  <si>
    <t>NOTAS STICK OE-374 NEON CUBO * 250 HJ</t>
  </si>
  <si>
    <t>RESMILLA MARFIL CARTA 75 GR CAJA X 10</t>
  </si>
  <si>
    <t>RESMILLA REPROGRAF/MARFIL OFICIO 75 GR CAJA X 10</t>
  </si>
  <si>
    <t>PELICULA CARBONADA LAPIZFILM CARTA CAJA X 100 HOJAS</t>
  </si>
  <si>
    <t>ROLLO CRAF 48 11 KG 150 MTRS APROXIMADOS</t>
  </si>
  <si>
    <t>PERIODICO 48 GR 70*100</t>
  </si>
  <si>
    <t>PEGANTE EN BARRA TRITON 40 GR</t>
  </si>
  <si>
    <t>PEGANTE INSTANTANEO SUPERPEGA 60ML</t>
  </si>
  <si>
    <t>PERFORADORA OFFIESCO OE-349 MEDIANA</t>
  </si>
  <si>
    <t>PERFORADORA OFFIESCO OE-354 INDUSTRIAL PARA 65 HJ</t>
  </si>
  <si>
    <t>PERFORADORA OFFIESCO OE-355 3 HUECOS CAP 10HOJAS</t>
  </si>
  <si>
    <t>PILA GP ALCALINA AA 1.5 BULK X 2</t>
  </si>
  <si>
    <t>PILA GP ALCALINA AAA 1.5V BULK X 2</t>
  </si>
  <si>
    <t>PILA ENERGIZER RECARGABLE AA BL *2</t>
  </si>
  <si>
    <t>PILA ENERGIZER RECARGABLE AAA BLX2</t>
  </si>
  <si>
    <t>PILA TIPO D PAR DE 1,5V BLISTER</t>
  </si>
  <si>
    <t>PORTADISTINTIVO PLASTICO VERTICAL TRANSPAREN UND</t>
  </si>
  <si>
    <t>PORTAMINA 0,5 MM</t>
  </si>
  <si>
    <t>PORTAMINA 0,7 MM</t>
  </si>
  <si>
    <t>REGLA 30 CM DE LINEA PLASTICA PLANA</t>
  </si>
  <si>
    <t>RESALTADOR DORICOLOR COLORES CAJA X 10</t>
  </si>
  <si>
    <t>REVISTERO EN CARTON PLASTIFICADO</t>
  </si>
  <si>
    <t>SACAGANCHOS</t>
  </si>
  <si>
    <t>BOLSILLO PARA CD EN PAPEL X 100</t>
  </si>
  <si>
    <t>SOBRE CATALOGO NORMA CARTA ESPECIAL SIN 25*31 90GR X 100</t>
  </si>
  <si>
    <t>SOBRE MANILA UNIBOL RADIOGRAFIA 37*44.5 X 50</t>
  </si>
  <si>
    <t>SOBRE MANILA UNIBOL GIGANTE 27*37</t>
  </si>
  <si>
    <t>SOBRE ECOLOGICO 65GR OFICIO 25 X 35 X 50</t>
  </si>
  <si>
    <t>TABLA PLANILLERA OFICIO PLASTICA COLORES</t>
  </si>
  <si>
    <t>TABLERO CORCHO 80 X 120</t>
  </si>
  <si>
    <t>TABLERO REF 2128 DE 120 X 150 MARCO MADERA</t>
  </si>
  <si>
    <t>REF TABLERO 2126 MARCO MADERA DE 80 X 120 CON REPISA Y BORRADOR</t>
  </si>
  <si>
    <t>TAJALAPIZ ELECTRICO GIOTO REF 320</t>
  </si>
  <si>
    <t>TAJALAPIZ METALICO TRADICIONAL X 24 UND</t>
  </si>
  <si>
    <t>TAPABOCAS CAJA X 50 UND</t>
  </si>
  <si>
    <t>TRAJETAS PVC BLANCO BRILLANTE CR80 CALIBRE 30 PQT X 100</t>
  </si>
  <si>
    <t>TIJERA ESCOLAR PUNTA ROMA</t>
  </si>
  <si>
    <t>TINTA PARA SELLOS SISPAL 30 CC NEGRO</t>
  </si>
  <si>
    <t>TINTA PARA SELLOS SISPAL 30 CC ROJO</t>
  </si>
  <si>
    <t>TONER HP CF281A LASERJET BLACK MFP M630</t>
  </si>
  <si>
    <t>Cajas X-200 para archivo calibre 790kgf/m con las siguientes características:</t>
  </si>
  <si>
    <t>Carpetas dos tapas de yute para archivo tamaño oficio. ( según espicifacaciones en el anexo Tecnico).</t>
  </si>
  <si>
    <t>CARPETAS DOS TAPAS DE YUTE PARA ARCHIVO TAMAÑO OFICIO + GANCHO LEGAJADOR PLÁSTICO LARGO DE 18CM</t>
  </si>
  <si>
    <t>BELPAPEL SAS - 830.027.771-9</t>
  </si>
  <si>
    <t>CC: 19.149.153</t>
  </si>
  <si>
    <t>Representante legal</t>
  </si>
  <si>
    <t>Luis Francisco Guayambuco Quintero</t>
  </si>
  <si>
    <t>DESCRIPCIÓN BELPAPEL</t>
  </si>
  <si>
    <t>COMERCIAL@BELPAPEL.COM</t>
  </si>
  <si>
    <t>ASESORA COMERCIAL</t>
  </si>
  <si>
    <t>KAREN LICETH VILLANUEVA ZAMUDIO</t>
  </si>
  <si>
    <t>830.027.771-9</t>
  </si>
  <si>
    <t>CRA 57 # 93 A 44</t>
  </si>
  <si>
    <t>0 a 1 MAYOR RIESGO</t>
  </si>
  <si>
    <t>2 y 3 MENOR RIESGO</t>
  </si>
  <si>
    <t>No. Item Tarifario</t>
  </si>
  <si>
    <t>No.</t>
  </si>
  <si>
    <t>NIT: 830.027.771  - 9</t>
  </si>
  <si>
    <r>
      <rPr>
        <sz val="10"/>
        <rFont val="Calibri Light"/>
        <family val="2"/>
      </rPr>
      <t xml:space="preserve">Notas a tener en cuenta para registrar los precios:
(1) Señor/a cotizante, en su propuesta económica al señalar los precios unitarios, deberá tener en cuenta todos los costos directos e indirectos tales como desplazamientos, logística, transporte y demás necesarios para el cumplimiento del objeto de la presente contratación, así como los impuestos Nacionales, IVA, Estampillas departamentales y municipales, y demás impuestos, tasas, contribuciones, polizas, etc, que se puedan generar en consecuencia de la ejecución de las diferentes actividades que componen el Anexo Técnico.
(2) Esta cotizaciòn es parte del estudio de mercado de la SDHT previo a la contratación, y no implica ninguna obligación de contratar.
(3) Debe ser válida por una vigencia de 90 dias a partir de la fecha de diligenciamiento.
(4) Revisar todos los requerimientos que se exponen en el documento "Anexo técnico" y formular su cotización en concordancia con este.
(5) El valor de la cotización deber ser expresado en PESOS COLOMBIANOS.
(6) No modificar, agregar o quitar ningún ítem o sub-ítem.
(7) Asignar precio sin incluir el IVA en las celdas de la columna </t>
    </r>
    <r>
      <rPr>
        <u/>
        <sz val="10"/>
        <rFont val="Calibri Light"/>
        <family val="2"/>
      </rPr>
      <t>"Precio Unitario Antes de IVA" . 8 (Favor diligencia Unicamente la celda en color Naranja)</t>
    </r>
  </si>
  <si>
    <r>
      <rPr>
        <sz val="10"/>
        <rFont val="Calibri Light"/>
        <family val="2"/>
      </rPr>
      <t>Agendas hojas interiores de papel bond de 70 grs. Tamaño: 17 cm x 24.5 cm. Mínim
o 2 00 hojas. Tapa dura</t>
    </r>
  </si>
  <si>
    <t>ALMOHADILLA DACTILAR PENMAX  DP 122 / DP 130</t>
  </si>
  <si>
    <r>
      <rPr>
        <sz val="10"/>
        <rFont val="Calibri Light"/>
        <family val="2"/>
      </rPr>
      <t>Banderitas-Mini: Señales Autoadhesivas de media pulgada por 5 colores, plás ticas,
con adhesivo en la punta y en una cara de la banderita</t>
    </r>
  </si>
  <si>
    <r>
      <rPr>
        <sz val="10"/>
        <rFont val="Calibri Light"/>
        <family val="2"/>
      </rPr>
      <t>Borrador para tablero acrílico, elaborado con felpa sintética, fieltro o paño chalet.
La base debe ser en madera o plástico</t>
    </r>
  </si>
  <si>
    <r>
      <rPr>
        <sz val="10"/>
        <rFont val="Calibri Light"/>
        <family val="2"/>
      </rPr>
      <t>Carpetas tres argollas blancas de 1", en cartón microcorrugado y vinilo de alta
calidad.</t>
    </r>
  </si>
  <si>
    <r>
      <rPr>
        <sz val="10"/>
        <rFont val="Calibri Light"/>
        <family val="2"/>
      </rPr>
      <t>Carpetas tres argollas blancas de 1/2", en cartón microcorrugado y vinilo de alta
calidad.</t>
    </r>
  </si>
  <si>
    <r>
      <rPr>
        <sz val="10"/>
        <rFont val="Calibri Light"/>
        <family val="2"/>
      </rPr>
      <t>Carpetas tres argollas blancas de 2", en cartón microcorrugado y vinilo de alta
calidad.</t>
    </r>
  </si>
  <si>
    <r>
      <rPr>
        <sz val="10"/>
        <rFont val="Calibri Light"/>
        <family val="2"/>
      </rPr>
      <t>Carpetas tres argollas blancas de 3", en cartón microcorrugado y vinilo de alta
calidad.</t>
    </r>
  </si>
  <si>
    <r>
      <rPr>
        <sz val="10"/>
        <rFont val="Calibri Light"/>
        <family val="2"/>
      </rPr>
      <t>CINTA PARA IMPRESORA DE CARNET DATACARD - CINTA COLOR YMCKT SD160
534100-001-R098</t>
    </r>
  </si>
  <si>
    <r>
      <rPr>
        <sz val="10"/>
        <rFont val="Calibri Light"/>
        <family val="2"/>
      </rPr>
      <t>Cosedora de oficina mínimo 30 Hojas, resistente y fuerte, liviana, Medidas
aproximadas d e 186 mm largo x 64 mm alto x 44 mm ancho</t>
    </r>
  </si>
  <si>
    <r>
      <rPr>
        <sz val="10"/>
        <rFont val="Calibri Light"/>
        <family val="2"/>
      </rPr>
      <t>Cosedora Eléctrica, Profundidad de grapado 10mm aproximadamente, Voltios 110v,
Capacidad de cocido 20 hojas a la vez</t>
    </r>
  </si>
  <si>
    <r>
      <rPr>
        <sz val="10"/>
        <rFont val="Calibri Light"/>
        <family val="2"/>
      </rPr>
      <t>DVD-R Paquete X 50, Mayor o igual a 4,7 GB mínimo de velocidad de grabado 4x o
más</t>
    </r>
  </si>
  <si>
    <r>
      <rPr>
        <sz val="10"/>
        <rFont val="Calibri Light"/>
        <family val="2"/>
      </rPr>
      <t>Gancho Legajador polipropileno anticortanté (dos piezas) para perforaciones de 7 y
8 cm. capacidad de 250 hojas.</t>
    </r>
  </si>
  <si>
    <r>
      <rPr>
        <sz val="10"/>
        <rFont val="Calibri Light"/>
        <family val="2"/>
      </rPr>
      <t>Guía en cartulina carta paquete X 5, cartulina de mínimo 150g. El material debe
cumplir con las especificaciones en la NTC 5397:2005. 5 perforaciones laterales Ceja de identificación</t>
    </r>
  </si>
  <si>
    <t>GUILLOTINA BASE METALICA 12  (CARTA) A4</t>
  </si>
  <si>
    <r>
      <rPr>
        <sz val="10"/>
        <rFont val="Calibri Light"/>
        <family val="2"/>
      </rPr>
      <t>Micropunta negro, 0,5 mm., punta con soporte plástico, alto rendimiento, escritura
suave</t>
    </r>
  </si>
  <si>
    <r>
      <rPr>
        <sz val="10"/>
        <rFont val="Calibri Light"/>
        <family val="2"/>
      </rPr>
      <t>Mina Para Portaminas 0,5 mm, Superpolymerisadas/ Ultraresistentes para su
protección contra la rotura, HB</t>
    </r>
  </si>
  <si>
    <r>
      <rPr>
        <sz val="10"/>
        <rFont val="Calibri Light"/>
        <family val="2"/>
      </rPr>
      <t>Notas Autoadhesivas Estándar/ Taco/ Bloque/ Cubo De Mínimo 100 Hojas varios
colores</t>
    </r>
  </si>
  <si>
    <r>
      <rPr>
        <sz val="10"/>
        <rFont val="Calibri Light"/>
        <family val="2"/>
      </rPr>
      <t>Notas Autoadhesivas Pequeñas/ Taco/ Bloque/ Cubo De Mínimo 100 Hojas varios
colores</t>
    </r>
  </si>
  <si>
    <t>NOTAS STICK OE 364 NEON *4  400 HJ (38.1*50.8)</t>
  </si>
  <si>
    <r>
      <rPr>
        <sz val="10"/>
        <rFont val="Calibri"/>
        <family val="2"/>
      </rPr>
      <t xml:space="preserve">VINILO TABLERO BORRABLE </t>
    </r>
    <r>
      <rPr>
        <b/>
        <sz val="10"/>
        <color rgb="FFFF0000"/>
        <rFont val="Calibri"/>
        <family val="2"/>
      </rPr>
      <t>TRANSPARENTE DE 1.37 CM X 200 CM</t>
    </r>
  </si>
  <si>
    <r>
      <rPr>
        <sz val="10"/>
        <rFont val="Calibri Light"/>
        <family val="2"/>
      </rPr>
      <t>Papel Bond 75G Carta, El material debe cumplir con la NTC 4436:1998 y la NTC 5 3
97, Resmas de 500 hojas</t>
    </r>
  </si>
  <si>
    <r>
      <rPr>
        <sz val="10"/>
        <rFont val="Calibri Light"/>
        <family val="2"/>
      </rPr>
      <t>Papel Bond 75G Oficio, El material debe cumplir con la NTC 4436:1998 y la NTC 5 3
97, Resmas de 500 hojas</t>
    </r>
  </si>
  <si>
    <r>
      <rPr>
        <sz val="10"/>
        <rFont val="Calibri Light"/>
        <family val="2"/>
      </rPr>
      <t>Papel Bond 90 grms para plotter (HP 727) Medidas en el rango de 90 cm s a 1 0 0
cms de ancho, rollo largo 50 mts mínimo</t>
    </r>
  </si>
  <si>
    <r>
      <rPr>
        <sz val="10"/>
        <rFont val="Calibri"/>
        <family val="2"/>
      </rPr>
      <t xml:space="preserve">ROLLO PLOTTER </t>
    </r>
    <r>
      <rPr>
        <b/>
        <sz val="10"/>
        <color rgb="FFFF0000"/>
        <rFont val="Calibri"/>
        <family val="2"/>
      </rPr>
      <t xml:space="preserve">BOND 75 GR </t>
    </r>
    <r>
      <rPr>
        <sz val="10"/>
        <rFont val="Calibri"/>
        <family val="2"/>
      </rPr>
      <t>91 CM *50 MTS</t>
    </r>
  </si>
  <si>
    <r>
      <rPr>
        <sz val="10"/>
        <rFont val="Calibri"/>
        <family val="2"/>
      </rPr>
      <t xml:space="preserve">ROLLO REGISTRADORA TERMICO 80X60 X3 UND </t>
    </r>
    <r>
      <rPr>
        <b/>
        <sz val="10"/>
        <rFont val="Calibri"/>
        <family val="2"/>
      </rPr>
      <t>(PRECIO UND SE
DESPACHAN MULTIPLOS DE 6)</t>
    </r>
  </si>
  <si>
    <r>
      <rPr>
        <sz val="10"/>
        <rFont val="Calibri Light"/>
        <family val="2"/>
      </rPr>
      <t>Perforadora escritorio Metálica 2 huecos estándar 20 hojas, dos (2) perforaciones
con una distancia entre huecos de 8cm</t>
    </r>
  </si>
  <si>
    <r>
      <rPr>
        <sz val="10"/>
        <rFont val="Calibri Light"/>
        <family val="2"/>
      </rPr>
      <t>Portaminas 0,5 mm, plástico, zona de agarre en caucho o plástico; con borrador;
punta retráctil; clip de sujeción</t>
    </r>
  </si>
  <si>
    <r>
      <rPr>
        <sz val="10"/>
        <rFont val="Calibri Light"/>
        <family val="2"/>
      </rPr>
      <t>Portaminas 0,7mm, plástico, zona de agarre en caucho o plástico; con borrador;
punta retráctil; clip de sujeción</t>
    </r>
  </si>
  <si>
    <r>
      <rPr>
        <sz val="10"/>
        <rFont val="Calibri Light"/>
        <family val="2"/>
      </rPr>
      <t>Saca ganchos metálicos cromado para Grapa. Guardas de dedos en plástico ABS de
Alta resistencia. Puntas metálicas fuertes.</t>
    </r>
  </si>
  <si>
    <r>
      <rPr>
        <sz val="10"/>
        <rFont val="Calibri"/>
        <family val="2"/>
      </rPr>
      <t xml:space="preserve">SOBRE ECOLOGICO </t>
    </r>
    <r>
      <rPr>
        <b/>
        <sz val="10"/>
        <color rgb="FFFF0000"/>
        <rFont val="Calibri"/>
        <family val="2"/>
      </rPr>
      <t xml:space="preserve">65GR </t>
    </r>
    <r>
      <rPr>
        <sz val="10"/>
        <rFont val="Calibri"/>
        <family val="2"/>
      </rPr>
      <t>CARTA 22.5 X 29</t>
    </r>
  </si>
  <si>
    <r>
      <rPr>
        <sz val="10"/>
        <rFont val="Calibri Light"/>
        <family val="2"/>
      </rPr>
      <t>Tablero en acrílico con cuadricula, marco de madera de 1.50 cm ancho x 1.20 cm
largo</t>
    </r>
  </si>
  <si>
    <r>
      <rPr>
        <sz val="10"/>
        <rFont val="Calibri Light"/>
        <family val="2"/>
      </rPr>
      <t>Tablero en acrílico con cuadricula, marco de madera de 1.20 cm ancho X 80 cm
largo</t>
    </r>
  </si>
  <si>
    <t>TIJERA OFICINA 6.5  OFFIESCO OE-228</t>
  </si>
  <si>
    <r>
      <rPr>
        <sz val="10"/>
        <rFont val="Calibri"/>
        <family val="2"/>
      </rPr>
      <t xml:space="preserve">VINIPEL INDUSTRIAL DE 50 CM X </t>
    </r>
    <r>
      <rPr>
        <b/>
        <sz val="10"/>
        <color rgb="FFFF0000"/>
        <rFont val="Calibri"/>
        <family val="2"/>
      </rPr>
      <t xml:space="preserve">500 MTS </t>
    </r>
    <r>
      <rPr>
        <sz val="10"/>
        <rFont val="Calibri"/>
        <family val="2"/>
      </rPr>
      <t>TRANSPARENTE</t>
    </r>
  </si>
  <si>
    <r>
      <rPr>
        <sz val="10"/>
        <rFont val="Calibri"/>
        <family val="2"/>
      </rPr>
      <t xml:space="preserve">CAJA PARA ARCHIVO LX 200 C-790 / MINIMO UND DE CAJAS PARA DESPACHO: 1300
</t>
    </r>
    <r>
      <rPr>
        <b/>
        <sz val="10"/>
        <color rgb="FFFF0000"/>
        <rFont val="Calibri"/>
        <family val="2"/>
      </rPr>
      <t>VALOR COTIZADO POR UNIDAD</t>
    </r>
  </si>
  <si>
    <t>Observaciones: Se efectuará los descuentos de ley del orden Nacional y Distrital según las normas vigentes, de acuerdo con la información tributaria suministrada por el contratista a la Entidad y con la actividad objeto del contrato. Así mismo, dará estricto cumplimiento al descuento del uno punto uno por ciento (1.1%) del valor bruto del contrato y de la respectiva adición, si la hubiere, por concepto de gravamen de Estampilla Universidad Distrital Francisco José de Caldas, prevista en el Acuerdo 696 de 2017 del Concejo de Bogotá y el Decreto 250 de 2018 y conforme con sus modificaciones de ley. Además, retendrá el valor de las Estampillas “PRO – CULTURA” creada mediante Acuerdo 187 del 2005 equivalente al 0.5% del valor del contrato antes de IVA y de la respectiva adición, si la hubiere, y “PRO-PERSONAS MAYORES”, creada mediante acuerdo 188   del 2005 modificado por el Acuerdo 645 del 9 de junio de 2016, equivalente al 2% del valor del contrato antes de IVA, y de la respectiva adición, si la hubiere.</t>
  </si>
  <si>
    <r>
      <rPr>
        <b/>
        <sz val="11"/>
        <color rgb="FF000000"/>
        <rFont val="Aptos Display"/>
        <family val="2"/>
        <scheme val="major"/>
      </rPr>
      <t>Objeto del Proceso:</t>
    </r>
    <r>
      <rPr>
        <sz val="11"/>
        <color rgb="FF000000"/>
        <rFont val="Aptos Display"/>
        <family val="2"/>
        <scheme val="major"/>
      </rPr>
      <t xml:space="preserve"> SUMINISTRAR ELEMENTOS DE PAPELERIA UTILES DE OFICINA CAJAS Y CARPETAS PARA EL FUNCIONAMIENTO DE LA SECRETARIA DISTRITAL DEL HABITAT.</t>
    </r>
  </si>
  <si>
    <t>Contrato 2024-2025 FORMARCHIVOS</t>
  </si>
  <si>
    <t xml:space="preserve">PANTALLAZO </t>
  </si>
  <si>
    <t>PANTALLAZO</t>
  </si>
  <si>
    <t>Valor cinsumo promedio mensual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</si>
</sst>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 #,##0;\-&quot;$&quot;\ #,##0"/>
    <numFmt numFmtId="6" formatCode="&quot;$&quot;\ #,##0;[Red]\-&quot;$&quot;\ #,##0"/>
    <numFmt numFmtId="44" formatCode="_-&quot;$&quot;\ * #,##0.00_-;\-&quot;$&quot;\ * #,##0.00_-;_-&quot;$&quot;\ * &quot;-&quot;??_-;_-@_-"/>
    <numFmt numFmtId="43" formatCode="_-* #,##0.00_-;\-* #,##0.00_-;_-* &quot;-&quot;??_-;_-@_-"/>
    <numFmt numFmtId="164" formatCode="\$\ #,##0"/>
    <numFmt numFmtId="165" formatCode="\$\ 0"/>
    <numFmt numFmtId="166" formatCode="#,##0.0\ &quot;Meses&quot;"/>
    <numFmt numFmtId="167" formatCode="[$$-240A]\ #,##0;\-[$$-240A]\ #,##0"/>
    <numFmt numFmtId="168" formatCode="0.0"/>
    <numFmt numFmtId="169" formatCode="#,##0_ ;[Red]\-#,##0\ "/>
    <numFmt numFmtId="170" formatCode="&quot;$&quot;\ #,##0"/>
    <numFmt numFmtId="171" formatCode="_-&quot;$&quot;\ * #,##0_-;\-&quot;$&quot;\ * #,##0_-;_-&quot;$&quot;\ * &quot;-&quot;??_-;_-@_-"/>
    <numFmt numFmtId="172" formatCode="mm/dd/yyyy;@"/>
    <numFmt numFmtId="173" formatCode="_-* #,##0_-;\-* #,##0_-;_-* &quot;-&quot;??_-;_-@_-"/>
  </numFmts>
  <fonts count="82">
    <font>
      <sz val="11"/>
      <color theme="1"/>
      <name val="Aptos Narrow"/>
      <family val="2"/>
      <scheme val="minor"/>
    </font>
    <font>
      <sz val="11"/>
      <color theme="1"/>
      <name val="Aptos Narrow"/>
      <family val="2"/>
      <scheme val="minor"/>
    </font>
    <font>
      <u/>
      <sz val="11"/>
      <color theme="10"/>
      <name val="Aptos Narrow"/>
      <family val="2"/>
      <scheme val="minor"/>
    </font>
    <font>
      <sz val="10"/>
      <name val="Aptos Narrow"/>
      <family val="2"/>
      <scheme val="minor"/>
    </font>
    <font>
      <sz val="10"/>
      <color theme="1"/>
      <name val="Aptos Narrow"/>
      <family val="2"/>
      <scheme val="minor"/>
    </font>
    <font>
      <sz val="10"/>
      <color rgb="FFFFFFFF"/>
      <name val="Aptos Narrow"/>
      <family val="2"/>
      <scheme val="minor"/>
    </font>
    <font>
      <b/>
      <sz val="10"/>
      <name val="Aptos Narrow"/>
      <family val="2"/>
      <scheme val="minor"/>
    </font>
    <font>
      <b/>
      <sz val="10"/>
      <color rgb="FF000000"/>
      <name val="Aptos Narrow"/>
      <family val="2"/>
      <scheme val="minor"/>
    </font>
    <font>
      <sz val="10"/>
      <color rgb="FF000000"/>
      <name val="Aptos Narrow"/>
      <family val="2"/>
      <scheme val="minor"/>
    </font>
    <font>
      <b/>
      <sz val="14"/>
      <name val="Aptos Narrow"/>
      <family val="2"/>
      <scheme val="minor"/>
    </font>
    <font>
      <b/>
      <sz val="12"/>
      <name val="Aptos Narrow"/>
      <family val="2"/>
      <scheme val="minor"/>
    </font>
    <font>
      <b/>
      <sz val="12"/>
      <color rgb="FFFFFFFF"/>
      <name val="Aptos Narrow"/>
      <family val="2"/>
      <scheme val="minor"/>
    </font>
    <font>
      <b/>
      <sz val="9"/>
      <name val="Aptos Narrow"/>
      <family val="2"/>
      <scheme val="minor"/>
    </font>
    <font>
      <b/>
      <sz val="10"/>
      <color theme="1"/>
      <name val="Aptos Narrow"/>
      <family val="2"/>
      <scheme val="minor"/>
    </font>
    <font>
      <b/>
      <sz val="16"/>
      <color theme="1"/>
      <name val="Aptos Display"/>
      <family val="2"/>
      <scheme val="major"/>
    </font>
    <font>
      <b/>
      <sz val="12"/>
      <color theme="0"/>
      <name val="Aptos Display"/>
      <family val="2"/>
      <scheme val="major"/>
    </font>
    <font>
      <sz val="11"/>
      <color theme="1"/>
      <name val="Aptos Display"/>
      <family val="2"/>
      <scheme val="major"/>
    </font>
    <font>
      <b/>
      <sz val="11"/>
      <color theme="0"/>
      <name val="Aptos Display"/>
      <family val="2"/>
      <scheme val="major"/>
    </font>
    <font>
      <sz val="11"/>
      <color rgb="FF000000"/>
      <name val="Aptos Display"/>
      <family val="1"/>
      <scheme val="major"/>
    </font>
    <font>
      <b/>
      <sz val="11"/>
      <color rgb="FF000000"/>
      <name val="Aptos Display"/>
      <family val="1"/>
      <scheme val="major"/>
    </font>
    <font>
      <sz val="11"/>
      <name val="Aptos Display"/>
      <family val="2"/>
      <scheme val="major"/>
    </font>
    <font>
      <sz val="10"/>
      <color theme="1"/>
      <name val="Aptos Display"/>
      <family val="2"/>
      <scheme val="major"/>
    </font>
    <font>
      <b/>
      <sz val="10"/>
      <color rgb="FF7030A0"/>
      <name val="Aptos Display"/>
      <family val="2"/>
      <scheme val="major"/>
    </font>
    <font>
      <sz val="10"/>
      <name val="Aptos Display"/>
      <family val="2"/>
      <scheme val="major"/>
    </font>
    <font>
      <b/>
      <u/>
      <sz val="10"/>
      <name val="Aptos Display"/>
      <family val="2"/>
      <scheme val="major"/>
    </font>
    <font>
      <b/>
      <sz val="10"/>
      <color theme="1"/>
      <name val="Aptos Display"/>
      <family val="2"/>
      <scheme val="major"/>
    </font>
    <font>
      <b/>
      <sz val="11"/>
      <color rgb="FFFF0000"/>
      <name val="Aptos Display"/>
      <family val="2"/>
      <scheme val="major"/>
    </font>
    <font>
      <b/>
      <sz val="9"/>
      <color rgb="FF000000"/>
      <name val="Aptos Display"/>
      <family val="2"/>
      <scheme val="major"/>
    </font>
    <font>
      <b/>
      <sz val="9"/>
      <color theme="1"/>
      <name val="Aptos Display"/>
      <family val="2"/>
      <scheme val="major"/>
    </font>
    <font>
      <b/>
      <sz val="8"/>
      <color rgb="FF000000"/>
      <name val="Aptos Display"/>
      <family val="2"/>
      <scheme val="major"/>
    </font>
    <font>
      <sz val="9"/>
      <color rgb="FF000000"/>
      <name val="Calibri Light"/>
      <family val="2"/>
    </font>
    <font>
      <b/>
      <sz val="9"/>
      <color rgb="FF000000"/>
      <name val="Calibri Light"/>
      <family val="2"/>
    </font>
    <font>
      <b/>
      <sz val="12"/>
      <color theme="1"/>
      <name val="Aptos Display"/>
      <family val="2"/>
      <scheme val="major"/>
    </font>
    <font>
      <sz val="10"/>
      <color rgb="FF000000"/>
      <name val="Aptos Display"/>
      <family val="2"/>
      <scheme val="major"/>
    </font>
    <font>
      <b/>
      <sz val="10"/>
      <color rgb="FF000000"/>
      <name val="Aptos Display"/>
      <family val="2"/>
      <scheme val="major"/>
    </font>
    <font>
      <b/>
      <sz val="11"/>
      <color theme="1"/>
      <name val="Aptos Narrow"/>
      <family val="2"/>
      <scheme val="minor"/>
    </font>
    <font>
      <b/>
      <sz val="9"/>
      <name val="Calibri Light"/>
      <family val="2"/>
    </font>
    <font>
      <sz val="9"/>
      <color theme="1"/>
      <name val="Aptos Narrow"/>
      <family val="2"/>
      <scheme val="minor"/>
    </font>
    <font>
      <b/>
      <sz val="9"/>
      <color rgb="FFFFFFFF"/>
      <name val="Calibri Light"/>
      <family val="2"/>
    </font>
    <font>
      <sz val="9"/>
      <name val="Calibri Light"/>
      <family val="2"/>
    </font>
    <font>
      <sz val="9"/>
      <name val="Calibri Light"/>
      <family val="1"/>
    </font>
    <font>
      <b/>
      <sz val="9"/>
      <name val="Calibri"/>
      <family val="1"/>
    </font>
    <font>
      <b/>
      <sz val="9"/>
      <name val="Calibri"/>
      <family val="2"/>
    </font>
    <font>
      <b/>
      <sz val="9"/>
      <color rgb="FF000000"/>
      <name val="Calibri"/>
      <family val="2"/>
    </font>
    <font>
      <sz val="9"/>
      <color rgb="FF6F2F9F"/>
      <name val="Calibri Light"/>
      <family val="1"/>
    </font>
    <font>
      <u/>
      <sz val="9"/>
      <name val="Calibri Light"/>
      <family val="1"/>
    </font>
    <font>
      <b/>
      <sz val="9"/>
      <name val="Arial"/>
      <family val="2"/>
    </font>
    <font>
      <sz val="9"/>
      <color rgb="FF000000"/>
      <name val="Arial MT"/>
      <family val="2"/>
    </font>
    <font>
      <sz val="9"/>
      <name val="Arial MT"/>
      <family val="2"/>
    </font>
    <font>
      <sz val="9"/>
      <name val="Arial MT"/>
    </font>
    <font>
      <sz val="9"/>
      <name val="Times New Roman"/>
      <family val="2"/>
      <charset val="204"/>
    </font>
    <font>
      <vertAlign val="subscript"/>
      <sz val="9"/>
      <name val="Arial MT"/>
      <family val="2"/>
    </font>
    <font>
      <b/>
      <sz val="9"/>
      <color rgb="FF000000"/>
      <name val="Arial"/>
      <family val="2"/>
    </font>
    <font>
      <u/>
      <sz val="9"/>
      <name val="Arial MT"/>
      <family val="2"/>
    </font>
    <font>
      <b/>
      <sz val="9"/>
      <color rgb="FFFF0000"/>
      <name val="Calibri Light"/>
      <family val="2"/>
    </font>
    <font>
      <b/>
      <sz val="10"/>
      <color rgb="FF000000"/>
      <name val="Times New Roman"/>
      <family val="1"/>
    </font>
    <font>
      <sz val="10"/>
      <color theme="1"/>
      <name val="Times New Roman"/>
      <family val="1"/>
    </font>
    <font>
      <sz val="10"/>
      <color rgb="FF000000"/>
      <name val="Times New Roman"/>
      <family val="1"/>
    </font>
    <font>
      <sz val="11"/>
      <color theme="1"/>
      <name val="Times New Roman"/>
      <family val="1"/>
    </font>
    <font>
      <b/>
      <sz val="10"/>
      <color theme="1"/>
      <name val="Times New Roman"/>
      <family val="1"/>
    </font>
    <font>
      <b/>
      <sz val="11"/>
      <color theme="1"/>
      <name val="Times New Roman"/>
      <family val="1"/>
    </font>
    <font>
      <sz val="9"/>
      <color rgb="FF000000"/>
      <name val="Times New Roman"/>
      <family val="1"/>
    </font>
    <font>
      <u/>
      <sz val="9"/>
      <color rgb="FF000000"/>
      <name val="Times New Roman"/>
      <family val="1"/>
    </font>
    <font>
      <b/>
      <sz val="11"/>
      <color theme="1"/>
      <name val="Aptos Display"/>
      <family val="2"/>
      <scheme val="major"/>
    </font>
    <font>
      <b/>
      <u/>
      <sz val="11"/>
      <color theme="1"/>
      <name val="Aptos Display"/>
      <family val="2"/>
      <scheme val="major"/>
    </font>
    <font>
      <b/>
      <sz val="14"/>
      <color theme="0"/>
      <name val="Segoe UI"/>
      <family val="2"/>
      <charset val="204"/>
    </font>
    <font>
      <b/>
      <sz val="9"/>
      <name val="Segoe UI"/>
      <family val="2"/>
      <charset val="204"/>
    </font>
    <font>
      <sz val="9"/>
      <name val="Segoe UI"/>
      <family val="2"/>
      <charset val="204"/>
    </font>
    <font>
      <sz val="9"/>
      <name val="Segoe UI"/>
      <family val="2"/>
    </font>
    <font>
      <b/>
      <sz val="9"/>
      <name val="Segoe UI"/>
      <family val="2"/>
    </font>
    <font>
      <b/>
      <sz val="16"/>
      <color theme="1"/>
      <name val="Aptos Narrow"/>
      <family val="2"/>
      <scheme val="minor"/>
    </font>
    <font>
      <sz val="11"/>
      <name val="Carlito"/>
    </font>
    <font>
      <b/>
      <sz val="12"/>
      <color theme="1"/>
      <name val="Aptos Narrow"/>
      <family val="2"/>
      <scheme val="minor"/>
    </font>
    <font>
      <sz val="10"/>
      <name val="Calibri Light"/>
      <family val="2"/>
    </font>
    <font>
      <b/>
      <sz val="10"/>
      <name val="Calibri"/>
      <family val="2"/>
    </font>
    <font>
      <sz val="10"/>
      <color rgb="FF000000"/>
      <name val="Calibri Light"/>
      <family val="2"/>
    </font>
    <font>
      <sz val="10"/>
      <name val="Calibri"/>
      <family val="2"/>
    </font>
    <font>
      <u/>
      <sz val="10"/>
      <name val="Calibri Light"/>
      <family val="2"/>
    </font>
    <font>
      <b/>
      <i/>
      <sz val="10"/>
      <name val="Calibri"/>
      <family val="2"/>
    </font>
    <font>
      <b/>
      <sz val="10"/>
      <color rgb="FFFF0000"/>
      <name val="Calibri"/>
      <family val="2"/>
    </font>
    <font>
      <sz val="11"/>
      <color rgb="FF000000"/>
      <name val="Aptos Display"/>
      <family val="2"/>
      <scheme val="major"/>
    </font>
    <font>
      <b/>
      <sz val="11"/>
      <color rgb="FF000000"/>
      <name val="Aptos Display"/>
      <family val="2"/>
      <scheme val="major"/>
    </font>
  </fonts>
  <fills count="30">
    <fill>
      <patternFill patternType="none"/>
    </fill>
    <fill>
      <patternFill patternType="gray125"/>
    </fill>
    <fill>
      <patternFill patternType="solid">
        <fgColor rgb="FF388E79"/>
      </patternFill>
    </fill>
    <fill>
      <patternFill patternType="solid">
        <fgColor rgb="FFDCFBEA"/>
      </patternFill>
    </fill>
    <fill>
      <patternFill patternType="solid">
        <fgColor rgb="FFCCFFCC"/>
      </patternFill>
    </fill>
    <fill>
      <patternFill patternType="solid">
        <fgColor rgb="FFD9D9D9"/>
      </patternFill>
    </fill>
    <fill>
      <patternFill patternType="solid">
        <fgColor theme="3" tint="0.749992370372631"/>
        <bgColor indexed="64"/>
      </patternFill>
    </fill>
    <fill>
      <patternFill patternType="solid">
        <fgColor theme="5" tint="0.39997558519241921"/>
        <bgColor indexed="64"/>
      </patternFill>
    </fill>
    <fill>
      <patternFill patternType="solid">
        <fgColor rgb="FF92D050"/>
        <bgColor indexed="64"/>
      </patternFill>
    </fill>
    <fill>
      <patternFill patternType="solid">
        <fgColor rgb="FFFFC000"/>
        <bgColor indexed="64"/>
      </patternFill>
    </fill>
    <fill>
      <patternFill patternType="solid">
        <fgColor rgb="FF388E7A"/>
        <bgColor indexed="64"/>
      </patternFill>
    </fill>
    <fill>
      <patternFill patternType="solid">
        <fgColor rgb="FFDCFCEA"/>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rgb="FFB6004B"/>
        <bgColor indexed="64"/>
      </patternFill>
    </fill>
    <fill>
      <patternFill patternType="solid">
        <fgColor theme="0" tint="-4.9989318521683403E-2"/>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2" tint="-0.249977111117893"/>
        <bgColor indexed="64"/>
      </patternFill>
    </fill>
    <fill>
      <patternFill patternType="solid">
        <fgColor rgb="FF002060"/>
        <bgColor indexed="64"/>
      </patternFill>
    </fill>
    <fill>
      <patternFill patternType="solid">
        <fgColor rgb="FFFFCCCC"/>
      </patternFill>
    </fill>
    <fill>
      <patternFill patternType="solid">
        <fgColor rgb="FFFFEBAE"/>
      </patternFill>
    </fill>
    <fill>
      <patternFill patternType="solid">
        <fgColor rgb="FFF1F1F1"/>
      </patternFill>
    </fill>
    <fill>
      <patternFill patternType="solid">
        <fgColor theme="5" tint="0.59999389629810485"/>
        <bgColor indexed="64"/>
      </patternFill>
    </fill>
  </fills>
  <borders count="5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s>
  <cellStyleXfs count="13">
    <xf numFmtId="0" fontId="0"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2"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71" fillId="0" borderId="0"/>
    <xf numFmtId="0" fontId="2"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632">
    <xf numFmtId="0" fontId="0" fillId="0" borderId="0" xfId="0"/>
    <xf numFmtId="0" fontId="4" fillId="0" borderId="0" xfId="0" applyFont="1" applyAlignment="1">
      <alignment horizontal="left" vertical="top"/>
    </xf>
    <xf numFmtId="0" fontId="3" fillId="0" borderId="4" xfId="0" applyFont="1" applyBorder="1" applyAlignment="1">
      <alignment horizontal="center" vertical="top" wrapText="1"/>
    </xf>
    <xf numFmtId="1" fontId="8" fillId="0" borderId="4" xfId="0" applyNumberFormat="1" applyFont="1" applyBorder="1" applyAlignment="1">
      <alignment horizontal="center" vertical="top" shrinkToFit="1"/>
    </xf>
    <xf numFmtId="1" fontId="8" fillId="0" borderId="4" xfId="0" applyNumberFormat="1" applyFont="1" applyBorder="1" applyAlignment="1">
      <alignment horizontal="center" vertical="center" shrinkToFit="1"/>
    </xf>
    <xf numFmtId="0" fontId="4" fillId="0" borderId="0" xfId="0" applyFont="1" applyAlignment="1">
      <alignment horizontal="left" wrapText="1"/>
    </xf>
    <xf numFmtId="0" fontId="4" fillId="0" borderId="0" xfId="0" applyFont="1" applyAlignment="1">
      <alignment horizontal="left" vertical="center" wrapText="1"/>
    </xf>
    <xf numFmtId="1" fontId="8" fillId="0" borderId="13" xfId="0" applyNumberFormat="1" applyFont="1" applyBorder="1" applyAlignment="1">
      <alignment horizontal="center" vertical="top" shrinkToFit="1"/>
    </xf>
    <xf numFmtId="0" fontId="3" fillId="0" borderId="13" xfId="0" applyFont="1" applyBorder="1" applyAlignment="1">
      <alignment horizontal="center" vertical="top" wrapText="1"/>
    </xf>
    <xf numFmtId="0" fontId="4" fillId="0" borderId="0" xfId="0" applyFont="1" applyAlignment="1">
      <alignment horizontal="center" wrapText="1"/>
    </xf>
    <xf numFmtId="0" fontId="3" fillId="0" borderId="0" xfId="0" applyFont="1" applyAlignment="1">
      <alignment horizontal="left" vertical="top" wrapText="1" indent="3"/>
    </xf>
    <xf numFmtId="0" fontId="3" fillId="0" borderId="0" xfId="0" applyFont="1" applyAlignment="1">
      <alignment horizontal="center" vertical="top" wrapText="1"/>
    </xf>
    <xf numFmtId="0" fontId="12" fillId="7" borderId="14" xfId="0" applyFont="1" applyFill="1" applyBorder="1" applyAlignment="1">
      <alignment horizontal="center" vertical="top" wrapText="1"/>
    </xf>
    <xf numFmtId="0" fontId="12" fillId="8" borderId="14" xfId="0" applyFont="1" applyFill="1" applyBorder="1" applyAlignment="1">
      <alignment horizontal="center" vertical="top" wrapText="1"/>
    </xf>
    <xf numFmtId="0" fontId="13" fillId="6" borderId="15" xfId="0" applyFont="1" applyFill="1" applyBorder="1" applyAlignment="1">
      <alignment horizontal="center" vertical="center" wrapText="1"/>
    </xf>
    <xf numFmtId="0" fontId="12" fillId="6" borderId="15" xfId="0" applyFont="1" applyFill="1" applyBorder="1" applyAlignment="1">
      <alignment horizontal="center" vertical="top" wrapText="1"/>
    </xf>
    <xf numFmtId="164" fontId="8" fillId="0" borderId="10" xfId="0" applyNumberFormat="1" applyFont="1" applyBorder="1" applyAlignment="1">
      <alignment horizontal="right" vertical="top" shrinkToFit="1"/>
    </xf>
    <xf numFmtId="0" fontId="1" fillId="0" borderId="0" xfId="2"/>
    <xf numFmtId="0" fontId="16" fillId="0" borderId="23" xfId="2" applyFont="1" applyBorder="1" applyAlignment="1">
      <alignment horizontal="center" vertical="center" wrapText="1"/>
    </xf>
    <xf numFmtId="0" fontId="16" fillId="0" borderId="0" xfId="2" applyFont="1" applyAlignment="1">
      <alignment wrapText="1"/>
    </xf>
    <xf numFmtId="0" fontId="16" fillId="0" borderId="0" xfId="2" applyFont="1" applyAlignment="1">
      <alignment horizontal="center" vertical="center" wrapText="1"/>
    </xf>
    <xf numFmtId="0" fontId="16" fillId="0" borderId="0" xfId="2" applyFont="1" applyAlignment="1">
      <alignment vertical="center" wrapText="1"/>
    </xf>
    <xf numFmtId="0" fontId="16" fillId="0" borderId="24" xfId="2" applyFont="1" applyBorder="1" applyAlignment="1">
      <alignment vertical="center" wrapText="1"/>
    </xf>
    <xf numFmtId="0" fontId="21" fillId="0" borderId="23" xfId="2" applyFont="1" applyBorder="1" applyAlignment="1">
      <alignment horizontal="center" vertical="center" wrapText="1"/>
    </xf>
    <xf numFmtId="0" fontId="21" fillId="0" borderId="0" xfId="2" applyFont="1" applyAlignment="1">
      <alignment horizontal="left" wrapText="1"/>
    </xf>
    <xf numFmtId="9" fontId="21" fillId="0" borderId="0" xfId="3" applyFont="1" applyBorder="1" applyAlignment="1" applyProtection="1">
      <alignment horizontal="left" vertical="center" wrapText="1"/>
    </xf>
    <xf numFmtId="0" fontId="16" fillId="0" borderId="27" xfId="2" applyFont="1" applyBorder="1" applyAlignment="1">
      <alignment horizontal="center" vertical="center" wrapText="1"/>
    </xf>
    <xf numFmtId="9" fontId="16" fillId="0" borderId="0" xfId="2" applyNumberFormat="1" applyFont="1" applyAlignment="1">
      <alignment vertical="center" wrapText="1"/>
    </xf>
    <xf numFmtId="0" fontId="27" fillId="11" borderId="21" xfId="2" applyFont="1" applyFill="1" applyBorder="1" applyAlignment="1">
      <alignment horizontal="center" vertical="center" wrapText="1"/>
    </xf>
    <xf numFmtId="0" fontId="27" fillId="11" borderId="14" xfId="2" applyFont="1" applyFill="1" applyBorder="1" applyAlignment="1">
      <alignment horizontal="center" vertical="center" wrapText="1"/>
    </xf>
    <xf numFmtId="43" fontId="28" fillId="11" borderId="14" xfId="5" applyFont="1" applyFill="1" applyBorder="1" applyAlignment="1" applyProtection="1">
      <alignment horizontal="center" vertical="center" wrapText="1"/>
    </xf>
    <xf numFmtId="0" fontId="29" fillId="11" borderId="14" xfId="2" applyFont="1" applyFill="1" applyBorder="1" applyAlignment="1">
      <alignment horizontal="center" vertical="center" wrapText="1"/>
    </xf>
    <xf numFmtId="43" fontId="28" fillId="11" borderId="22" xfId="5" applyFont="1" applyFill="1" applyBorder="1" applyAlignment="1" applyProtection="1">
      <alignment horizontal="center" vertical="center" wrapText="1"/>
    </xf>
    <xf numFmtId="0" fontId="21" fillId="0" borderId="21" xfId="2" applyFont="1" applyBorder="1" applyAlignment="1">
      <alignment horizontal="center" vertical="center"/>
    </xf>
    <xf numFmtId="0" fontId="30" fillId="0" borderId="14" xfId="2" applyFont="1" applyBorder="1" applyAlignment="1">
      <alignment horizontal="center" vertical="center" wrapText="1"/>
    </xf>
    <xf numFmtId="5" fontId="21" fillId="0" borderId="14" xfId="5" applyNumberFormat="1" applyFont="1" applyBorder="1" applyAlignment="1" applyProtection="1">
      <alignment horizontal="right" vertical="center"/>
      <protection locked="0"/>
    </xf>
    <xf numFmtId="167" fontId="21" fillId="0" borderId="14" xfId="3" applyNumberFormat="1" applyFont="1" applyBorder="1" applyAlignment="1" applyProtection="1">
      <alignment vertical="center"/>
      <protection locked="0"/>
    </xf>
    <xf numFmtId="167" fontId="21" fillId="0" borderId="22" xfId="5" applyNumberFormat="1" applyFont="1" applyBorder="1" applyAlignment="1" applyProtection="1">
      <alignment vertical="center"/>
    </xf>
    <xf numFmtId="5" fontId="32" fillId="13" borderId="22" xfId="5" applyNumberFormat="1" applyFont="1" applyFill="1" applyBorder="1" applyAlignment="1" applyProtection="1">
      <alignment horizontal="right" vertical="center"/>
    </xf>
    <xf numFmtId="0" fontId="13" fillId="7" borderId="14" xfId="0" applyFont="1" applyFill="1" applyBorder="1" applyAlignment="1">
      <alignment horizontal="center" vertical="center" wrapText="1"/>
    </xf>
    <xf numFmtId="0" fontId="13" fillId="8" borderId="14" xfId="0" applyFont="1" applyFill="1" applyBorder="1" applyAlignment="1">
      <alignment horizontal="center" vertical="center" wrapText="1"/>
    </xf>
    <xf numFmtId="5" fontId="4" fillId="0" borderId="0" xfId="0" applyNumberFormat="1" applyFont="1" applyAlignment="1">
      <alignment horizontal="right" vertical="top"/>
    </xf>
    <xf numFmtId="0" fontId="13" fillId="9" borderId="15" xfId="0" applyFont="1" applyFill="1" applyBorder="1" applyAlignment="1">
      <alignment horizontal="center" vertical="center" wrapText="1"/>
    </xf>
    <xf numFmtId="0" fontId="12" fillId="9" borderId="15" xfId="0" applyFont="1" applyFill="1" applyBorder="1" applyAlignment="1">
      <alignment horizontal="center" vertical="top" wrapText="1"/>
    </xf>
    <xf numFmtId="164" fontId="8" fillId="0" borderId="14" xfId="0" applyNumberFormat="1" applyFont="1" applyBorder="1" applyAlignment="1">
      <alignment horizontal="right" vertical="top" shrinkToFit="1"/>
    </xf>
    <xf numFmtId="0" fontId="1" fillId="0" borderId="0" xfId="2" applyAlignment="1">
      <alignment vertical="top"/>
    </xf>
    <xf numFmtId="0" fontId="4" fillId="0" borderId="4" xfId="0" applyFont="1" applyBorder="1" applyAlignment="1">
      <alignment horizontal="center" vertical="top" wrapText="1"/>
    </xf>
    <xf numFmtId="0" fontId="4" fillId="0" borderId="0" xfId="0" applyFont="1" applyAlignment="1">
      <alignment horizontal="center" vertical="top"/>
    </xf>
    <xf numFmtId="164" fontId="4" fillId="14" borderId="0" xfId="0" applyNumberFormat="1" applyFont="1" applyFill="1" applyAlignment="1">
      <alignment horizontal="right" vertical="top"/>
    </xf>
    <xf numFmtId="9" fontId="4" fillId="0" borderId="14" xfId="1" applyFont="1" applyBorder="1" applyAlignment="1">
      <alignment horizontal="center" vertical="top"/>
    </xf>
    <xf numFmtId="0" fontId="4" fillId="0" borderId="14" xfId="0" applyFont="1" applyBorder="1" applyAlignment="1">
      <alignment horizontal="center" vertical="top"/>
    </xf>
    <xf numFmtId="164" fontId="4" fillId="0" borderId="14" xfId="0" applyNumberFormat="1" applyFont="1" applyBorder="1" applyAlignment="1">
      <alignment horizontal="right" vertical="top"/>
    </xf>
    <xf numFmtId="0" fontId="37" fillId="0" borderId="0" xfId="0" applyFont="1" applyAlignment="1">
      <alignment horizontal="left" vertical="top"/>
    </xf>
    <xf numFmtId="1" fontId="47" fillId="0" borderId="4" xfId="0" applyNumberFormat="1" applyFont="1" applyBorder="1" applyAlignment="1">
      <alignment horizontal="center" vertical="top" shrinkToFit="1"/>
    </xf>
    <xf numFmtId="0" fontId="49" fillId="0" borderId="4" xfId="0" applyFont="1" applyBorder="1" applyAlignment="1">
      <alignment horizontal="center" vertical="top" wrapText="1"/>
    </xf>
    <xf numFmtId="164" fontId="47" fillId="0" borderId="4" xfId="0" applyNumberFormat="1" applyFont="1" applyBorder="1" applyAlignment="1">
      <alignment horizontal="right" vertical="top" shrinkToFit="1"/>
    </xf>
    <xf numFmtId="165" fontId="47" fillId="0" borderId="4" xfId="0" applyNumberFormat="1" applyFont="1" applyBorder="1" applyAlignment="1">
      <alignment horizontal="right" vertical="top" shrinkToFit="1"/>
    </xf>
    <xf numFmtId="1" fontId="47" fillId="0" borderId="4" xfId="0" applyNumberFormat="1" applyFont="1" applyBorder="1" applyAlignment="1">
      <alignment horizontal="center" vertical="center" shrinkToFit="1"/>
    </xf>
    <xf numFmtId="0" fontId="49" fillId="0" borderId="4" xfId="0" applyFont="1" applyBorder="1" applyAlignment="1">
      <alignment horizontal="center" vertical="center" wrapText="1"/>
    </xf>
    <xf numFmtId="164" fontId="47" fillId="0" borderId="4" xfId="0" applyNumberFormat="1" applyFont="1" applyBorder="1" applyAlignment="1">
      <alignment horizontal="right" vertical="center" shrinkToFit="1"/>
    </xf>
    <xf numFmtId="165" fontId="47" fillId="5" borderId="4" xfId="0" applyNumberFormat="1" applyFont="1" applyFill="1" applyBorder="1" applyAlignment="1">
      <alignment horizontal="right" vertical="center" shrinkToFit="1"/>
    </xf>
    <xf numFmtId="165" fontId="47" fillId="5" borderId="4" xfId="0" applyNumberFormat="1" applyFont="1" applyFill="1" applyBorder="1" applyAlignment="1">
      <alignment horizontal="right" vertical="top" shrinkToFit="1"/>
    </xf>
    <xf numFmtId="165" fontId="47" fillId="0" borderId="4" xfId="0" applyNumberFormat="1" applyFont="1" applyBorder="1" applyAlignment="1">
      <alignment horizontal="right" vertical="center" shrinkToFit="1"/>
    </xf>
    <xf numFmtId="164" fontId="47" fillId="0" borderId="4" xfId="0" applyNumberFormat="1" applyFont="1" applyBorder="1" applyAlignment="1">
      <alignment horizontal="left" vertical="top" shrinkToFit="1"/>
    </xf>
    <xf numFmtId="164" fontId="47" fillId="0" borderId="4" xfId="0" applyNumberFormat="1" applyFont="1" applyBorder="1" applyAlignment="1">
      <alignment horizontal="left" vertical="center" indent="2" shrinkToFit="1"/>
    </xf>
    <xf numFmtId="165" fontId="47" fillId="0" borderId="4" xfId="0" applyNumberFormat="1" applyFont="1" applyBorder="1" applyAlignment="1">
      <alignment horizontal="left" vertical="center" indent="2" shrinkToFit="1"/>
    </xf>
    <xf numFmtId="0" fontId="37" fillId="0" borderId="0" xfId="0" applyFont="1" applyAlignment="1">
      <alignment horizontal="left" wrapText="1"/>
    </xf>
    <xf numFmtId="1" fontId="47" fillId="0" borderId="13" xfId="0" applyNumberFormat="1" applyFont="1" applyBorder="1" applyAlignment="1">
      <alignment horizontal="center" vertical="top" shrinkToFit="1"/>
    </xf>
    <xf numFmtId="0" fontId="49" fillId="0" borderId="13" xfId="0" applyFont="1" applyBorder="1" applyAlignment="1">
      <alignment horizontal="center" vertical="top" wrapText="1"/>
    </xf>
    <xf numFmtId="164" fontId="47" fillId="0" borderId="13" xfId="0" applyNumberFormat="1" applyFont="1" applyBorder="1" applyAlignment="1">
      <alignment horizontal="right" vertical="top" shrinkToFit="1"/>
    </xf>
    <xf numFmtId="0" fontId="46" fillId="4" borderId="14" xfId="0" applyFont="1" applyFill="1" applyBorder="1" applyAlignment="1">
      <alignment horizontal="center" vertical="top" wrapText="1"/>
    </xf>
    <xf numFmtId="0" fontId="46" fillId="4" borderId="14" xfId="0" applyFont="1" applyFill="1" applyBorder="1" applyAlignment="1">
      <alignment horizontal="left" vertical="top" wrapText="1" indent="1"/>
    </xf>
    <xf numFmtId="0" fontId="37" fillId="0" borderId="0" xfId="0" applyFont="1" applyAlignment="1">
      <alignment horizontal="left" vertical="center" wrapText="1"/>
    </xf>
    <xf numFmtId="0" fontId="39" fillId="0" borderId="14" xfId="0" applyFont="1" applyBorder="1" applyAlignment="1">
      <alignment horizontal="center" vertical="top" wrapText="1"/>
    </xf>
    <xf numFmtId="0" fontId="39" fillId="0" borderId="14" xfId="0" applyFont="1" applyBorder="1" applyAlignment="1">
      <alignment horizontal="left" vertical="top" wrapText="1"/>
    </xf>
    <xf numFmtId="0" fontId="37" fillId="0" borderId="0" xfId="0" applyFont="1" applyAlignment="1">
      <alignment horizontal="center" wrapText="1"/>
    </xf>
    <xf numFmtId="0" fontId="37" fillId="0" borderId="4" xfId="0" applyFont="1" applyBorder="1" applyAlignment="1">
      <alignment horizontal="center" vertical="top" wrapText="1"/>
    </xf>
    <xf numFmtId="0" fontId="37" fillId="0" borderId="0" xfId="0" applyFont="1" applyAlignment="1">
      <alignment horizontal="center" vertical="top"/>
    </xf>
    <xf numFmtId="0" fontId="37" fillId="0" borderId="0" xfId="0" applyFont="1" applyAlignment="1">
      <alignment horizontal="left" vertical="center"/>
    </xf>
    <xf numFmtId="164" fontId="47" fillId="0" borderId="37" xfId="0" applyNumberFormat="1" applyFont="1" applyBorder="1" applyAlignment="1">
      <alignment horizontal="right" vertical="center" shrinkToFit="1"/>
    </xf>
    <xf numFmtId="164" fontId="52" fillId="5" borderId="14" xfId="0" applyNumberFormat="1" applyFont="1" applyFill="1" applyBorder="1" applyAlignment="1">
      <alignment horizontal="right" vertical="center" shrinkToFit="1"/>
    </xf>
    <xf numFmtId="0" fontId="21" fillId="0" borderId="21" xfId="2" applyFont="1" applyBorder="1" applyAlignment="1">
      <alignment horizontal="center" vertical="top"/>
    </xf>
    <xf numFmtId="0" fontId="30" fillId="0" borderId="14" xfId="2" applyFont="1" applyBorder="1" applyAlignment="1">
      <alignment horizontal="center" vertical="top" wrapText="1"/>
    </xf>
    <xf numFmtId="5" fontId="21" fillId="0" borderId="14" xfId="5" applyNumberFormat="1" applyFont="1" applyBorder="1" applyAlignment="1" applyProtection="1">
      <alignment horizontal="center" vertical="top"/>
      <protection locked="0"/>
    </xf>
    <xf numFmtId="167" fontId="21" fillId="0" borderId="28" xfId="3" applyNumberFormat="1" applyFont="1" applyBorder="1" applyAlignment="1" applyProtection="1">
      <alignment horizontal="center" vertical="top"/>
      <protection locked="0"/>
    </xf>
    <xf numFmtId="167" fontId="21" fillId="0" borderId="29" xfId="5" applyNumberFormat="1" applyFont="1" applyBorder="1" applyAlignment="1" applyProtection="1">
      <alignment horizontal="right" vertical="top"/>
    </xf>
    <xf numFmtId="5" fontId="21" fillId="0" borderId="14" xfId="5" applyNumberFormat="1" applyFont="1" applyBorder="1" applyAlignment="1" applyProtection="1">
      <alignment horizontal="center" vertical="top" wrapText="1"/>
      <protection locked="0"/>
    </xf>
    <xf numFmtId="167" fontId="21" fillId="0" borderId="14" xfId="3" applyNumberFormat="1" applyFont="1" applyBorder="1" applyAlignment="1" applyProtection="1">
      <alignment vertical="top"/>
      <protection locked="0"/>
    </xf>
    <xf numFmtId="167" fontId="21" fillId="0" borderId="22" xfId="5" applyNumberFormat="1" applyFont="1" applyBorder="1" applyAlignment="1" applyProtection="1">
      <alignment vertical="top"/>
    </xf>
    <xf numFmtId="0" fontId="58" fillId="0" borderId="0" xfId="0" applyFont="1" applyAlignment="1">
      <alignment vertical="center" wrapText="1"/>
    </xf>
    <xf numFmtId="0" fontId="56" fillId="0" borderId="0" xfId="0" applyFont="1" applyAlignment="1">
      <alignment vertical="center"/>
    </xf>
    <xf numFmtId="0" fontId="0" fillId="0" borderId="0" xfId="0" applyAlignment="1">
      <alignment vertical="center"/>
    </xf>
    <xf numFmtId="0" fontId="0" fillId="0" borderId="0" xfId="0" applyAlignment="1">
      <alignment vertical="top"/>
    </xf>
    <xf numFmtId="0" fontId="21" fillId="0" borderId="14" xfId="0" applyFont="1" applyBorder="1" applyAlignment="1">
      <alignment horizontal="center" vertical="center"/>
    </xf>
    <xf numFmtId="0" fontId="21" fillId="12" borderId="14" xfId="0" applyFont="1" applyFill="1" applyBorder="1" applyAlignment="1">
      <alignment horizontal="center" vertical="center" wrapText="1"/>
    </xf>
    <xf numFmtId="43" fontId="56" fillId="16" borderId="14" xfId="6" applyFont="1" applyFill="1" applyBorder="1" applyAlignment="1" applyProtection="1">
      <alignment vertical="center"/>
    </xf>
    <xf numFmtId="0" fontId="21" fillId="12" borderId="14" xfId="0" applyFont="1" applyFill="1" applyBorder="1" applyAlignment="1">
      <alignment horizontal="center" vertical="center"/>
    </xf>
    <xf numFmtId="164" fontId="60" fillId="16" borderId="14" xfId="0" applyNumberFormat="1" applyFont="1" applyFill="1" applyBorder="1" applyAlignment="1">
      <alignment vertical="center" wrapText="1"/>
    </xf>
    <xf numFmtId="0" fontId="61" fillId="0" borderId="14" xfId="0" applyFont="1" applyBorder="1" applyAlignment="1">
      <alignment vertical="center" wrapText="1"/>
    </xf>
    <xf numFmtId="0" fontId="61" fillId="0" borderId="14" xfId="0" applyFont="1" applyBorder="1" applyAlignment="1">
      <alignment horizontal="center" vertical="center" wrapText="1"/>
    </xf>
    <xf numFmtId="0" fontId="59" fillId="0" borderId="0" xfId="0" applyFont="1" applyAlignment="1" applyProtection="1">
      <alignment vertical="center" wrapText="1"/>
      <protection locked="0"/>
    </xf>
    <xf numFmtId="44" fontId="59" fillId="16" borderId="14" xfId="7" applyFont="1" applyFill="1" applyBorder="1" applyAlignment="1" applyProtection="1">
      <alignment vertical="center" wrapText="1"/>
      <protection locked="0"/>
    </xf>
    <xf numFmtId="0" fontId="56" fillId="0" borderId="0" xfId="0" applyFont="1" applyAlignment="1" applyProtection="1">
      <alignment vertical="center" wrapText="1"/>
      <protection locked="0"/>
    </xf>
    <xf numFmtId="0" fontId="56" fillId="0" borderId="0" xfId="0" applyFont="1" applyAlignment="1" applyProtection="1">
      <alignment horizontal="center" vertical="center" wrapText="1"/>
      <protection locked="0"/>
    </xf>
    <xf numFmtId="0" fontId="55" fillId="18" borderId="14" xfId="0" applyFont="1" applyFill="1" applyBorder="1" applyAlignment="1" applyProtection="1">
      <alignment horizontal="center" vertical="center" wrapText="1"/>
      <protection locked="0"/>
    </xf>
    <xf numFmtId="43" fontId="59" fillId="18" borderId="14" xfId="5" applyFont="1" applyFill="1" applyBorder="1" applyAlignment="1" applyProtection="1">
      <alignment horizontal="center" vertical="center" wrapText="1"/>
      <protection locked="0"/>
    </xf>
    <xf numFmtId="0" fontId="56" fillId="0" borderId="14" xfId="0" applyFont="1" applyBorder="1" applyAlignment="1">
      <alignment horizontal="center" vertical="center"/>
    </xf>
    <xf numFmtId="3" fontId="56" fillId="0" borderId="14" xfId="0" applyNumberFormat="1" applyFont="1" applyBorder="1" applyAlignment="1" applyProtection="1">
      <alignment vertical="center" wrapText="1"/>
      <protection locked="0"/>
    </xf>
    <xf numFmtId="0" fontId="4" fillId="0" borderId="0" xfId="0" applyFont="1" applyAlignment="1">
      <alignment horizontal="right" vertical="top"/>
    </xf>
    <xf numFmtId="3" fontId="4" fillId="0" borderId="14" xfId="0" applyNumberFormat="1" applyFont="1" applyBorder="1" applyAlignment="1">
      <alignment horizontal="right" vertical="top"/>
    </xf>
    <xf numFmtId="2" fontId="67" fillId="0" borderId="0" xfId="1" applyNumberFormat="1" applyFont="1" applyFill="1" applyBorder="1" applyAlignment="1">
      <alignment horizontal="center"/>
    </xf>
    <xf numFmtId="2" fontId="67" fillId="21" borderId="0" xfId="1" applyNumberFormat="1" applyFont="1" applyFill="1" applyBorder="1" applyAlignment="1">
      <alignment horizontal="center"/>
    </xf>
    <xf numFmtId="168" fontId="67" fillId="0" borderId="0" xfId="0" applyNumberFormat="1" applyFont="1" applyAlignment="1">
      <alignment horizontal="left"/>
    </xf>
    <xf numFmtId="2" fontId="68" fillId="0" borderId="0" xfId="1" applyNumberFormat="1" applyFont="1" applyFill="1" applyBorder="1" applyAlignment="1">
      <alignment horizontal="center"/>
    </xf>
    <xf numFmtId="168" fontId="67" fillId="21" borderId="0" xfId="0" applyNumberFormat="1" applyFont="1" applyFill="1" applyAlignment="1">
      <alignment horizontal="left"/>
    </xf>
    <xf numFmtId="0" fontId="66" fillId="0" borderId="14" xfId="0" applyFont="1" applyBorder="1" applyAlignment="1">
      <alignment horizontal="center"/>
    </xf>
    <xf numFmtId="10" fontId="69" fillId="0" borderId="14" xfId="1" applyNumberFormat="1" applyFont="1" applyFill="1" applyBorder="1" applyAlignment="1">
      <alignment horizontal="center" vertical="center"/>
    </xf>
    <xf numFmtId="0" fontId="56" fillId="0" borderId="14" xfId="0" applyFont="1" applyBorder="1" applyAlignment="1">
      <alignment horizontal="center" vertical="top"/>
    </xf>
    <xf numFmtId="3" fontId="56" fillId="0" borderId="14" xfId="0" applyNumberFormat="1" applyFont="1" applyBorder="1" applyAlignment="1">
      <alignment horizontal="center" vertical="top" wrapText="1"/>
    </xf>
    <xf numFmtId="3" fontId="57" fillId="17" borderId="14" xfId="0" applyNumberFormat="1" applyFont="1" applyFill="1" applyBorder="1" applyAlignment="1">
      <alignment horizontal="right" vertical="top" wrapText="1"/>
    </xf>
    <xf numFmtId="0" fontId="58" fillId="0" borderId="14" xfId="0" applyFont="1" applyBorder="1" applyAlignment="1">
      <alignment vertical="center" wrapText="1"/>
    </xf>
    <xf numFmtId="5" fontId="58" fillId="0" borderId="14" xfId="0" applyNumberFormat="1" applyFont="1" applyBorder="1" applyAlignment="1">
      <alignment vertical="center" wrapText="1"/>
    </xf>
    <xf numFmtId="5" fontId="60" fillId="16" borderId="14" xfId="0" applyNumberFormat="1" applyFont="1" applyFill="1" applyBorder="1" applyAlignment="1">
      <alignment vertical="center" wrapText="1"/>
    </xf>
    <xf numFmtId="9" fontId="3" fillId="21" borderId="14" xfId="1" applyFont="1" applyFill="1" applyBorder="1" applyAlignment="1">
      <alignment horizontal="center" vertical="top"/>
    </xf>
    <xf numFmtId="2" fontId="3" fillId="21" borderId="14" xfId="1" applyNumberFormat="1" applyFont="1" applyFill="1" applyBorder="1" applyAlignment="1">
      <alignment horizontal="center" vertical="top"/>
    </xf>
    <xf numFmtId="9" fontId="4" fillId="0" borderId="0" xfId="1" applyFont="1" applyAlignment="1">
      <alignment horizontal="left" vertical="top"/>
    </xf>
    <xf numFmtId="0" fontId="13" fillId="0" borderId="0" xfId="0" applyFont="1" applyAlignment="1">
      <alignment vertical="center" wrapText="1"/>
    </xf>
    <xf numFmtId="164" fontId="4" fillId="0" borderId="0" xfId="0" applyNumberFormat="1" applyFont="1" applyAlignment="1">
      <alignment horizontal="right" vertical="top"/>
    </xf>
    <xf numFmtId="9" fontId="4" fillId="0" borderId="0" xfId="1" applyFont="1" applyFill="1" applyAlignment="1">
      <alignment horizontal="left" vertical="top"/>
    </xf>
    <xf numFmtId="9" fontId="8" fillId="0" borderId="10" xfId="1" applyFont="1" applyBorder="1" applyAlignment="1">
      <alignment horizontal="center" vertical="top" shrinkToFit="1"/>
    </xf>
    <xf numFmtId="170" fontId="4" fillId="0" borderId="14" xfId="0" applyNumberFormat="1" applyFont="1" applyBorder="1" applyAlignment="1">
      <alignment horizontal="right" vertical="top"/>
    </xf>
    <xf numFmtId="5" fontId="21" fillId="14" borderId="14" xfId="5" applyNumberFormat="1" applyFont="1" applyFill="1" applyBorder="1" applyAlignment="1" applyProtection="1">
      <alignment horizontal="center" vertical="top"/>
      <protection locked="0"/>
    </xf>
    <xf numFmtId="167" fontId="21" fillId="14" borderId="14" xfId="3" applyNumberFormat="1" applyFont="1" applyFill="1" applyBorder="1" applyAlignment="1" applyProtection="1">
      <alignment vertical="top"/>
      <protection locked="0"/>
    </xf>
    <xf numFmtId="167" fontId="21" fillId="14" borderId="22" xfId="5" applyNumberFormat="1" applyFont="1" applyFill="1" applyBorder="1" applyAlignment="1" applyProtection="1">
      <alignment vertical="top"/>
    </xf>
    <xf numFmtId="0" fontId="1" fillId="14" borderId="0" xfId="2" applyFill="1" applyAlignment="1">
      <alignment vertical="top"/>
    </xf>
    <xf numFmtId="164" fontId="3" fillId="0" borderId="10" xfId="0" applyNumberFormat="1" applyFont="1" applyBorder="1" applyAlignment="1">
      <alignment horizontal="right" vertical="top" shrinkToFi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left" vertical="center"/>
    </xf>
    <xf numFmtId="2" fontId="67" fillId="0" borderId="0" xfId="1" applyNumberFormat="1" applyFont="1" applyFill="1" applyBorder="1" applyAlignment="1">
      <alignment horizontal="center" vertical="center"/>
    </xf>
    <xf numFmtId="0" fontId="0" fillId="25" borderId="0" xfId="0" applyFill="1"/>
    <xf numFmtId="0" fontId="70" fillId="0" borderId="0" xfId="0" applyFont="1"/>
    <xf numFmtId="0" fontId="27" fillId="18" borderId="14" xfId="0" applyFont="1" applyFill="1" applyBorder="1" applyAlignment="1">
      <alignment horizontal="center" vertical="center" wrapText="1"/>
    </xf>
    <xf numFmtId="0" fontId="55" fillId="18" borderId="14" xfId="0" applyFont="1" applyFill="1" applyBorder="1" applyAlignment="1">
      <alignment horizontal="center" vertical="center" wrapText="1"/>
    </xf>
    <xf numFmtId="0" fontId="16" fillId="0" borderId="14" xfId="0" applyFont="1" applyBorder="1" applyAlignment="1" applyProtection="1">
      <alignment horizontal="left" vertical="top" wrapText="1"/>
      <protection locked="0"/>
    </xf>
    <xf numFmtId="0" fontId="0" fillId="14" borderId="0" xfId="0" applyFill="1" applyAlignment="1">
      <alignment horizontal="center"/>
    </xf>
    <xf numFmtId="0" fontId="3" fillId="0" borderId="1" xfId="0" applyFont="1" applyBorder="1" applyAlignment="1">
      <alignment vertical="top" wrapText="1"/>
    </xf>
    <xf numFmtId="0" fontId="57" fillId="0" borderId="39" xfId="0" applyFont="1" applyBorder="1" applyAlignment="1">
      <alignment vertical="top" wrapText="1"/>
    </xf>
    <xf numFmtId="0" fontId="57" fillId="0" borderId="14" xfId="0" applyFont="1" applyBorder="1" applyAlignment="1">
      <alignment vertical="top" wrapText="1"/>
    </xf>
    <xf numFmtId="0" fontId="6" fillId="4" borderId="14" xfId="0" applyFont="1" applyFill="1" applyBorder="1" applyAlignment="1">
      <alignment vertical="center" wrapText="1"/>
    </xf>
    <xf numFmtId="0" fontId="3" fillId="0" borderId="10" xfId="0" applyFont="1" applyBorder="1" applyAlignment="1">
      <alignment vertical="top" wrapText="1"/>
    </xf>
    <xf numFmtId="0" fontId="4" fillId="0" borderId="1" xfId="0" applyFont="1" applyBorder="1" applyAlignment="1">
      <alignment vertical="top" wrapText="1"/>
    </xf>
    <xf numFmtId="0" fontId="6" fillId="0" borderId="1" xfId="0" applyFont="1" applyBorder="1" applyAlignment="1">
      <alignment vertical="top" wrapText="1"/>
    </xf>
    <xf numFmtId="0" fontId="55" fillId="18" borderId="40" xfId="0" applyFont="1" applyFill="1" applyBorder="1" applyAlignment="1">
      <alignment horizontal="center" vertical="center" wrapText="1"/>
    </xf>
    <xf numFmtId="0" fontId="55" fillId="18" borderId="39" xfId="0" applyFont="1" applyFill="1" applyBorder="1" applyAlignment="1">
      <alignment horizontal="center" vertical="center" wrapText="1"/>
    </xf>
    <xf numFmtId="0" fontId="35" fillId="15" borderId="0" xfId="0" applyFont="1" applyFill="1" applyAlignment="1">
      <alignment horizontal="centerContinuous" vertical="center"/>
    </xf>
    <xf numFmtId="0" fontId="0" fillId="0" borderId="0" xfId="0" applyAlignment="1">
      <alignment horizontal="center"/>
    </xf>
    <xf numFmtId="0" fontId="21" fillId="12" borderId="15" xfId="0" applyFont="1" applyFill="1" applyBorder="1" applyAlignment="1">
      <alignment horizontal="left" vertical="top" wrapText="1"/>
    </xf>
    <xf numFmtId="0" fontId="21" fillId="14" borderId="15" xfId="0" applyFont="1" applyFill="1" applyBorder="1" applyAlignment="1">
      <alignment horizontal="left" vertical="top" wrapText="1"/>
    </xf>
    <xf numFmtId="0" fontId="59" fillId="16" borderId="15" xfId="0" applyFont="1" applyFill="1" applyBorder="1" applyAlignment="1">
      <alignment horizontal="center" vertical="center" wrapText="1"/>
    </xf>
    <xf numFmtId="0" fontId="59" fillId="16" borderId="16" xfId="0" applyFont="1" applyFill="1" applyBorder="1" applyAlignment="1">
      <alignment horizontal="center" vertical="center" wrapText="1"/>
    </xf>
    <xf numFmtId="0" fontId="59" fillId="16" borderId="38" xfId="0" applyFont="1" applyFill="1" applyBorder="1" applyAlignment="1">
      <alignment horizontal="center" vertical="center" wrapText="1"/>
    </xf>
    <xf numFmtId="0" fontId="21" fillId="12" borderId="15" xfId="0" applyFont="1" applyFill="1" applyBorder="1" applyAlignment="1">
      <alignment vertical="top" wrapText="1"/>
    </xf>
    <xf numFmtId="0" fontId="21" fillId="14" borderId="15" xfId="0" applyFont="1" applyFill="1" applyBorder="1" applyAlignment="1">
      <alignment vertical="top" wrapText="1"/>
    </xf>
    <xf numFmtId="0" fontId="35" fillId="15" borderId="15" xfId="0" applyFont="1" applyFill="1" applyBorder="1" applyAlignment="1">
      <alignment horizontal="centerContinuous" vertical="justify" wrapText="1"/>
    </xf>
    <xf numFmtId="0" fontId="35" fillId="15" borderId="38" xfId="0" applyFont="1" applyFill="1" applyBorder="1" applyAlignment="1">
      <alignment horizontal="centerContinuous" vertical="justify" wrapText="1"/>
    </xf>
    <xf numFmtId="1" fontId="8" fillId="0" borderId="41" xfId="0" applyNumberFormat="1" applyFont="1" applyBorder="1" applyAlignment="1">
      <alignment horizontal="center" vertical="top" shrinkToFit="1"/>
    </xf>
    <xf numFmtId="0" fontId="3" fillId="0" borderId="8" xfId="0" applyFont="1" applyBorder="1" applyAlignment="1">
      <alignment vertical="top" wrapText="1"/>
    </xf>
    <xf numFmtId="1" fontId="0" fillId="0" borderId="0" xfId="7" applyNumberFormat="1" applyFont="1" applyAlignment="1">
      <alignment horizontal="center"/>
    </xf>
    <xf numFmtId="0" fontId="0" fillId="0" borderId="0" xfId="0" applyAlignment="1">
      <alignment vertical="center" wrapText="1"/>
    </xf>
    <xf numFmtId="1" fontId="0" fillId="0" borderId="14" xfId="0" applyNumberFormat="1" applyBorder="1" applyAlignment="1">
      <alignment horizontal="center"/>
    </xf>
    <xf numFmtId="0" fontId="0" fillId="0" borderId="14" xfId="0" applyBorder="1" applyAlignment="1">
      <alignment horizontal="center"/>
    </xf>
    <xf numFmtId="0" fontId="0" fillId="0" borderId="15" xfId="0" applyBorder="1"/>
    <xf numFmtId="0" fontId="16" fillId="0" borderId="14" xfId="0" applyFont="1" applyBorder="1" applyAlignment="1" applyProtection="1">
      <alignment horizontal="center" vertical="top" wrapText="1"/>
      <protection locked="0"/>
    </xf>
    <xf numFmtId="0" fontId="0" fillId="25" borderId="0" xfId="0" applyFill="1" applyAlignment="1">
      <alignment horizontal="center"/>
    </xf>
    <xf numFmtId="0" fontId="61" fillId="0" borderId="14" xfId="0" applyFont="1" applyBorder="1" applyAlignment="1">
      <alignment horizontal="left" vertical="center" wrapText="1"/>
    </xf>
    <xf numFmtId="1" fontId="0" fillId="0" borderId="39" xfId="0" applyNumberFormat="1" applyBorder="1" applyAlignment="1">
      <alignment horizontal="center"/>
    </xf>
    <xf numFmtId="0" fontId="3" fillId="0" borderId="10" xfId="0" applyFont="1" applyBorder="1" applyAlignment="1">
      <alignment horizontal="center" vertical="top" wrapText="1"/>
    </xf>
    <xf numFmtId="0" fontId="3" fillId="0" borderId="1" xfId="0" applyFont="1" applyBorder="1" applyAlignment="1">
      <alignment horizontal="center" vertical="top" wrapText="1"/>
    </xf>
    <xf numFmtId="0" fontId="3" fillId="0" borderId="1" xfId="0" applyFont="1" applyBorder="1" applyAlignment="1">
      <alignment horizontal="center" vertical="center" wrapText="1"/>
    </xf>
    <xf numFmtId="0" fontId="4" fillId="0" borderId="1" xfId="0" applyFont="1" applyBorder="1" applyAlignment="1">
      <alignment horizontal="center" vertical="top" wrapText="1"/>
    </xf>
    <xf numFmtId="164" fontId="8" fillId="0" borderId="11" xfId="0" applyNumberFormat="1" applyFont="1" applyBorder="1" applyAlignment="1">
      <alignment horizontal="right" vertical="top" shrinkToFit="1"/>
    </xf>
    <xf numFmtId="44" fontId="0" fillId="0" borderId="0" xfId="0" applyNumberFormat="1"/>
    <xf numFmtId="44" fontId="0" fillId="0" borderId="14" xfId="7" applyFont="1" applyBorder="1"/>
    <xf numFmtId="9" fontId="8" fillId="0" borderId="10" xfId="1" applyFont="1" applyFill="1" applyBorder="1" applyAlignment="1">
      <alignment horizontal="center" vertical="top" shrinkToFit="1"/>
    </xf>
    <xf numFmtId="9" fontId="4" fillId="0" borderId="14" xfId="1" applyFont="1" applyFill="1" applyBorder="1" applyAlignment="1">
      <alignment horizontal="center" vertical="top"/>
    </xf>
    <xf numFmtId="9" fontId="3" fillId="0" borderId="14" xfId="1" applyFont="1" applyFill="1" applyBorder="1" applyAlignment="1">
      <alignment horizontal="center" vertical="top"/>
    </xf>
    <xf numFmtId="0" fontId="0" fillId="12" borderId="14" xfId="0" applyFill="1" applyBorder="1" applyAlignment="1">
      <alignment horizontal="center"/>
    </xf>
    <xf numFmtId="44" fontId="0" fillId="0" borderId="14" xfId="0" applyNumberFormat="1" applyBorder="1"/>
    <xf numFmtId="171" fontId="4" fillId="0" borderId="14" xfId="7" applyNumberFormat="1" applyFont="1" applyBorder="1" applyAlignment="1">
      <alignment horizontal="center" vertical="top"/>
    </xf>
    <xf numFmtId="0" fontId="4" fillId="0" borderId="14" xfId="0" applyFont="1" applyBorder="1" applyAlignment="1">
      <alignment horizontal="left" vertical="top"/>
    </xf>
    <xf numFmtId="0" fontId="4" fillId="0" borderId="14" xfId="0" applyFont="1" applyBorder="1" applyAlignment="1">
      <alignment horizontal="left" vertical="top" wrapText="1"/>
    </xf>
    <xf numFmtId="44" fontId="0" fillId="0" borderId="0" xfId="7" applyFont="1"/>
    <xf numFmtId="171" fontId="0" fillId="0" borderId="0" xfId="0" applyNumberFormat="1"/>
    <xf numFmtId="171" fontId="0" fillId="0" borderId="0" xfId="7" applyNumberFormat="1" applyFont="1"/>
    <xf numFmtId="1" fontId="0" fillId="0" borderId="0" xfId="0" applyNumberFormat="1" applyAlignment="1">
      <alignment horizontal="center"/>
    </xf>
    <xf numFmtId="1" fontId="0" fillId="0" borderId="0" xfId="0" applyNumberFormat="1"/>
    <xf numFmtId="44" fontId="0" fillId="0" borderId="28" xfId="7" applyFont="1" applyBorder="1"/>
    <xf numFmtId="44" fontId="0" fillId="0" borderId="28" xfId="0" applyNumberFormat="1" applyBorder="1"/>
    <xf numFmtId="44" fontId="0" fillId="0" borderId="42" xfId="7" applyFont="1" applyBorder="1"/>
    <xf numFmtId="44" fontId="0" fillId="0" borderId="42" xfId="0" applyNumberFormat="1" applyBorder="1"/>
    <xf numFmtId="44" fontId="0" fillId="0" borderId="39" xfId="7" applyFont="1" applyBorder="1"/>
    <xf numFmtId="44" fontId="0" fillId="0" borderId="39" xfId="0" applyNumberFormat="1" applyBorder="1"/>
    <xf numFmtId="0" fontId="0" fillId="0" borderId="39" xfId="0" applyBorder="1"/>
    <xf numFmtId="0" fontId="0" fillId="12" borderId="0" xfId="0" applyFill="1" applyAlignment="1">
      <alignment horizontal="center" vertical="center"/>
    </xf>
    <xf numFmtId="0" fontId="0" fillId="12" borderId="0" xfId="0" applyFill="1" applyAlignment="1">
      <alignment horizontal="center" vertical="center" wrapText="1"/>
    </xf>
    <xf numFmtId="44" fontId="0" fillId="12" borderId="0" xfId="0" applyNumberFormat="1" applyFill="1"/>
    <xf numFmtId="0" fontId="4" fillId="0" borderId="14" xfId="0" applyFont="1" applyBorder="1" applyAlignment="1">
      <alignment horizontal="left" vertical="center" wrapText="1"/>
    </xf>
    <xf numFmtId="5" fontId="21" fillId="0" borderId="14" xfId="5" applyNumberFormat="1" applyFont="1" applyFill="1" applyBorder="1" applyAlignment="1" applyProtection="1">
      <alignment horizontal="right" vertical="center"/>
      <protection locked="0"/>
    </xf>
    <xf numFmtId="167" fontId="21" fillId="0" borderId="14" xfId="3" applyNumberFormat="1" applyFont="1" applyFill="1" applyBorder="1" applyAlignment="1" applyProtection="1">
      <alignment vertical="center"/>
      <protection locked="0"/>
    </xf>
    <xf numFmtId="167" fontId="21" fillId="0" borderId="22" xfId="5" applyNumberFormat="1" applyFont="1" applyFill="1" applyBorder="1" applyAlignment="1" applyProtection="1">
      <alignment vertical="center"/>
    </xf>
    <xf numFmtId="3" fontId="4" fillId="21" borderId="14" xfId="0" applyNumberFormat="1" applyFont="1" applyFill="1" applyBorder="1" applyAlignment="1">
      <alignment horizontal="right" vertical="top"/>
    </xf>
    <xf numFmtId="171" fontId="0" fillId="12" borderId="0" xfId="7" applyNumberFormat="1" applyFont="1" applyFill="1" applyBorder="1"/>
    <xf numFmtId="0" fontId="35" fillId="21" borderId="14" xfId="0" applyFont="1" applyFill="1" applyBorder="1" applyAlignment="1">
      <alignment horizontal="center" vertical="center"/>
    </xf>
    <xf numFmtId="164" fontId="8" fillId="0" borderId="0" xfId="0" applyNumberFormat="1" applyFont="1" applyAlignment="1">
      <alignment horizontal="right" vertical="center" shrinkToFit="1"/>
    </xf>
    <xf numFmtId="164" fontId="8" fillId="18" borderId="0" xfId="0" applyNumberFormat="1" applyFont="1" applyFill="1" applyAlignment="1">
      <alignment horizontal="right" vertical="center" shrinkToFit="1"/>
    </xf>
    <xf numFmtId="9" fontId="4" fillId="0" borderId="0" xfId="1" applyFont="1" applyBorder="1" applyAlignment="1">
      <alignment horizontal="center" vertical="top"/>
    </xf>
    <xf numFmtId="164" fontId="4" fillId="0" borderId="0" xfId="0" applyNumberFormat="1" applyFont="1" applyAlignment="1">
      <alignment horizontal="right" vertical="center"/>
    </xf>
    <xf numFmtId="3" fontId="4" fillId="0" borderId="0" xfId="0" applyNumberFormat="1" applyFont="1" applyAlignment="1">
      <alignment horizontal="right" vertical="center"/>
    </xf>
    <xf numFmtId="9" fontId="4" fillId="0" borderId="14" xfId="1" applyFont="1" applyFill="1" applyBorder="1" applyAlignment="1">
      <alignment horizontal="left" vertical="top"/>
    </xf>
    <xf numFmtId="9" fontId="3" fillId="0" borderId="0" xfId="1" applyFont="1" applyFill="1" applyBorder="1" applyAlignment="1">
      <alignment horizontal="center" vertical="center"/>
    </xf>
    <xf numFmtId="2" fontId="3" fillId="0" borderId="0" xfId="1" applyNumberFormat="1" applyFont="1" applyFill="1" applyBorder="1" applyAlignment="1">
      <alignment horizontal="center" vertical="center"/>
    </xf>
    <xf numFmtId="164" fontId="7" fillId="5" borderId="28" xfId="0" applyNumberFormat="1" applyFont="1" applyFill="1" applyBorder="1" applyAlignment="1">
      <alignment horizontal="center" vertical="center" shrinkToFit="1"/>
    </xf>
    <xf numFmtId="1" fontId="8" fillId="0" borderId="0" xfId="0" applyNumberFormat="1" applyFont="1" applyAlignment="1">
      <alignment horizontal="center" vertical="center" shrinkToFit="1"/>
    </xf>
    <xf numFmtId="170" fontId="8" fillId="0" borderId="0" xfId="0" applyNumberFormat="1" applyFont="1" applyAlignment="1">
      <alignment horizontal="right" vertical="center" shrinkToFit="1"/>
    </xf>
    <xf numFmtId="164" fontId="7" fillId="5" borderId="48" xfId="0" applyNumberFormat="1" applyFont="1" applyFill="1" applyBorder="1" applyAlignment="1">
      <alignment horizontal="center" vertical="center" shrinkToFit="1"/>
    </xf>
    <xf numFmtId="164" fontId="7" fillId="14" borderId="14" xfId="0" applyNumberFormat="1" applyFont="1" applyFill="1" applyBorder="1" applyAlignment="1">
      <alignment horizontal="center" vertical="center" shrinkToFit="1"/>
    </xf>
    <xf numFmtId="10" fontId="69" fillId="0" borderId="0" xfId="1" applyNumberFormat="1" applyFont="1" applyFill="1" applyBorder="1" applyAlignment="1">
      <alignment horizontal="center" vertical="center"/>
    </xf>
    <xf numFmtId="0" fontId="66" fillId="0" borderId="0" xfId="0" applyFont="1" applyAlignment="1">
      <alignment horizontal="center"/>
    </xf>
    <xf numFmtId="169" fontId="3" fillId="0" borderId="0" xfId="1" applyNumberFormat="1" applyFont="1" applyFill="1" applyBorder="1" applyAlignment="1">
      <alignment horizontal="right" vertical="top"/>
    </xf>
    <xf numFmtId="0" fontId="4" fillId="0" borderId="14" xfId="0" applyFont="1" applyBorder="1" applyAlignment="1">
      <alignment horizontal="right" vertical="top"/>
    </xf>
    <xf numFmtId="0" fontId="35" fillId="14" borderId="14" xfId="0" applyFont="1" applyFill="1" applyBorder="1" applyAlignment="1">
      <alignment horizontal="center" vertical="center" wrapText="1"/>
    </xf>
    <xf numFmtId="171" fontId="72" fillId="14" borderId="49" xfId="0" applyNumberFormat="1" applyFont="1" applyFill="1" applyBorder="1" applyAlignment="1">
      <alignment horizontal="center" vertical="center"/>
    </xf>
    <xf numFmtId="3" fontId="4" fillId="0" borderId="0" xfId="0" applyNumberFormat="1" applyFont="1" applyAlignment="1">
      <alignment horizontal="right" vertical="top"/>
    </xf>
    <xf numFmtId="0" fontId="4" fillId="0" borderId="5" xfId="0" applyFont="1" applyBorder="1" applyAlignment="1">
      <alignment horizontal="left" wrapText="1"/>
    </xf>
    <xf numFmtId="0" fontId="73" fillId="0" borderId="8" xfId="0" applyFont="1" applyBorder="1" applyAlignment="1">
      <alignment horizontal="center" vertical="top" wrapText="1"/>
    </xf>
    <xf numFmtId="0" fontId="73" fillId="0" borderId="0" xfId="0" applyFont="1" applyAlignment="1">
      <alignment horizontal="left" vertical="top" wrapText="1"/>
    </xf>
    <xf numFmtId="0" fontId="73" fillId="3" borderId="4" xfId="0" applyFont="1" applyFill="1" applyBorder="1" applyAlignment="1">
      <alignment horizontal="center" vertical="top" wrapText="1"/>
    </xf>
    <xf numFmtId="0" fontId="73" fillId="3" borderId="4" xfId="0" applyFont="1" applyFill="1" applyBorder="1" applyAlignment="1">
      <alignment horizontal="left" vertical="top" wrapText="1" indent="1"/>
    </xf>
    <xf numFmtId="0" fontId="73" fillId="3" borderId="4" xfId="0" applyFont="1" applyFill="1" applyBorder="1" applyAlignment="1">
      <alignment horizontal="left" vertical="top" wrapText="1" indent="2"/>
    </xf>
    <xf numFmtId="0" fontId="78" fillId="26" borderId="4" xfId="0" applyFont="1" applyFill="1" applyBorder="1" applyAlignment="1">
      <alignment horizontal="center" vertical="top" wrapText="1"/>
    </xf>
    <xf numFmtId="1" fontId="75" fillId="0" borderId="4" xfId="0" applyNumberFormat="1" applyFont="1" applyBorder="1" applyAlignment="1">
      <alignment horizontal="center" vertical="top" shrinkToFit="1"/>
    </xf>
    <xf numFmtId="0" fontId="73" fillId="0" borderId="4" xfId="0" applyFont="1" applyBorder="1" applyAlignment="1">
      <alignment horizontal="center" vertical="top" wrapText="1"/>
    </xf>
    <xf numFmtId="164" fontId="75" fillId="27" borderId="4" xfId="0" applyNumberFormat="1" applyFont="1" applyFill="1" applyBorder="1" applyAlignment="1">
      <alignment horizontal="left" vertical="top" indent="3" shrinkToFit="1"/>
    </xf>
    <xf numFmtId="164" fontId="75" fillId="0" borderId="4" xfId="0" applyNumberFormat="1" applyFont="1" applyBorder="1" applyAlignment="1">
      <alignment horizontal="center" vertical="top" shrinkToFit="1"/>
    </xf>
    <xf numFmtId="0" fontId="76" fillId="0" borderId="4" xfId="0" applyFont="1" applyBorder="1" applyAlignment="1">
      <alignment horizontal="center" vertical="top" wrapText="1"/>
    </xf>
    <xf numFmtId="164" fontId="75" fillId="27" borderId="4" xfId="0" applyNumberFormat="1" applyFont="1" applyFill="1" applyBorder="1" applyAlignment="1">
      <alignment horizontal="center" vertical="top" shrinkToFit="1"/>
    </xf>
    <xf numFmtId="165" fontId="75" fillId="0" borderId="4" xfId="0" applyNumberFormat="1" applyFont="1" applyBorder="1" applyAlignment="1">
      <alignment horizontal="center" vertical="top" shrinkToFit="1"/>
    </xf>
    <xf numFmtId="165" fontId="75" fillId="27" borderId="4" xfId="0" applyNumberFormat="1" applyFont="1" applyFill="1" applyBorder="1" applyAlignment="1">
      <alignment horizontal="center" vertical="top" shrinkToFit="1"/>
    </xf>
    <xf numFmtId="165" fontId="75" fillId="27" borderId="4" xfId="0" applyNumberFormat="1" applyFont="1" applyFill="1" applyBorder="1" applyAlignment="1">
      <alignment horizontal="center" vertical="center" shrinkToFit="1"/>
    </xf>
    <xf numFmtId="165" fontId="75" fillId="0" borderId="4" xfId="0" applyNumberFormat="1" applyFont="1" applyBorder="1" applyAlignment="1">
      <alignment horizontal="center" vertical="center" shrinkToFit="1"/>
    </xf>
    <xf numFmtId="164" fontId="75" fillId="0" borderId="4" xfId="0" applyNumberFormat="1" applyFont="1" applyBorder="1" applyAlignment="1">
      <alignment horizontal="center" vertical="center" shrinkToFit="1"/>
    </xf>
    <xf numFmtId="0" fontId="76" fillId="0" borderId="4" xfId="0" applyFont="1" applyBorder="1" applyAlignment="1">
      <alignment horizontal="center" vertical="center" wrapText="1"/>
    </xf>
    <xf numFmtId="164" fontId="75" fillId="27" borderId="4" xfId="0" applyNumberFormat="1" applyFont="1" applyFill="1" applyBorder="1" applyAlignment="1">
      <alignment horizontal="center" vertical="center" shrinkToFit="1"/>
    </xf>
    <xf numFmtId="1" fontId="75" fillId="0" borderId="4" xfId="0" applyNumberFormat="1" applyFont="1" applyBorder="1" applyAlignment="1">
      <alignment horizontal="center" vertical="center" shrinkToFit="1"/>
    </xf>
    <xf numFmtId="0" fontId="73" fillId="0" borderId="4" xfId="0" applyFont="1" applyBorder="1" applyAlignment="1">
      <alignment horizontal="center" vertical="center" wrapText="1"/>
    </xf>
    <xf numFmtId="164" fontId="75" fillId="0" borderId="4" xfId="0" applyNumberFormat="1" applyFont="1" applyBorder="1" applyAlignment="1">
      <alignment horizontal="left" vertical="top" indent="3" shrinkToFit="1"/>
    </xf>
    <xf numFmtId="164" fontId="75" fillId="0" borderId="4" xfId="0" applyNumberFormat="1" applyFont="1" applyBorder="1" applyAlignment="1">
      <alignment horizontal="left" vertical="top" indent="2" shrinkToFit="1"/>
    </xf>
    <xf numFmtId="0" fontId="76" fillId="0" borderId="4" xfId="0" applyFont="1" applyBorder="1" applyAlignment="1">
      <alignment horizontal="left" vertical="top" wrapText="1"/>
    </xf>
    <xf numFmtId="164" fontId="75" fillId="28" borderId="4" xfId="0" applyNumberFormat="1" applyFont="1" applyFill="1" applyBorder="1" applyAlignment="1">
      <alignment horizontal="left" vertical="top" indent="3" shrinkToFit="1"/>
    </xf>
    <xf numFmtId="9" fontId="4" fillId="0" borderId="28" xfId="1" applyFont="1" applyFill="1" applyBorder="1" applyAlignment="1">
      <alignment horizontal="left" vertical="top"/>
    </xf>
    <xf numFmtId="0" fontId="4" fillId="0" borderId="28" xfId="0" applyFont="1" applyBorder="1" applyAlignment="1">
      <alignment horizontal="right" vertical="top"/>
    </xf>
    <xf numFmtId="0" fontId="4" fillId="0" borderId="28" xfId="0" applyFont="1" applyBorder="1" applyAlignment="1">
      <alignment horizontal="center" vertical="top"/>
    </xf>
    <xf numFmtId="43" fontId="28" fillId="11" borderId="14" xfId="10" applyFont="1" applyFill="1" applyBorder="1" applyAlignment="1" applyProtection="1">
      <alignment horizontal="center" vertical="center" wrapText="1"/>
    </xf>
    <xf numFmtId="43" fontId="28" fillId="11" borderId="22" xfId="10" applyFont="1" applyFill="1" applyBorder="1" applyAlignment="1" applyProtection="1">
      <alignment horizontal="center" vertical="center" wrapText="1"/>
    </xf>
    <xf numFmtId="0" fontId="16" fillId="0" borderId="23" xfId="0" applyFont="1" applyBorder="1" applyAlignment="1">
      <alignment horizontal="center" vertical="center" wrapText="1"/>
    </xf>
    <xf numFmtId="0" fontId="16" fillId="0" borderId="0" xfId="0" applyFont="1" applyAlignment="1">
      <alignment wrapText="1"/>
    </xf>
    <xf numFmtId="0" fontId="16" fillId="0" borderId="0" xfId="0" applyFont="1" applyAlignment="1">
      <alignment horizontal="center" vertical="center" wrapText="1"/>
    </xf>
    <xf numFmtId="0" fontId="16" fillId="0" borderId="0" xfId="0" applyFont="1" applyAlignment="1">
      <alignment vertical="center" wrapText="1"/>
    </xf>
    <xf numFmtId="0" fontId="16" fillId="0" borderId="24" xfId="0" applyFont="1" applyBorder="1" applyAlignment="1">
      <alignment vertical="center" wrapText="1"/>
    </xf>
    <xf numFmtId="0" fontId="21" fillId="0" borderId="23" xfId="0" applyFont="1" applyBorder="1" applyAlignment="1">
      <alignment horizontal="center" vertical="center" wrapText="1"/>
    </xf>
    <xf numFmtId="0" fontId="21" fillId="0" borderId="0" xfId="0" applyFont="1" applyAlignment="1">
      <alignment horizontal="left" wrapText="1"/>
    </xf>
    <xf numFmtId="9" fontId="21" fillId="0" borderId="0" xfId="1" applyFont="1" applyBorder="1" applyAlignment="1" applyProtection="1">
      <alignment horizontal="left" vertical="center" wrapText="1"/>
    </xf>
    <xf numFmtId="0" fontId="16" fillId="0" borderId="27" xfId="0" applyFont="1" applyBorder="1" applyAlignment="1">
      <alignment horizontal="center" vertical="center" wrapText="1"/>
    </xf>
    <xf numFmtId="9" fontId="16" fillId="0" borderId="0" xfId="0" applyNumberFormat="1" applyFont="1" applyAlignment="1">
      <alignment vertical="center" wrapText="1"/>
    </xf>
    <xf numFmtId="0" fontId="27" fillId="11" borderId="21" xfId="0" applyFont="1" applyFill="1" applyBorder="1" applyAlignment="1">
      <alignment horizontal="center" vertical="center" wrapText="1"/>
    </xf>
    <xf numFmtId="0" fontId="27" fillId="11" borderId="14" xfId="0" applyFont="1" applyFill="1" applyBorder="1" applyAlignment="1">
      <alignment horizontal="center" vertical="center" wrapText="1"/>
    </xf>
    <xf numFmtId="0" fontId="29" fillId="11" borderId="14" xfId="0" applyFont="1" applyFill="1" applyBorder="1" applyAlignment="1">
      <alignment horizontal="center" vertical="center" wrapText="1"/>
    </xf>
    <xf numFmtId="0" fontId="21" fillId="0" borderId="21" xfId="0" applyFont="1" applyBorder="1" applyAlignment="1">
      <alignment horizontal="center" vertical="center"/>
    </xf>
    <xf numFmtId="0" fontId="30" fillId="0" borderId="14" xfId="0" applyFont="1" applyBorder="1" applyAlignment="1">
      <alignment horizontal="center" vertical="center" wrapText="1"/>
    </xf>
    <xf numFmtId="5" fontId="21" fillId="0" borderId="14" xfId="10" applyNumberFormat="1" applyFont="1" applyBorder="1" applyAlignment="1" applyProtection="1">
      <alignment horizontal="right" vertical="center"/>
      <protection locked="0"/>
    </xf>
    <xf numFmtId="167" fontId="21" fillId="0" borderId="14" xfId="1" applyNumberFormat="1" applyFont="1" applyBorder="1" applyAlignment="1" applyProtection="1">
      <alignment vertical="center"/>
      <protection locked="0"/>
    </xf>
    <xf numFmtId="167" fontId="21" fillId="0" borderId="22" xfId="10" applyNumberFormat="1" applyFont="1" applyBorder="1" applyAlignment="1" applyProtection="1">
      <alignment vertical="center"/>
    </xf>
    <xf numFmtId="5" fontId="21" fillId="0" borderId="14" xfId="10" applyNumberFormat="1" applyFont="1" applyBorder="1" applyAlignment="1" applyProtection="1">
      <alignment horizontal="center" vertical="center"/>
      <protection locked="0"/>
    </xf>
    <xf numFmtId="5" fontId="21" fillId="0" borderId="14" xfId="10" applyNumberFormat="1" applyFont="1" applyBorder="1" applyAlignment="1" applyProtection="1">
      <alignment horizontal="center" vertical="center" wrapText="1"/>
      <protection locked="0"/>
    </xf>
    <xf numFmtId="5" fontId="32" fillId="13" borderId="22" xfId="10" applyNumberFormat="1" applyFont="1" applyFill="1" applyBorder="1" applyAlignment="1" applyProtection="1">
      <alignment horizontal="right" vertical="center"/>
    </xf>
    <xf numFmtId="167" fontId="21" fillId="0" borderId="28" xfId="1" applyNumberFormat="1" applyFont="1" applyBorder="1" applyAlignment="1" applyProtection="1">
      <alignment horizontal="center" vertical="center"/>
      <protection locked="0"/>
    </xf>
    <xf numFmtId="167" fontId="21" fillId="0" borderId="29" xfId="10" applyNumberFormat="1" applyFont="1" applyBorder="1" applyAlignment="1" applyProtection="1">
      <alignment horizontal="right" vertical="center"/>
    </xf>
    <xf numFmtId="9" fontId="4" fillId="0" borderId="0" xfId="1" applyFont="1" applyFill="1" applyBorder="1" applyAlignment="1">
      <alignment horizontal="left" vertical="top"/>
    </xf>
    <xf numFmtId="3" fontId="4" fillId="17" borderId="0" xfId="0" applyNumberFormat="1" applyFont="1" applyFill="1" applyAlignment="1">
      <alignment horizontal="right" vertical="top"/>
    </xf>
    <xf numFmtId="0" fontId="35" fillId="29" borderId="14" xfId="0" applyFont="1" applyFill="1" applyBorder="1" applyAlignment="1">
      <alignment horizontal="center" vertical="center" wrapText="1"/>
    </xf>
    <xf numFmtId="0" fontId="35" fillId="14" borderId="15" xfId="0" applyFont="1" applyFill="1" applyBorder="1" applyAlignment="1">
      <alignment horizontal="center" vertical="center"/>
    </xf>
    <xf numFmtId="0" fontId="35" fillId="0" borderId="0" xfId="0" applyFont="1" applyAlignment="1">
      <alignment vertical="top"/>
    </xf>
    <xf numFmtId="173" fontId="0" fillId="0" borderId="0" xfId="6" applyNumberFormat="1" applyFont="1"/>
    <xf numFmtId="0" fontId="6" fillId="4" borderId="14" xfId="0" applyFont="1" applyFill="1" applyBorder="1" applyAlignment="1">
      <alignment horizontal="center" vertical="center" wrapText="1"/>
    </xf>
    <xf numFmtId="6" fontId="0" fillId="0" borderId="0" xfId="0" applyNumberFormat="1"/>
    <xf numFmtId="0" fontId="13" fillId="0" borderId="0" xfId="0" applyFont="1" applyAlignment="1">
      <alignment horizontal="center" vertical="center"/>
    </xf>
    <xf numFmtId="0" fontId="35" fillId="0" borderId="0" xfId="0" applyFont="1"/>
    <xf numFmtId="0" fontId="35" fillId="0" borderId="0" xfId="2" applyFont="1" applyAlignment="1">
      <alignment horizontal="center" vertical="center"/>
    </xf>
    <xf numFmtId="0" fontId="35" fillId="0" borderId="0" xfId="2" applyFont="1" applyAlignment="1">
      <alignment vertical="center"/>
    </xf>
    <xf numFmtId="0" fontId="1" fillId="0" borderId="0" xfId="2" applyFill="1"/>
    <xf numFmtId="0" fontId="35" fillId="14" borderId="50" xfId="0" applyFont="1" applyFill="1" applyBorder="1" applyAlignment="1">
      <alignment horizontal="center" vertical="center" wrapText="1"/>
    </xf>
    <xf numFmtId="171" fontId="0" fillId="0" borderId="14" xfId="0" applyNumberFormat="1" applyBorder="1" applyAlignment="1">
      <alignment vertical="center"/>
    </xf>
    <xf numFmtId="0" fontId="0" fillId="0" borderId="14" xfId="0" applyBorder="1" applyAlignment="1">
      <alignment horizontal="center" vertical="center"/>
    </xf>
    <xf numFmtId="1" fontId="8" fillId="0" borderId="3" xfId="0" applyNumberFormat="1" applyFont="1" applyBorder="1" applyAlignment="1">
      <alignment horizontal="center" vertical="center" shrinkToFit="1"/>
    </xf>
    <xf numFmtId="0" fontId="3" fillId="0" borderId="1" xfId="0" applyFont="1" applyBorder="1" applyAlignment="1">
      <alignment vertical="center" wrapText="1"/>
    </xf>
    <xf numFmtId="1" fontId="0" fillId="0" borderId="14" xfId="0" applyNumberFormat="1" applyBorder="1" applyAlignment="1">
      <alignment horizontal="center" vertical="center"/>
    </xf>
    <xf numFmtId="171" fontId="0" fillId="0" borderId="14" xfId="7" applyNumberFormat="1" applyFont="1" applyBorder="1" applyAlignment="1">
      <alignment vertical="center"/>
    </xf>
    <xf numFmtId="0" fontId="4" fillId="0" borderId="1" xfId="0" applyFont="1" applyBorder="1" applyAlignment="1">
      <alignment vertical="center" wrapText="1"/>
    </xf>
    <xf numFmtId="0" fontId="6" fillId="0" borderId="1" xfId="0" applyFont="1" applyBorder="1" applyAlignment="1">
      <alignment vertical="center" wrapText="1"/>
    </xf>
    <xf numFmtId="0" fontId="59" fillId="11" borderId="15" xfId="0" applyFont="1" applyFill="1" applyBorder="1" applyAlignment="1" applyProtection="1">
      <alignment horizontal="center" vertical="center" wrapText="1"/>
      <protection locked="0"/>
    </xf>
    <xf numFmtId="0" fontId="59" fillId="11" borderId="16" xfId="0" applyFont="1" applyFill="1" applyBorder="1" applyAlignment="1" applyProtection="1">
      <alignment horizontal="center" vertical="center" wrapText="1"/>
      <protection locked="0"/>
    </xf>
    <xf numFmtId="0" fontId="59" fillId="16" borderId="15" xfId="0" applyFont="1" applyFill="1" applyBorder="1" applyAlignment="1" applyProtection="1">
      <alignment horizontal="center" vertical="center" wrapText="1"/>
      <protection locked="0"/>
    </xf>
    <xf numFmtId="0" fontId="59" fillId="16" borderId="16" xfId="0" applyFont="1" applyFill="1" applyBorder="1" applyAlignment="1" applyProtection="1">
      <alignment horizontal="center" vertical="center" wrapText="1"/>
      <protection locked="0"/>
    </xf>
    <xf numFmtId="0" fontId="59" fillId="16" borderId="38" xfId="0" applyFont="1" applyFill="1" applyBorder="1" applyAlignment="1" applyProtection="1">
      <alignment horizontal="center" vertical="center" wrapText="1"/>
      <protection locked="0"/>
    </xf>
    <xf numFmtId="0" fontId="59" fillId="11" borderId="15" xfId="0" applyFont="1" applyFill="1" applyBorder="1" applyAlignment="1">
      <alignment horizontal="center" vertical="center" wrapText="1"/>
    </xf>
    <xf numFmtId="0" fontId="59" fillId="11" borderId="38" xfId="0" applyFont="1" applyFill="1" applyBorder="1" applyAlignment="1">
      <alignment horizontal="center" vertical="center" wrapText="1"/>
    </xf>
    <xf numFmtId="0" fontId="59" fillId="16" borderId="15" xfId="0" applyFont="1" applyFill="1" applyBorder="1" applyAlignment="1">
      <alignment horizontal="center" vertical="center" wrapText="1"/>
    </xf>
    <xf numFmtId="0" fontId="59" fillId="16" borderId="38" xfId="0" applyFont="1" applyFill="1" applyBorder="1" applyAlignment="1">
      <alignment horizontal="center" vertical="center" wrapText="1"/>
    </xf>
    <xf numFmtId="0" fontId="35" fillId="15" borderId="14" xfId="0" applyFont="1" applyFill="1" applyBorder="1" applyAlignment="1">
      <alignment horizontal="center"/>
    </xf>
    <xf numFmtId="0" fontId="55" fillId="18" borderId="14" xfId="0" applyFont="1" applyFill="1" applyBorder="1" applyAlignment="1">
      <alignment horizontal="center" vertical="distributed"/>
    </xf>
    <xf numFmtId="0" fontId="27" fillId="18" borderId="28" xfId="0" applyFont="1" applyFill="1" applyBorder="1" applyAlignment="1">
      <alignment horizontal="center" vertical="center" wrapText="1"/>
    </xf>
    <xf numFmtId="0" fontId="27" fillId="18" borderId="39" xfId="0" applyFont="1" applyFill="1" applyBorder="1" applyAlignment="1">
      <alignment horizontal="center" vertical="center" wrapText="1"/>
    </xf>
    <xf numFmtId="0" fontId="27" fillId="18" borderId="14" xfId="0" applyFont="1" applyFill="1" applyBorder="1" applyAlignment="1">
      <alignment horizontal="center" vertical="center" wrapText="1"/>
    </xf>
    <xf numFmtId="0" fontId="55" fillId="18" borderId="15" xfId="0" applyFont="1" applyFill="1" applyBorder="1" applyAlignment="1">
      <alignment horizontal="center" vertical="center" wrapText="1"/>
    </xf>
    <xf numFmtId="0" fontId="55" fillId="18" borderId="28" xfId="0" applyFont="1" applyFill="1" applyBorder="1" applyAlignment="1" applyProtection="1">
      <alignment horizontal="center" vertical="center" wrapText="1"/>
      <protection locked="0"/>
    </xf>
    <xf numFmtId="0" fontId="55" fillId="18" borderId="39" xfId="0" applyFont="1" applyFill="1" applyBorder="1" applyAlignment="1" applyProtection="1">
      <alignment horizontal="center" vertical="center" wrapText="1"/>
      <protection locked="0"/>
    </xf>
    <xf numFmtId="0" fontId="55" fillId="18" borderId="14" xfId="0" applyFont="1" applyFill="1" applyBorder="1" applyAlignment="1" applyProtection="1">
      <alignment horizontal="center" vertical="center" wrapText="1"/>
      <protection locked="0"/>
    </xf>
    <xf numFmtId="0" fontId="35" fillId="21" borderId="17" xfId="0" applyFont="1" applyFill="1" applyBorder="1" applyAlignment="1">
      <alignment horizontal="center" vertical="center" wrapText="1"/>
    </xf>
    <xf numFmtId="0" fontId="35" fillId="21" borderId="40" xfId="0" applyFont="1" applyFill="1" applyBorder="1" applyAlignment="1">
      <alignment horizontal="center" vertical="center" wrapTex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6" fillId="0" borderId="1"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3"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4" fillId="0" borderId="1" xfId="0" applyFont="1" applyBorder="1" applyAlignment="1">
      <alignment horizontal="left" vertical="top" wrapText="1"/>
    </xf>
    <xf numFmtId="0" fontId="3" fillId="12" borderId="1" xfId="0" applyFont="1" applyFill="1" applyBorder="1" applyAlignment="1">
      <alignment horizontal="left" vertical="top" wrapText="1"/>
    </xf>
    <xf numFmtId="0" fontId="3" fillId="12" borderId="2" xfId="0" applyFont="1" applyFill="1" applyBorder="1" applyAlignment="1">
      <alignment horizontal="left" vertical="top" wrapText="1"/>
    </xf>
    <xf numFmtId="0" fontId="3" fillId="12" borderId="3" xfId="0" applyFont="1" applyFill="1" applyBorder="1" applyAlignment="1">
      <alignment horizontal="left" vertical="top" wrapText="1"/>
    </xf>
    <xf numFmtId="0" fontId="3"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13" fillId="7" borderId="28" xfId="0" applyFont="1" applyFill="1" applyBorder="1" applyAlignment="1">
      <alignment horizontal="center" vertical="center" wrapText="1"/>
    </xf>
    <xf numFmtId="0" fontId="13" fillId="7" borderId="39" xfId="0" applyFont="1" applyFill="1" applyBorder="1" applyAlignment="1">
      <alignment horizontal="center" vertical="center" wrapText="1"/>
    </xf>
    <xf numFmtId="0" fontId="13" fillId="9" borderId="28" xfId="0" applyFont="1" applyFill="1" applyBorder="1" applyAlignment="1">
      <alignment horizontal="center" vertical="center" wrapText="1"/>
    </xf>
    <xf numFmtId="0" fontId="13" fillId="9" borderId="39" xfId="0" applyFont="1" applyFill="1" applyBorder="1" applyAlignment="1">
      <alignment horizontal="center" vertical="center" wrapText="1"/>
    </xf>
    <xf numFmtId="0" fontId="13" fillId="19" borderId="28" xfId="0" applyFont="1" applyFill="1" applyBorder="1" applyAlignment="1">
      <alignment horizontal="center" vertical="center" wrapText="1"/>
    </xf>
    <xf numFmtId="0" fontId="13" fillId="19" borderId="39" xfId="0" applyFont="1" applyFill="1" applyBorder="1" applyAlignment="1">
      <alignment horizontal="center" vertical="center" wrapText="1"/>
    </xf>
    <xf numFmtId="0" fontId="13" fillId="8" borderId="28" xfId="0" applyFont="1" applyFill="1" applyBorder="1" applyAlignment="1">
      <alignment horizontal="center" vertical="center" wrapText="1"/>
    </xf>
    <xf numFmtId="0" fontId="13" fillId="8" borderId="39" xfId="0" applyFont="1" applyFill="1" applyBorder="1" applyAlignment="1">
      <alignment horizontal="center" vertical="center" wrapText="1"/>
    </xf>
    <xf numFmtId="0" fontId="13" fillId="15" borderId="14" xfId="0" applyFont="1" applyFill="1" applyBorder="1" applyAlignment="1">
      <alignment horizontal="center" vertical="center"/>
    </xf>
    <xf numFmtId="0" fontId="13" fillId="18" borderId="28" xfId="0" applyFont="1" applyFill="1" applyBorder="1" applyAlignment="1">
      <alignment horizontal="center" vertical="center" wrapText="1"/>
    </xf>
    <xf numFmtId="0" fontId="13" fillId="18" borderId="39" xfId="0" applyFont="1" applyFill="1" applyBorder="1" applyAlignment="1">
      <alignment horizontal="center" vertical="center"/>
    </xf>
    <xf numFmtId="0" fontId="13" fillId="6" borderId="28" xfId="0" applyFont="1" applyFill="1" applyBorder="1" applyAlignment="1">
      <alignment horizontal="center" vertical="center" wrapText="1"/>
    </xf>
    <xf numFmtId="0" fontId="13" fillId="6" borderId="39"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10" fillId="2" borderId="14" xfId="0" applyFont="1" applyFill="1" applyBorder="1" applyAlignment="1">
      <alignment horizontal="center" vertical="center" wrapText="1"/>
    </xf>
    <xf numFmtId="0" fontId="3" fillId="2" borderId="14"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6" fillId="0" borderId="14" xfId="0" applyFont="1" applyBorder="1" applyAlignment="1">
      <alignment horizontal="left" vertical="top" wrapText="1" indent="3"/>
    </xf>
    <xf numFmtId="0" fontId="6" fillId="0" borderId="14" xfId="0" applyFont="1" applyBorder="1" applyAlignment="1">
      <alignment horizontal="center" vertical="top" wrapText="1"/>
    </xf>
    <xf numFmtId="0" fontId="13" fillId="24" borderId="14" xfId="0" applyFont="1" applyFill="1" applyBorder="1" applyAlignment="1">
      <alignment horizontal="center" vertical="center" wrapText="1"/>
    </xf>
    <xf numFmtId="0" fontId="13" fillId="24" borderId="15" xfId="0" applyFont="1" applyFill="1" applyBorder="1" applyAlignment="1">
      <alignment horizontal="center" vertical="center"/>
    </xf>
    <xf numFmtId="0" fontId="13" fillId="24" borderId="16" xfId="0" applyFont="1" applyFill="1" applyBorder="1" applyAlignment="1">
      <alignment horizontal="center" vertical="center"/>
    </xf>
    <xf numFmtId="0" fontId="13" fillId="24" borderId="38" xfId="0" applyFont="1" applyFill="1" applyBorder="1" applyAlignment="1">
      <alignment horizontal="center" vertical="center"/>
    </xf>
    <xf numFmtId="2" fontId="69" fillId="0" borderId="0" xfId="1" applyNumberFormat="1" applyFont="1" applyFill="1" applyBorder="1" applyAlignment="1">
      <alignment horizontal="center" vertical="center" wrapText="1"/>
    </xf>
    <xf numFmtId="0" fontId="6" fillId="4" borderId="14" xfId="0" applyFont="1" applyFill="1" applyBorder="1" applyAlignment="1">
      <alignment horizontal="center" vertical="center" wrapText="1"/>
    </xf>
    <xf numFmtId="0" fontId="13" fillId="13" borderId="14" xfId="0" applyFont="1" applyFill="1" applyBorder="1" applyAlignment="1">
      <alignment horizontal="center" vertical="center"/>
    </xf>
    <xf numFmtId="0" fontId="13" fillId="13" borderId="14" xfId="0" applyFont="1" applyFill="1" applyBorder="1" applyAlignment="1">
      <alignment horizontal="center" vertical="center" wrapText="1"/>
    </xf>
    <xf numFmtId="2" fontId="12" fillId="23" borderId="28" xfId="1" applyNumberFormat="1" applyFont="1" applyFill="1" applyBorder="1" applyAlignment="1">
      <alignment horizontal="center" vertical="center" wrapText="1"/>
    </xf>
    <xf numFmtId="2" fontId="12" fillId="23" borderId="39" xfId="1" applyNumberFormat="1" applyFont="1" applyFill="1" applyBorder="1" applyAlignment="1">
      <alignment horizontal="center" vertical="center" wrapText="1"/>
    </xf>
    <xf numFmtId="2" fontId="6" fillId="8" borderId="28" xfId="1" applyNumberFormat="1" applyFont="1" applyFill="1" applyBorder="1" applyAlignment="1">
      <alignment horizontal="center" vertical="center" wrapText="1"/>
    </xf>
    <xf numFmtId="2" fontId="6" fillId="8" borderId="39" xfId="1" applyNumberFormat="1" applyFont="1" applyFill="1" applyBorder="1" applyAlignment="1">
      <alignment horizontal="center" vertical="center" wrapText="1"/>
    </xf>
    <xf numFmtId="2" fontId="6" fillId="22" borderId="28" xfId="1" applyNumberFormat="1" applyFont="1" applyFill="1" applyBorder="1" applyAlignment="1">
      <alignment horizontal="center" vertical="center" wrapText="1"/>
    </xf>
    <xf numFmtId="2" fontId="6" fillId="22" borderId="39" xfId="1" applyNumberFormat="1" applyFont="1" applyFill="1" applyBorder="1" applyAlignment="1">
      <alignment horizontal="center" vertical="center" wrapText="1"/>
    </xf>
    <xf numFmtId="0" fontId="65" fillId="20" borderId="15" xfId="0" applyFont="1" applyFill="1" applyBorder="1" applyAlignment="1">
      <alignment horizontal="center" vertical="center" wrapText="1"/>
    </xf>
    <xf numFmtId="0" fontId="65" fillId="20" borderId="16" xfId="0" applyFont="1" applyFill="1" applyBorder="1" applyAlignment="1">
      <alignment horizontal="center" vertical="center" wrapText="1"/>
    </xf>
    <xf numFmtId="0" fontId="65" fillId="20" borderId="38" xfId="0" applyFont="1" applyFill="1" applyBorder="1" applyAlignment="1">
      <alignment horizontal="center" vertical="center" wrapText="1"/>
    </xf>
    <xf numFmtId="0" fontId="66" fillId="18" borderId="15" xfId="0" applyFont="1" applyFill="1" applyBorder="1" applyAlignment="1">
      <alignment horizontal="center" vertical="center" wrapText="1"/>
    </xf>
    <xf numFmtId="0" fontId="66" fillId="18" borderId="16" xfId="0" applyFont="1" applyFill="1" applyBorder="1" applyAlignment="1">
      <alignment horizontal="center" vertical="center" wrapText="1"/>
    </xf>
    <xf numFmtId="0" fontId="66" fillId="18" borderId="38" xfId="0" applyFont="1" applyFill="1" applyBorder="1" applyAlignment="1">
      <alignment horizontal="center" vertical="center" wrapText="1"/>
    </xf>
    <xf numFmtId="0" fontId="13" fillId="15" borderId="28" xfId="0" applyFont="1" applyFill="1" applyBorder="1" applyAlignment="1">
      <alignment horizontal="center" vertical="center" wrapText="1"/>
    </xf>
    <xf numFmtId="0" fontId="13" fillId="15" borderId="39" xfId="0" applyFont="1" applyFill="1" applyBorder="1" applyAlignment="1">
      <alignment horizontal="center" vertical="center" wrapText="1"/>
    </xf>
    <xf numFmtId="0" fontId="13" fillId="22" borderId="28" xfId="0" applyFont="1" applyFill="1" applyBorder="1" applyAlignment="1">
      <alignment horizontal="center" vertical="center" wrapText="1"/>
    </xf>
    <xf numFmtId="0" fontId="13" fillId="22" borderId="39" xfId="0" applyFont="1" applyFill="1" applyBorder="1" applyAlignment="1">
      <alignment horizontal="center" vertical="center" wrapText="1"/>
    </xf>
    <xf numFmtId="2" fontId="12" fillId="18" borderId="28" xfId="1" applyNumberFormat="1" applyFont="1" applyFill="1" applyBorder="1" applyAlignment="1">
      <alignment horizontal="center" vertical="center" wrapText="1"/>
    </xf>
    <xf numFmtId="2" fontId="12" fillId="18" borderId="39" xfId="1" applyNumberFormat="1" applyFont="1" applyFill="1" applyBorder="1" applyAlignment="1">
      <alignment horizontal="center" vertical="center" wrapText="1"/>
    </xf>
    <xf numFmtId="0" fontId="6" fillId="0" borderId="15" xfId="0" applyFont="1" applyBorder="1" applyAlignment="1">
      <alignment horizontal="left" vertical="top" wrapText="1" indent="3"/>
    </xf>
    <xf numFmtId="0" fontId="6" fillId="0" borderId="16" xfId="0" applyFont="1" applyBorder="1" applyAlignment="1">
      <alignment horizontal="left" vertical="top" wrapText="1" indent="3"/>
    </xf>
    <xf numFmtId="0" fontId="6" fillId="0" borderId="38" xfId="0" applyFont="1" applyBorder="1" applyAlignment="1">
      <alignment horizontal="left" vertical="top" wrapText="1" indent="3"/>
    </xf>
    <xf numFmtId="0" fontId="3" fillId="0" borderId="45" xfId="0" applyFont="1" applyBorder="1" applyAlignment="1">
      <alignment horizontal="left" vertical="top" wrapText="1"/>
    </xf>
    <xf numFmtId="0" fontId="3" fillId="0" borderId="46" xfId="0" applyFont="1" applyBorder="1" applyAlignment="1">
      <alignment horizontal="left" vertical="top" wrapText="1"/>
    </xf>
    <xf numFmtId="0" fontId="3" fillId="0" borderId="47" xfId="0" applyFont="1" applyBorder="1" applyAlignment="1">
      <alignment horizontal="left" vertical="top" wrapText="1"/>
    </xf>
    <xf numFmtId="0" fontId="6" fillId="0" borderId="15" xfId="0" applyFont="1" applyBorder="1" applyAlignment="1">
      <alignment horizontal="center" vertical="top" wrapText="1"/>
    </xf>
    <xf numFmtId="0" fontId="6" fillId="0" borderId="16" xfId="0" applyFont="1" applyBorder="1" applyAlignment="1">
      <alignment horizontal="center" vertical="top" wrapText="1"/>
    </xf>
    <xf numFmtId="0" fontId="6" fillId="0" borderId="38" xfId="0" applyFont="1" applyBorder="1" applyAlignment="1">
      <alignment horizontal="center" vertical="top" wrapText="1"/>
    </xf>
    <xf numFmtId="0" fontId="6" fillId="4" borderId="2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48"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13" fillId="9" borderId="14" xfId="0" applyFont="1" applyFill="1" applyBorder="1" applyAlignment="1">
      <alignment horizontal="center" vertical="center" wrapText="1"/>
    </xf>
    <xf numFmtId="0" fontId="13" fillId="9" borderId="43" xfId="0" applyFont="1" applyFill="1" applyBorder="1" applyAlignment="1">
      <alignment horizontal="center" vertical="center" wrapText="1"/>
    </xf>
    <xf numFmtId="0" fontId="13" fillId="9" borderId="44" xfId="0" applyFont="1" applyFill="1" applyBorder="1" applyAlignment="1">
      <alignment horizontal="center" vertical="center"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3" fillId="0" borderId="1" xfId="0" applyFont="1" applyBorder="1" applyAlignment="1">
      <alignment horizontal="left" vertical="top" wrapText="1"/>
    </xf>
    <xf numFmtId="0" fontId="73" fillId="0" borderId="2" xfId="0" applyFont="1" applyBorder="1" applyAlignment="1">
      <alignment horizontal="left" vertical="top" wrapText="1"/>
    </xf>
    <xf numFmtId="0" fontId="73" fillId="0" borderId="3" xfId="0" applyFont="1" applyBorder="1" applyAlignment="1">
      <alignment horizontal="left" vertical="top" wrapText="1"/>
    </xf>
    <xf numFmtId="0" fontId="4" fillId="0" borderId="10" xfId="0" applyFont="1" applyBorder="1" applyAlignment="1">
      <alignment horizontal="left" wrapText="1"/>
    </xf>
    <xf numFmtId="0" fontId="4" fillId="0" borderId="11" xfId="0" applyFont="1" applyBorder="1" applyAlignment="1">
      <alignment horizontal="left" wrapText="1"/>
    </xf>
    <xf numFmtId="0" fontId="4" fillId="0" borderId="12" xfId="0" applyFont="1" applyBorder="1" applyAlignment="1">
      <alignment horizontal="left" wrapText="1"/>
    </xf>
    <xf numFmtId="0" fontId="4" fillId="0" borderId="5" xfId="0" applyFont="1" applyBorder="1" applyAlignment="1">
      <alignment horizontal="left" wrapText="1"/>
    </xf>
    <xf numFmtId="0" fontId="4" fillId="0" borderId="6" xfId="0" applyFont="1" applyBorder="1" applyAlignment="1">
      <alignment horizontal="left" wrapText="1"/>
    </xf>
    <xf numFmtId="0" fontId="4" fillId="0" borderId="7" xfId="0" applyFont="1" applyBorder="1" applyAlignment="1">
      <alignment horizontal="left" wrapText="1"/>
    </xf>
    <xf numFmtId="0" fontId="73" fillId="0" borderId="1" xfId="0" applyFont="1" applyBorder="1" applyAlignment="1">
      <alignment horizontal="left" vertical="top" wrapText="1" indent="3"/>
    </xf>
    <xf numFmtId="0" fontId="73" fillId="0" borderId="3" xfId="0" applyFont="1" applyBorder="1" applyAlignment="1">
      <alignment horizontal="left" vertical="top" wrapText="1" indent="3"/>
    </xf>
    <xf numFmtId="0" fontId="73" fillId="0" borderId="1" xfId="0" applyFont="1" applyBorder="1" applyAlignment="1">
      <alignment horizontal="center" vertical="top" wrapText="1"/>
    </xf>
    <xf numFmtId="0" fontId="73" fillId="0" borderId="2" xfId="0" applyFont="1" applyBorder="1" applyAlignment="1">
      <alignment horizontal="center" vertical="top" wrapText="1"/>
    </xf>
    <xf numFmtId="0" fontId="73" fillId="0" borderId="3" xfId="0" applyFont="1" applyBorder="1" applyAlignment="1">
      <alignment horizontal="center" vertical="top" wrapText="1"/>
    </xf>
    <xf numFmtId="0" fontId="4" fillId="0" borderId="8" xfId="0" applyFont="1" applyBorder="1" applyAlignment="1">
      <alignment horizontal="left" wrapText="1"/>
    </xf>
    <xf numFmtId="0" fontId="4" fillId="0" borderId="0" xfId="0" applyFont="1" applyAlignment="1">
      <alignment horizontal="left" wrapText="1"/>
    </xf>
    <xf numFmtId="0" fontId="4" fillId="0" borderId="9" xfId="0" applyFont="1" applyBorder="1" applyAlignment="1">
      <alignment horizontal="left" wrapText="1"/>
    </xf>
    <xf numFmtId="0" fontId="73" fillId="3" borderId="1" xfId="0" applyFont="1" applyFill="1" applyBorder="1" applyAlignment="1">
      <alignment horizontal="left" vertical="top" wrapText="1" indent="10"/>
    </xf>
    <xf numFmtId="0" fontId="73" fillId="3" borderId="2" xfId="0" applyFont="1" applyFill="1" applyBorder="1" applyAlignment="1">
      <alignment horizontal="left" vertical="top" wrapText="1" indent="10"/>
    </xf>
    <xf numFmtId="0" fontId="73" fillId="3" borderId="3" xfId="0" applyFont="1" applyFill="1" applyBorder="1" applyAlignment="1">
      <alignment horizontal="left" vertical="top" wrapText="1" indent="10"/>
    </xf>
    <xf numFmtId="0" fontId="74" fillId="0" borderId="37" xfId="0" applyFont="1" applyBorder="1" applyAlignment="1">
      <alignment horizontal="left" wrapText="1" indent="8"/>
    </xf>
    <xf numFmtId="0" fontId="74" fillId="0" borderId="41" xfId="0" applyFont="1" applyBorder="1" applyAlignment="1">
      <alignment horizontal="left" wrapText="1" indent="8"/>
    </xf>
    <xf numFmtId="0" fontId="74" fillId="0" borderId="13" xfId="0" applyFont="1" applyBorder="1" applyAlignment="1">
      <alignment horizontal="left" wrapText="1" indent="8"/>
    </xf>
    <xf numFmtId="0" fontId="73" fillId="2" borderId="1" xfId="0" applyFont="1" applyFill="1" applyBorder="1" applyAlignment="1">
      <alignment horizontal="center" vertical="top" wrapText="1"/>
    </xf>
    <xf numFmtId="0" fontId="73" fillId="2" borderId="2" xfId="0" applyFont="1" applyFill="1" applyBorder="1" applyAlignment="1">
      <alignment horizontal="center" vertical="top" wrapText="1"/>
    </xf>
    <xf numFmtId="0" fontId="73" fillId="2" borderId="3" xfId="0" applyFont="1" applyFill="1" applyBorder="1" applyAlignment="1">
      <alignment horizontal="center" vertical="top" wrapText="1"/>
    </xf>
    <xf numFmtId="0" fontId="4" fillId="0" borderId="1" xfId="0" applyFont="1" applyBorder="1" applyAlignment="1">
      <alignment horizontal="left" wrapText="1"/>
    </xf>
    <xf numFmtId="0" fontId="4" fillId="0" borderId="2" xfId="0" applyFont="1" applyBorder="1" applyAlignment="1">
      <alignment horizontal="left" wrapText="1"/>
    </xf>
    <xf numFmtId="0" fontId="4" fillId="0" borderId="3" xfId="0" applyFont="1" applyBorder="1" applyAlignment="1">
      <alignment horizontal="left" wrapText="1"/>
    </xf>
    <xf numFmtId="0" fontId="73" fillId="2" borderId="1" xfId="0" applyFont="1" applyFill="1" applyBorder="1" applyAlignment="1">
      <alignment horizontal="left" vertical="top" wrapText="1"/>
    </xf>
    <xf numFmtId="0" fontId="73" fillId="2" borderId="3" xfId="0" applyFont="1" applyFill="1" applyBorder="1" applyAlignment="1">
      <alignment horizontal="left" vertical="top" wrapText="1"/>
    </xf>
    <xf numFmtId="0" fontId="73" fillId="3" borderId="1" xfId="0" applyFont="1" applyFill="1" applyBorder="1" applyAlignment="1">
      <alignment horizontal="left" vertical="top" wrapText="1"/>
    </xf>
    <xf numFmtId="0" fontId="73" fillId="3" borderId="2" xfId="0" applyFont="1" applyFill="1" applyBorder="1" applyAlignment="1">
      <alignment horizontal="left" vertical="top" wrapText="1"/>
    </xf>
    <xf numFmtId="0" fontId="73" fillId="3" borderId="3" xfId="0" applyFont="1" applyFill="1" applyBorder="1" applyAlignment="1">
      <alignment horizontal="left" vertical="top" wrapText="1"/>
    </xf>
    <xf numFmtId="0" fontId="73" fillId="3" borderId="11" xfId="0" applyFont="1" applyFill="1" applyBorder="1" applyAlignment="1">
      <alignment horizontal="left" vertical="top" wrapText="1" indent="6"/>
    </xf>
    <xf numFmtId="0" fontId="73" fillId="0" borderId="0" xfId="0" applyFont="1" applyAlignment="1">
      <alignment horizontal="left" vertical="center" wrapText="1"/>
    </xf>
    <xf numFmtId="0" fontId="73" fillId="3" borderId="11" xfId="0" applyFont="1" applyFill="1" applyBorder="1" applyAlignment="1">
      <alignment horizontal="center" vertical="top" wrapText="1"/>
    </xf>
    <xf numFmtId="0" fontId="73" fillId="3" borderId="11" xfId="0" applyFont="1" applyFill="1" applyBorder="1" applyAlignment="1">
      <alignment horizontal="left" vertical="top" wrapText="1" indent="5"/>
    </xf>
    <xf numFmtId="0" fontId="73" fillId="3" borderId="12" xfId="0" applyFont="1" applyFill="1" applyBorder="1" applyAlignment="1">
      <alignment horizontal="left" vertical="top" wrapText="1" indent="5"/>
    </xf>
    <xf numFmtId="0" fontId="73" fillId="3" borderId="2" xfId="0" applyFont="1" applyFill="1" applyBorder="1" applyAlignment="1">
      <alignment horizontal="left" vertical="top" wrapText="1" indent="1"/>
    </xf>
    <xf numFmtId="0" fontId="73" fillId="0" borderId="0" xfId="0" applyFont="1" applyAlignment="1">
      <alignment horizontal="left" vertical="top" wrapText="1"/>
    </xf>
    <xf numFmtId="0" fontId="73" fillId="3" borderId="2" xfId="0" applyFont="1" applyFill="1" applyBorder="1" applyAlignment="1">
      <alignment horizontal="left" vertical="top" wrapText="1" indent="6"/>
    </xf>
    <xf numFmtId="1" fontId="75" fillId="3" borderId="2" xfId="0" applyNumberFormat="1" applyFont="1" applyFill="1" applyBorder="1" applyAlignment="1">
      <alignment horizontal="center" vertical="top" shrinkToFit="1"/>
    </xf>
    <xf numFmtId="1" fontId="75" fillId="3" borderId="3" xfId="0" applyNumberFormat="1" applyFont="1" applyFill="1" applyBorder="1" applyAlignment="1">
      <alignment horizontal="center" vertical="top" shrinkToFit="1"/>
    </xf>
    <xf numFmtId="172" fontId="75" fillId="3" borderId="2" xfId="0" applyNumberFormat="1" applyFont="1" applyFill="1" applyBorder="1" applyAlignment="1">
      <alignment horizontal="center" vertical="top" shrinkToFit="1"/>
    </xf>
    <xf numFmtId="0" fontId="76" fillId="3" borderId="2" xfId="0" applyFont="1" applyFill="1" applyBorder="1" applyAlignment="1">
      <alignment horizontal="left" vertical="top" wrapText="1" indent="4"/>
    </xf>
    <xf numFmtId="0" fontId="73" fillId="0" borderId="1" xfId="0" applyFont="1" applyBorder="1" applyAlignment="1">
      <alignment horizontal="left" vertical="center" wrapText="1"/>
    </xf>
    <xf numFmtId="0" fontId="73" fillId="0" borderId="2" xfId="0" applyFont="1" applyBorder="1" applyAlignment="1">
      <alignment horizontal="left" vertical="center" wrapText="1"/>
    </xf>
    <xf numFmtId="0" fontId="73" fillId="0" borderId="3" xfId="0" applyFont="1" applyBorder="1" applyAlignment="1">
      <alignment horizontal="left" vertical="center" wrapText="1"/>
    </xf>
    <xf numFmtId="0" fontId="73" fillId="28" borderId="1" xfId="0" applyFont="1" applyFill="1" applyBorder="1" applyAlignment="1">
      <alignment horizontal="center" vertical="top" wrapText="1"/>
    </xf>
    <xf numFmtId="0" fontId="73" fillId="28" borderId="2" xfId="0" applyFont="1" applyFill="1" applyBorder="1" applyAlignment="1">
      <alignment horizontal="center" vertical="top" wrapText="1"/>
    </xf>
    <xf numFmtId="0" fontId="73" fillId="28" borderId="3" xfId="0" applyFont="1" applyFill="1" applyBorder="1" applyAlignment="1">
      <alignment horizontal="center"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0" xfId="0" applyFont="1" applyAlignment="1">
      <alignment horizontal="left" vertical="top" wrapText="1"/>
    </xf>
    <xf numFmtId="0" fontId="4" fillId="0" borderId="9" xfId="0" applyFont="1" applyBorder="1" applyAlignment="1">
      <alignment horizontal="left" vertical="top" wrapText="1"/>
    </xf>
    <xf numFmtId="0" fontId="76" fillId="0" borderId="5" xfId="0" applyFont="1" applyBorder="1" applyAlignment="1">
      <alignment horizontal="left" vertical="top" wrapText="1"/>
    </xf>
    <xf numFmtId="0" fontId="76" fillId="0" borderId="6" xfId="0" applyFont="1" applyBorder="1" applyAlignment="1">
      <alignment horizontal="left" vertical="top" wrapText="1"/>
    </xf>
    <xf numFmtId="0" fontId="76" fillId="0" borderId="8" xfId="0" applyFont="1" applyBorder="1" applyAlignment="1">
      <alignment horizontal="left" vertical="top" wrapText="1"/>
    </xf>
    <xf numFmtId="0" fontId="76" fillId="0" borderId="0" xfId="0" applyFont="1" applyAlignment="1">
      <alignment horizontal="left" vertical="top" wrapText="1"/>
    </xf>
    <xf numFmtId="0" fontId="76" fillId="0" borderId="10" xfId="0" applyFont="1" applyBorder="1" applyAlignment="1">
      <alignment horizontal="left" vertical="top" wrapText="1"/>
    </xf>
    <xf numFmtId="0" fontId="76" fillId="0" borderId="11" xfId="0" applyFont="1" applyBorder="1" applyAlignment="1">
      <alignment horizontal="left" vertical="top" wrapText="1"/>
    </xf>
    <xf numFmtId="0" fontId="21" fillId="11" borderId="16" xfId="2" applyFont="1" applyFill="1" applyBorder="1" applyAlignment="1" applyProtection="1">
      <alignment wrapText="1"/>
      <protection locked="0"/>
    </xf>
    <xf numFmtId="0" fontId="21" fillId="11" borderId="16" xfId="2" applyFont="1" applyFill="1" applyBorder="1" applyAlignment="1" applyProtection="1">
      <alignment vertical="center" wrapText="1"/>
      <protection locked="0"/>
    </xf>
    <xf numFmtId="9" fontId="21" fillId="11" borderId="16" xfId="3" applyFont="1" applyFill="1" applyBorder="1" applyAlignment="1" applyProtection="1">
      <alignment vertical="center" wrapText="1"/>
      <protection locked="0"/>
    </xf>
    <xf numFmtId="9" fontId="21" fillId="11" borderId="26" xfId="3" applyFont="1" applyFill="1" applyBorder="1" applyAlignment="1" applyProtection="1">
      <alignment vertical="center" wrapText="1"/>
      <protection locked="0"/>
    </xf>
    <xf numFmtId="14" fontId="21" fillId="11" borderId="16" xfId="2" applyNumberFormat="1" applyFont="1" applyFill="1" applyBorder="1" applyAlignment="1" applyProtection="1">
      <alignment wrapText="1"/>
      <protection locked="0"/>
    </xf>
    <xf numFmtId="0" fontId="2" fillId="11" borderId="16" xfId="4" applyFill="1" applyBorder="1" applyAlignment="1" applyProtection="1">
      <alignment vertical="center" wrapText="1"/>
      <protection locked="0"/>
    </xf>
    <xf numFmtId="0" fontId="14" fillId="0" borderId="18" xfId="2" applyFont="1" applyBorder="1" applyAlignment="1">
      <alignment horizontal="center" vertical="center" wrapText="1"/>
    </xf>
    <xf numFmtId="0" fontId="14" fillId="0" borderId="19" xfId="2" applyFont="1" applyBorder="1" applyAlignment="1">
      <alignment horizontal="center" vertical="center" wrapText="1"/>
    </xf>
    <xf numFmtId="0" fontId="14" fillId="0" borderId="20" xfId="2" applyFont="1" applyBorder="1" applyAlignment="1">
      <alignment horizontal="center" vertical="center" wrapText="1"/>
    </xf>
    <xf numFmtId="0" fontId="15" fillId="10" borderId="21" xfId="2" applyFont="1" applyFill="1" applyBorder="1" applyAlignment="1">
      <alignment horizontal="center" vertical="center" wrapText="1"/>
    </xf>
    <xf numFmtId="0" fontId="15" fillId="10" borderId="14" xfId="2" applyFont="1" applyFill="1" applyBorder="1" applyAlignment="1">
      <alignment horizontal="center" vertical="center" wrapText="1"/>
    </xf>
    <xf numFmtId="0" fontId="15" fillId="10" borderId="22" xfId="2" applyFont="1" applyFill="1" applyBorder="1" applyAlignment="1">
      <alignment horizontal="center" vertical="center" wrapText="1"/>
    </xf>
    <xf numFmtId="0" fontId="17" fillId="10" borderId="21" xfId="2" applyFont="1" applyFill="1" applyBorder="1" applyAlignment="1">
      <alignment horizontal="left" vertical="center" wrapText="1"/>
    </xf>
    <xf numFmtId="0" fontId="17" fillId="10" borderId="14" xfId="2" applyFont="1" applyFill="1" applyBorder="1" applyAlignment="1">
      <alignment horizontal="left" vertical="center" wrapText="1"/>
    </xf>
    <xf numFmtId="0" fontId="18" fillId="11" borderId="14" xfId="2" applyFont="1" applyFill="1" applyBorder="1" applyAlignment="1">
      <alignment horizontal="left" vertical="center" wrapText="1"/>
    </xf>
    <xf numFmtId="0" fontId="20" fillId="11" borderId="14" xfId="2" applyFont="1" applyFill="1" applyBorder="1" applyAlignment="1">
      <alignment horizontal="left" vertical="center" wrapText="1"/>
    </xf>
    <xf numFmtId="0" fontId="20" fillId="11" borderId="22" xfId="2" applyFont="1" applyFill="1" applyBorder="1" applyAlignment="1">
      <alignment horizontal="left" vertical="center" wrapText="1"/>
    </xf>
    <xf numFmtId="0" fontId="21" fillId="11" borderId="17" xfId="2" applyFont="1" applyFill="1" applyBorder="1" applyAlignment="1" applyProtection="1">
      <alignment wrapText="1"/>
      <protection locked="0"/>
    </xf>
    <xf numFmtId="0" fontId="21" fillId="11" borderId="17" xfId="2" applyFont="1" applyFill="1" applyBorder="1" applyAlignment="1" applyProtection="1">
      <alignment vertical="center" wrapText="1"/>
      <protection locked="0"/>
    </xf>
    <xf numFmtId="9" fontId="21" fillId="11" borderId="17" xfId="3" applyFont="1" applyFill="1" applyBorder="1" applyAlignment="1" applyProtection="1">
      <alignment vertical="center" wrapText="1"/>
      <protection locked="0"/>
    </xf>
    <xf numFmtId="9" fontId="21" fillId="11" borderId="25" xfId="3" applyFont="1" applyFill="1" applyBorder="1" applyAlignment="1" applyProtection="1">
      <alignment vertical="center" wrapText="1"/>
      <protection locked="0"/>
    </xf>
    <xf numFmtId="0" fontId="30" fillId="0" borderId="14" xfId="2" applyFont="1" applyBorder="1" applyAlignment="1">
      <alignment horizontal="left" vertical="center" wrapText="1"/>
    </xf>
    <xf numFmtId="0" fontId="21" fillId="0" borderId="21" xfId="2" applyFont="1" applyBorder="1" applyAlignment="1">
      <alignment horizontal="left" vertical="center" wrapText="1"/>
    </xf>
    <xf numFmtId="0" fontId="21" fillId="0" borderId="14" xfId="2" applyFont="1" applyBorder="1" applyAlignment="1">
      <alignment horizontal="left" vertical="center" wrapText="1"/>
    </xf>
    <xf numFmtId="0" fontId="21" fillId="0" borderId="22" xfId="2" applyFont="1" applyBorder="1" applyAlignment="1">
      <alignment horizontal="left" vertical="center" wrapText="1"/>
    </xf>
    <xf numFmtId="0" fontId="25" fillId="0" borderId="21" xfId="2" applyFont="1" applyBorder="1" applyAlignment="1">
      <alignment horizontal="center" vertical="center" wrapText="1"/>
    </xf>
    <xf numFmtId="0" fontId="25" fillId="0" borderId="14" xfId="2" applyFont="1" applyBorder="1" applyAlignment="1">
      <alignment horizontal="center" vertical="center" wrapText="1"/>
    </xf>
    <xf numFmtId="166" fontId="26" fillId="12" borderId="14" xfId="2" applyNumberFormat="1" applyFont="1" applyFill="1" applyBorder="1" applyAlignment="1">
      <alignment horizontal="center" vertical="center" wrapText="1"/>
    </xf>
    <xf numFmtId="0" fontId="27" fillId="11" borderId="14" xfId="2" applyFont="1" applyFill="1" applyBorder="1" applyAlignment="1">
      <alignment horizontal="center" vertical="center" wrapText="1"/>
    </xf>
    <xf numFmtId="0" fontId="30" fillId="0" borderId="14" xfId="2" applyFont="1" applyBorder="1" applyAlignment="1">
      <alignment vertical="center" wrapText="1"/>
    </xf>
    <xf numFmtId="0" fontId="21" fillId="0" borderId="30" xfId="2" applyFont="1" applyBorder="1" applyAlignment="1">
      <alignment horizontal="center" vertical="center"/>
    </xf>
    <xf numFmtId="0" fontId="21" fillId="0" borderId="16" xfId="2" applyFont="1" applyBorder="1" applyAlignment="1">
      <alignment horizontal="center" vertical="center"/>
    </xf>
    <xf numFmtId="0" fontId="21" fillId="0" borderId="26" xfId="2" applyFont="1" applyBorder="1" applyAlignment="1">
      <alignment horizontal="center" vertical="center"/>
    </xf>
    <xf numFmtId="0" fontId="33" fillId="0" borderId="21" xfId="2" applyFont="1" applyBorder="1" applyAlignment="1" applyProtection="1">
      <alignment horizontal="left" vertical="top" wrapText="1"/>
      <protection locked="0"/>
    </xf>
    <xf numFmtId="0" fontId="21" fillId="0" borderId="14" xfId="2" applyFont="1" applyBorder="1" applyAlignment="1" applyProtection="1">
      <alignment horizontal="left" vertical="top" wrapText="1"/>
      <protection locked="0"/>
    </xf>
    <xf numFmtId="0" fontId="21" fillId="0" borderId="22" xfId="2" applyFont="1" applyBorder="1" applyAlignment="1" applyProtection="1">
      <alignment horizontal="left" vertical="top" wrapText="1"/>
      <protection locked="0"/>
    </xf>
    <xf numFmtId="0" fontId="1" fillId="0" borderId="31" xfId="2" applyBorder="1" applyAlignment="1">
      <alignment horizontal="center"/>
    </xf>
    <xf numFmtId="0" fontId="1" fillId="0" borderId="32" xfId="2" applyBorder="1" applyAlignment="1">
      <alignment horizontal="center"/>
    </xf>
    <xf numFmtId="0" fontId="1" fillId="0" borderId="33" xfId="2" applyBorder="1" applyAlignment="1">
      <alignment horizontal="center"/>
    </xf>
    <xf numFmtId="0" fontId="1" fillId="0" borderId="23" xfId="2" applyBorder="1" applyAlignment="1">
      <alignment horizontal="center"/>
    </xf>
    <xf numFmtId="0" fontId="1" fillId="0" borderId="0" xfId="2" applyAlignment="1">
      <alignment horizontal="center"/>
    </xf>
    <xf numFmtId="0" fontId="1" fillId="0" borderId="24" xfId="2" applyBorder="1" applyAlignment="1">
      <alignment horizontal="center"/>
    </xf>
    <xf numFmtId="0" fontId="1" fillId="0" borderId="34" xfId="2" applyBorder="1" applyAlignment="1">
      <alignment horizontal="center"/>
    </xf>
    <xf numFmtId="0" fontId="1" fillId="0" borderId="35" xfId="2" applyBorder="1" applyAlignment="1">
      <alignment horizontal="center"/>
    </xf>
    <xf numFmtId="0" fontId="1" fillId="0" borderId="36" xfId="2" applyBorder="1" applyAlignment="1">
      <alignment horizontal="center"/>
    </xf>
    <xf numFmtId="0" fontId="30" fillId="0" borderId="14" xfId="2" applyFont="1" applyBorder="1" applyAlignment="1">
      <alignment horizontal="left" vertical="top" wrapText="1"/>
    </xf>
    <xf numFmtId="0" fontId="32" fillId="13" borderId="21" xfId="2" applyFont="1" applyFill="1" applyBorder="1" applyAlignment="1">
      <alignment horizontal="center" vertical="center"/>
    </xf>
    <xf numFmtId="0" fontId="32" fillId="13" borderId="14" xfId="2" applyFont="1" applyFill="1" applyBorder="1" applyAlignment="1">
      <alignment horizontal="center" vertical="center"/>
    </xf>
    <xf numFmtId="0" fontId="21" fillId="11" borderId="16" xfId="3" applyNumberFormat="1" applyFont="1" applyFill="1" applyBorder="1" applyAlignment="1" applyProtection="1">
      <alignment horizontal="left" vertical="center" wrapText="1"/>
      <protection locked="0"/>
    </xf>
    <xf numFmtId="0" fontId="21" fillId="11" borderId="26" xfId="3" applyNumberFormat="1" applyFont="1" applyFill="1" applyBorder="1" applyAlignment="1" applyProtection="1">
      <alignment horizontal="left" vertical="center" wrapText="1"/>
      <protection locked="0"/>
    </xf>
    <xf numFmtId="0" fontId="21" fillId="11" borderId="16" xfId="3" applyNumberFormat="1" applyFont="1" applyFill="1" applyBorder="1" applyAlignment="1" applyProtection="1">
      <alignment vertical="center" wrapText="1"/>
      <protection locked="0"/>
    </xf>
    <xf numFmtId="0" fontId="21" fillId="11" borderId="26" xfId="3" applyNumberFormat="1" applyFont="1" applyFill="1" applyBorder="1" applyAlignment="1" applyProtection="1">
      <alignment vertical="center" wrapText="1"/>
      <protection locked="0"/>
    </xf>
    <xf numFmtId="0" fontId="21" fillId="11" borderId="17" xfId="3" applyNumberFormat="1" applyFont="1" applyFill="1" applyBorder="1" applyAlignment="1" applyProtection="1">
      <alignment vertical="center" wrapText="1"/>
      <protection locked="0"/>
    </xf>
    <xf numFmtId="0" fontId="21" fillId="11" borderId="25" xfId="3" applyNumberFormat="1" applyFont="1" applyFill="1" applyBorder="1" applyAlignment="1" applyProtection="1">
      <alignment vertical="center" wrapText="1"/>
      <protection locked="0"/>
    </xf>
    <xf numFmtId="0" fontId="1" fillId="0" borderId="31" xfId="2" applyBorder="1" applyAlignment="1">
      <alignment horizontal="left" wrapText="1"/>
    </xf>
    <xf numFmtId="0" fontId="1" fillId="0" borderId="32" xfId="2" applyBorder="1" applyAlignment="1">
      <alignment horizontal="left"/>
    </xf>
    <xf numFmtId="0" fontId="1" fillId="0" borderId="33" xfId="2" applyBorder="1" applyAlignment="1">
      <alignment horizontal="left"/>
    </xf>
    <xf numFmtId="0" fontId="1" fillId="0" borderId="23" xfId="2" applyBorder="1" applyAlignment="1">
      <alignment horizontal="left"/>
    </xf>
    <xf numFmtId="0" fontId="1" fillId="0" borderId="0" xfId="2" applyAlignment="1">
      <alignment horizontal="left"/>
    </xf>
    <xf numFmtId="0" fontId="1" fillId="0" borderId="24" xfId="2" applyBorder="1" applyAlignment="1">
      <alignment horizontal="left"/>
    </xf>
    <xf numFmtId="0" fontId="1" fillId="0" borderId="34" xfId="2" applyBorder="1" applyAlignment="1">
      <alignment horizontal="left"/>
    </xf>
    <xf numFmtId="0" fontId="1" fillId="0" borderId="35" xfId="2" applyBorder="1" applyAlignment="1">
      <alignment horizontal="left"/>
    </xf>
    <xf numFmtId="0" fontId="1" fillId="0" borderId="36" xfId="2" applyBorder="1" applyAlignment="1">
      <alignment horizontal="left"/>
    </xf>
    <xf numFmtId="0" fontId="21" fillId="0" borderId="30" xfId="0" applyFont="1" applyBorder="1" applyAlignment="1">
      <alignment horizontal="center" vertical="center"/>
    </xf>
    <xf numFmtId="0" fontId="21" fillId="0" borderId="16" xfId="0" applyFont="1" applyBorder="1" applyAlignment="1">
      <alignment horizontal="center" vertical="center"/>
    </xf>
    <xf numFmtId="0" fontId="21" fillId="0" borderId="26" xfId="0" applyFont="1" applyBorder="1" applyAlignment="1">
      <alignment horizontal="center" vertical="center"/>
    </xf>
    <xf numFmtId="0" fontId="33" fillId="0" borderId="21"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21" fillId="0" borderId="22" xfId="0" applyFont="1" applyBorder="1" applyAlignment="1" applyProtection="1">
      <alignment horizontal="left" vertical="top" wrapText="1"/>
      <protection locked="0"/>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23" xfId="0" applyBorder="1" applyAlignment="1">
      <alignment horizontal="center"/>
    </xf>
    <xf numFmtId="0" fontId="0" fillId="0" borderId="0" xfId="0" applyAlignment="1">
      <alignment horizontal="center"/>
    </xf>
    <xf numFmtId="0" fontId="0" fillId="0" borderId="24" xfId="0" applyBorder="1" applyAlignment="1">
      <alignment horizontal="center"/>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30" fillId="0" borderId="14" xfId="0" applyFont="1" applyBorder="1" applyAlignment="1">
      <alignment horizontal="left" vertical="center" wrapText="1"/>
    </xf>
    <xf numFmtId="0" fontId="32" fillId="13" borderId="21" xfId="0" applyFont="1" applyFill="1" applyBorder="1" applyAlignment="1">
      <alignment horizontal="center" vertical="center"/>
    </xf>
    <xf numFmtId="0" fontId="32" fillId="13" borderId="14" xfId="0" applyFont="1" applyFill="1" applyBorder="1" applyAlignment="1">
      <alignment horizontal="center" vertical="center"/>
    </xf>
    <xf numFmtId="0" fontId="30" fillId="0" borderId="14" xfId="0" applyFont="1" applyBorder="1" applyAlignment="1">
      <alignment vertical="center" wrapText="1"/>
    </xf>
    <xf numFmtId="0" fontId="27" fillId="11" borderId="14" xfId="0" applyFont="1" applyFill="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20" xfId="0" applyFont="1" applyBorder="1" applyAlignment="1">
      <alignment horizontal="center" vertical="center" wrapText="1"/>
    </xf>
    <xf numFmtId="0" fontId="15" fillId="10" borderId="21" xfId="0" applyFont="1" applyFill="1" applyBorder="1" applyAlignment="1">
      <alignment horizontal="center" vertical="center" wrapText="1"/>
    </xf>
    <xf numFmtId="0" fontId="15" fillId="10" borderId="14" xfId="0" applyFont="1" applyFill="1" applyBorder="1" applyAlignment="1">
      <alignment horizontal="center" vertical="center" wrapText="1"/>
    </xf>
    <xf numFmtId="0" fontId="15" fillId="10" borderId="22" xfId="0" applyFont="1" applyFill="1" applyBorder="1" applyAlignment="1">
      <alignment horizontal="center" vertical="center" wrapText="1"/>
    </xf>
    <xf numFmtId="0" fontId="17" fillId="10" borderId="21" xfId="0" applyFont="1" applyFill="1" applyBorder="1" applyAlignment="1">
      <alignment horizontal="left" vertical="center" wrapText="1"/>
    </xf>
    <xf numFmtId="0" fontId="17" fillId="10" borderId="14" xfId="0" applyFont="1" applyFill="1" applyBorder="1" applyAlignment="1">
      <alignment horizontal="left" vertical="center" wrapText="1"/>
    </xf>
    <xf numFmtId="0" fontId="80" fillId="11" borderId="14" xfId="0" applyFont="1" applyFill="1" applyBorder="1" applyAlignment="1">
      <alignment horizontal="left" vertical="center" wrapText="1"/>
    </xf>
    <xf numFmtId="0" fontId="20" fillId="11" borderId="14" xfId="0" applyFont="1" applyFill="1" applyBorder="1" applyAlignment="1">
      <alignment horizontal="left" vertical="center" wrapText="1"/>
    </xf>
    <xf numFmtId="0" fontId="20" fillId="11" borderId="22" xfId="0" applyFont="1" applyFill="1" applyBorder="1" applyAlignment="1">
      <alignment horizontal="left" vertical="center" wrapText="1"/>
    </xf>
    <xf numFmtId="0" fontId="21" fillId="11" borderId="17" xfId="0" applyFont="1" applyFill="1" applyBorder="1" applyAlignment="1" applyProtection="1">
      <alignment wrapText="1"/>
      <protection locked="0"/>
    </xf>
    <xf numFmtId="0" fontId="21" fillId="11" borderId="17" xfId="0" applyFont="1" applyFill="1" applyBorder="1" applyAlignment="1" applyProtection="1">
      <alignment vertical="center" wrapText="1"/>
      <protection locked="0"/>
    </xf>
    <xf numFmtId="9" fontId="21" fillId="11" borderId="17" xfId="1" applyFont="1" applyFill="1" applyBorder="1" applyAlignment="1" applyProtection="1">
      <alignment vertical="center" wrapText="1"/>
      <protection locked="0"/>
    </xf>
    <xf numFmtId="9" fontId="21" fillId="11" borderId="25" xfId="1" applyFont="1" applyFill="1" applyBorder="1" applyAlignment="1" applyProtection="1">
      <alignment vertical="center" wrapText="1"/>
      <protection locked="0"/>
    </xf>
    <xf numFmtId="0" fontId="21" fillId="0" borderId="21" xfId="0" applyFont="1" applyBorder="1" applyAlignment="1">
      <alignment horizontal="left" vertical="center" wrapText="1"/>
    </xf>
    <xf numFmtId="0" fontId="21" fillId="0" borderId="14" xfId="0" applyFont="1" applyBorder="1" applyAlignment="1">
      <alignment horizontal="left" vertical="center" wrapText="1"/>
    </xf>
    <xf numFmtId="0" fontId="21" fillId="0" borderId="22" xfId="0" applyFont="1" applyBorder="1" applyAlignment="1">
      <alignment horizontal="left" vertical="center" wrapText="1"/>
    </xf>
    <xf numFmtId="0" fontId="25" fillId="0" borderId="21" xfId="0" applyFont="1" applyBorder="1" applyAlignment="1">
      <alignment horizontal="center" vertical="center" wrapText="1"/>
    </xf>
    <xf numFmtId="0" fontId="25" fillId="0" borderId="14" xfId="0" applyFont="1" applyBorder="1" applyAlignment="1">
      <alignment horizontal="center" vertical="center" wrapText="1"/>
    </xf>
    <xf numFmtId="166" fontId="26" fillId="12" borderId="14" xfId="0" applyNumberFormat="1" applyFont="1" applyFill="1" applyBorder="1" applyAlignment="1">
      <alignment horizontal="center" vertical="center" wrapText="1"/>
    </xf>
    <xf numFmtId="0" fontId="21" fillId="11" borderId="16" xfId="0" applyFont="1" applyFill="1" applyBorder="1" applyAlignment="1" applyProtection="1">
      <alignment wrapText="1"/>
      <protection locked="0"/>
    </xf>
    <xf numFmtId="0" fontId="21" fillId="11" borderId="16" xfId="0" applyFont="1" applyFill="1" applyBorder="1" applyAlignment="1" applyProtection="1">
      <alignment vertical="center" wrapText="1"/>
      <protection locked="0"/>
    </xf>
    <xf numFmtId="9" fontId="21" fillId="11" borderId="16" xfId="1" applyFont="1" applyFill="1" applyBorder="1" applyAlignment="1" applyProtection="1">
      <alignment vertical="center" wrapText="1"/>
      <protection locked="0"/>
    </xf>
    <xf numFmtId="9" fontId="21" fillId="11" borderId="26" xfId="1" applyFont="1" applyFill="1" applyBorder="1" applyAlignment="1" applyProtection="1">
      <alignment vertical="center" wrapText="1"/>
      <protection locked="0"/>
    </xf>
    <xf numFmtId="14" fontId="21" fillId="11" borderId="16" xfId="0" applyNumberFormat="1" applyFont="1" applyFill="1" applyBorder="1" applyAlignment="1" applyProtection="1">
      <alignment wrapText="1"/>
      <protection locked="0"/>
    </xf>
    <xf numFmtId="0" fontId="2" fillId="11" borderId="16" xfId="9" applyFill="1" applyBorder="1" applyAlignment="1" applyProtection="1">
      <alignment vertical="center" wrapText="1"/>
      <protection locked="0"/>
    </xf>
    <xf numFmtId="1" fontId="21" fillId="11" borderId="16" xfId="3" applyNumberFormat="1" applyFont="1" applyFill="1" applyBorder="1" applyAlignment="1" applyProtection="1">
      <alignment vertical="center" wrapText="1"/>
      <protection locked="0"/>
    </xf>
    <xf numFmtId="1" fontId="21" fillId="11" borderId="26" xfId="3" applyNumberFormat="1" applyFont="1" applyFill="1" applyBorder="1" applyAlignment="1" applyProtection="1">
      <alignment vertical="center" wrapText="1"/>
      <protection locked="0"/>
    </xf>
    <xf numFmtId="0" fontId="42" fillId="3" borderId="14" xfId="0" applyFont="1" applyFill="1" applyBorder="1" applyAlignment="1">
      <alignment horizontal="left" vertical="top" wrapText="1"/>
    </xf>
    <xf numFmtId="0" fontId="42" fillId="3" borderId="14" xfId="0" applyFont="1" applyFill="1" applyBorder="1" applyAlignment="1">
      <alignment horizontal="left" vertical="top" wrapText="1" indent="4"/>
    </xf>
    <xf numFmtId="1" fontId="43" fillId="3" borderId="14" xfId="0" applyNumberFormat="1" applyFont="1" applyFill="1" applyBorder="1" applyAlignment="1">
      <alignment horizontal="center" vertical="top" shrinkToFit="1"/>
    </xf>
    <xf numFmtId="0" fontId="42" fillId="3" borderId="14" xfId="0" applyFont="1" applyFill="1" applyBorder="1" applyAlignment="1">
      <alignment horizontal="left" vertical="top" wrapText="1" indent="3"/>
    </xf>
    <xf numFmtId="0" fontId="36" fillId="0" borderId="5" xfId="0" applyFont="1" applyBorder="1" applyAlignment="1">
      <alignment horizontal="center" vertical="top" wrapText="1"/>
    </xf>
    <xf numFmtId="0" fontId="36" fillId="0" borderId="6" xfId="0" applyFont="1" applyBorder="1" applyAlignment="1">
      <alignment horizontal="center" vertical="top" wrapText="1"/>
    </xf>
    <xf numFmtId="0" fontId="36" fillId="0" borderId="7" xfId="0" applyFont="1" applyBorder="1" applyAlignment="1">
      <alignment horizontal="center" vertical="top" wrapText="1"/>
    </xf>
    <xf numFmtId="0" fontId="36" fillId="2" borderId="14" xfId="0" applyFont="1" applyFill="1" applyBorder="1" applyAlignment="1">
      <alignment horizontal="center" vertical="top" wrapText="1"/>
    </xf>
    <xf numFmtId="0" fontId="36" fillId="2" borderId="14" xfId="0" applyFont="1" applyFill="1" applyBorder="1" applyAlignment="1">
      <alignment horizontal="left" vertical="top" wrapText="1"/>
    </xf>
    <xf numFmtId="0" fontId="39" fillId="3" borderId="14" xfId="0" applyFont="1" applyFill="1" applyBorder="1" applyAlignment="1">
      <alignment horizontal="left" vertical="top" wrapText="1"/>
    </xf>
    <xf numFmtId="0" fontId="41" fillId="3" borderId="14" xfId="0" applyFont="1" applyFill="1" applyBorder="1" applyAlignment="1">
      <alignment horizontal="left" vertical="top" wrapText="1"/>
    </xf>
    <xf numFmtId="0" fontId="42" fillId="3" borderId="14" xfId="0" applyFont="1" applyFill="1" applyBorder="1" applyAlignment="1">
      <alignment horizontal="center" vertical="top" wrapText="1"/>
    </xf>
    <xf numFmtId="0" fontId="49" fillId="0" borderId="1" xfId="0" applyFont="1" applyBorder="1" applyAlignment="1">
      <alignment horizontal="left" vertical="top" wrapText="1"/>
    </xf>
    <xf numFmtId="0" fontId="49" fillId="0" borderId="2" xfId="0" applyFont="1" applyBorder="1" applyAlignment="1">
      <alignment horizontal="left" vertical="top" wrapText="1"/>
    </xf>
    <xf numFmtId="0" fontId="49" fillId="0" borderId="3" xfId="0" applyFont="1" applyBorder="1" applyAlignment="1">
      <alignment horizontal="left" vertical="top" wrapText="1"/>
    </xf>
    <xf numFmtId="0" fontId="37" fillId="0" borderId="1" xfId="0" applyFont="1" applyBorder="1" applyAlignment="1">
      <alignment horizontal="left" vertical="top" wrapText="1"/>
    </xf>
    <xf numFmtId="0" fontId="37" fillId="0" borderId="2" xfId="0" applyFont="1" applyBorder="1" applyAlignment="1">
      <alignment horizontal="left" vertical="top" wrapText="1"/>
    </xf>
    <xf numFmtId="0" fontId="37" fillId="0" borderId="3" xfId="0" applyFont="1" applyBorder="1" applyAlignment="1">
      <alignment horizontal="left" vertical="top" wrapText="1"/>
    </xf>
    <xf numFmtId="0" fontId="37" fillId="0" borderId="14" xfId="0" applyFont="1" applyBorder="1" applyAlignment="1">
      <alignment horizontal="left" vertical="top" wrapText="1"/>
    </xf>
    <xf numFmtId="0" fontId="36" fillId="0" borderId="14" xfId="0" applyFont="1" applyBorder="1" applyAlignment="1">
      <alignment horizontal="left" vertical="top" wrapText="1" indent="3"/>
    </xf>
    <xf numFmtId="0" fontId="36" fillId="0" borderId="14" xfId="0" applyFont="1" applyBorder="1" applyAlignment="1">
      <alignment horizontal="left" vertical="top" wrapText="1" indent="8"/>
    </xf>
    <xf numFmtId="0" fontId="46" fillId="4" borderId="14" xfId="0" applyFont="1" applyFill="1" applyBorder="1" applyAlignment="1">
      <alignment horizontal="left" vertical="top" wrapText="1" indent="9"/>
    </xf>
    <xf numFmtId="0" fontId="37" fillId="0" borderId="10" xfId="0" applyFont="1" applyBorder="1" applyAlignment="1">
      <alignment horizontal="left" vertical="top" wrapText="1"/>
    </xf>
    <xf numFmtId="0" fontId="37" fillId="0" borderId="11" xfId="0" applyFont="1" applyBorder="1" applyAlignment="1">
      <alignment horizontal="left" vertical="top" wrapText="1"/>
    </xf>
    <xf numFmtId="0" fontId="37" fillId="0" borderId="12" xfId="0" applyFont="1" applyBorder="1" applyAlignment="1">
      <alignment horizontal="left" vertical="top" wrapText="1"/>
    </xf>
    <xf numFmtId="0" fontId="49" fillId="0" borderId="8" xfId="0" applyFont="1" applyBorder="1" applyAlignment="1">
      <alignment horizontal="left" vertical="top" wrapText="1"/>
    </xf>
    <xf numFmtId="0" fontId="49" fillId="0" borderId="0" xfId="0" applyFont="1" applyAlignment="1">
      <alignment horizontal="left" vertical="top" wrapText="1"/>
    </xf>
    <xf numFmtId="0" fontId="49" fillId="0" borderId="9" xfId="0" applyFont="1" applyBorder="1" applyAlignment="1">
      <alignment horizontal="left" vertical="top" wrapText="1"/>
    </xf>
    <xf numFmtId="0" fontId="49" fillId="0" borderId="10" xfId="0" applyFont="1" applyBorder="1" applyAlignment="1">
      <alignment horizontal="left" vertical="top" wrapText="1"/>
    </xf>
    <xf numFmtId="0" fontId="49" fillId="0" borderId="11" xfId="0" applyFont="1" applyBorder="1" applyAlignment="1">
      <alignment horizontal="left" vertical="top" wrapText="1"/>
    </xf>
    <xf numFmtId="0" fontId="49" fillId="0" borderId="12" xfId="0" applyFont="1" applyBorder="1" applyAlignment="1">
      <alignment horizontal="left" vertical="top" wrapText="1"/>
    </xf>
    <xf numFmtId="0" fontId="48" fillId="0" borderId="1" xfId="0" applyFont="1" applyBorder="1" applyAlignment="1">
      <alignment horizontal="left" vertical="top" wrapText="1"/>
    </xf>
    <xf numFmtId="0" fontId="46" fillId="5" borderId="1" xfId="0" applyFont="1" applyFill="1" applyBorder="1" applyAlignment="1">
      <alignment horizontal="center" vertical="center" wrapText="1"/>
    </xf>
    <xf numFmtId="0" fontId="46" fillId="5" borderId="2" xfId="0" applyFont="1" applyFill="1" applyBorder="1" applyAlignment="1">
      <alignment horizontal="center" vertical="center" wrapText="1"/>
    </xf>
    <xf numFmtId="0" fontId="37" fillId="0" borderId="1" xfId="0" applyFont="1" applyBorder="1" applyAlignment="1">
      <alignment horizontal="left" wrapText="1"/>
    </xf>
    <xf numFmtId="0" fontId="37" fillId="0" borderId="2" xfId="0" applyFont="1" applyBorder="1" applyAlignment="1">
      <alignment horizontal="left" wrapText="1"/>
    </xf>
    <xf numFmtId="0" fontId="37" fillId="0" borderId="11" xfId="0" applyFont="1" applyBorder="1" applyAlignment="1">
      <alignment horizontal="left" wrapText="1"/>
    </xf>
    <xf numFmtId="0" fontId="49" fillId="0" borderId="5" xfId="0" applyFont="1" applyBorder="1" applyAlignment="1">
      <alignment horizontal="left" wrapText="1"/>
    </xf>
    <xf numFmtId="0" fontId="49" fillId="0" borderId="6" xfId="0" applyFont="1" applyBorder="1" applyAlignment="1">
      <alignment horizontal="left" wrapText="1"/>
    </xf>
    <xf numFmtId="0" fontId="49" fillId="0" borderId="7" xfId="0" applyFont="1" applyBorder="1" applyAlignment="1">
      <alignment horizontal="left" wrapText="1"/>
    </xf>
    <xf numFmtId="0" fontId="50" fillId="0" borderId="1" xfId="0" applyFont="1" applyBorder="1" applyAlignment="1">
      <alignment horizontal="left" vertical="top" wrapText="1"/>
    </xf>
  </cellXfs>
  <cellStyles count="13">
    <cellStyle name="Hipervínculo" xfId="9" builtinId="8"/>
    <cellStyle name="Hipervínculo 2" xfId="4" xr:uid="{57B32866-C20B-4AAE-AC4E-2A7C7C08E53E}"/>
    <cellStyle name="Millares" xfId="6" builtinId="3"/>
    <cellStyle name="Millares 2" xfId="5" xr:uid="{17E8B7F1-2096-4125-9539-EAF3AC27A20F}"/>
    <cellStyle name="Millares 2 2" xfId="10" xr:uid="{446A5E67-7E38-4B2E-94AF-940CD4E4C483}"/>
    <cellStyle name="Millares 3" xfId="11" xr:uid="{DC67AF4C-81D8-4139-A5C0-FC3654184FBD}"/>
    <cellStyle name="Moneda" xfId="7" builtinId="4"/>
    <cellStyle name="Moneda 2" xfId="12" xr:uid="{37BA0724-5E8D-4920-B2EA-BFC0F9538745}"/>
    <cellStyle name="Normal" xfId="0" builtinId="0"/>
    <cellStyle name="Normal 2" xfId="2" xr:uid="{36EB4392-02F2-483B-8911-670AE70F6A6E}"/>
    <cellStyle name="Normal 3" xfId="8" xr:uid="{6CE40BA8-08C9-4481-B371-A6E17DC8B448}"/>
    <cellStyle name="Porcentaje" xfId="1" builtinId="5"/>
    <cellStyle name="Porcentaje 2" xfId="3" xr:uid="{8E129FC4-45AD-4A12-B4C3-7F912121DA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png"/><Relationship Id="rId1" Type="http://schemas.openxmlformats.org/officeDocument/2006/relationships/image" Target="../media/image5.jpeg"/><Relationship Id="rId4"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9.png"/><Relationship Id="rId1" Type="http://schemas.openxmlformats.org/officeDocument/2006/relationships/image" Target="../media/image1.png"/><Relationship Id="rId4" Type="http://schemas.openxmlformats.org/officeDocument/2006/relationships/image" Target="../media/image1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3.png"/></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9.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19050</xdr:rowOff>
    </xdr:from>
    <xdr:to>
      <xdr:col>3</xdr:col>
      <xdr:colOff>0</xdr:colOff>
      <xdr:row>3</xdr:row>
      <xdr:rowOff>190500</xdr:rowOff>
    </xdr:to>
    <xdr:pic>
      <xdr:nvPicPr>
        <xdr:cNvPr id="3" name="Imagen 2">
          <a:extLst>
            <a:ext uri="{FF2B5EF4-FFF2-40B4-BE49-F238E27FC236}">
              <a16:creationId xmlns:a16="http://schemas.microsoft.com/office/drawing/2014/main" id="{2F04F361-0E39-4C04-BE1A-E0BA1450D6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05425" y="114300"/>
          <a:ext cx="0" cy="1422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412750</xdr:colOff>
      <xdr:row>114</xdr:row>
      <xdr:rowOff>7938</xdr:rowOff>
    </xdr:from>
    <xdr:to>
      <xdr:col>1</xdr:col>
      <xdr:colOff>1870075</xdr:colOff>
      <xdr:row>116</xdr:row>
      <xdr:rowOff>74613</xdr:rowOff>
    </xdr:to>
    <xdr:pic>
      <xdr:nvPicPr>
        <xdr:cNvPr id="4" name="Imagen 1">
          <a:extLst>
            <a:ext uri="{FF2B5EF4-FFF2-40B4-BE49-F238E27FC236}">
              <a16:creationId xmlns:a16="http://schemas.microsoft.com/office/drawing/2014/main" id="{C2B418B9-F3B9-48BD-B3C9-4F49AF685D8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0925" y="29183013"/>
          <a:ext cx="14573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1114425</xdr:colOff>
      <xdr:row>1</xdr:row>
      <xdr:rowOff>219075</xdr:rowOff>
    </xdr:from>
    <xdr:to>
      <xdr:col>7</xdr:col>
      <xdr:colOff>6196</xdr:colOff>
      <xdr:row>3</xdr:row>
      <xdr:rowOff>199093</xdr:rowOff>
    </xdr:to>
    <xdr:pic>
      <xdr:nvPicPr>
        <xdr:cNvPr id="6" name="Imagen 5">
          <a:extLst>
            <a:ext uri="{FF2B5EF4-FFF2-40B4-BE49-F238E27FC236}">
              <a16:creationId xmlns:a16="http://schemas.microsoft.com/office/drawing/2014/main" id="{6DFAD04F-3E2C-4A33-90C5-3FD3EFAE4C1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29425" y="314325"/>
          <a:ext cx="0" cy="1681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226483</xdr:colOff>
      <xdr:row>1</xdr:row>
      <xdr:rowOff>387350</xdr:rowOff>
    </xdr:from>
    <xdr:to>
      <xdr:col>9</xdr:col>
      <xdr:colOff>226483</xdr:colOff>
      <xdr:row>2</xdr:row>
      <xdr:rowOff>59589</xdr:rowOff>
    </xdr:to>
    <xdr:pic>
      <xdr:nvPicPr>
        <xdr:cNvPr id="10" name="Imagen 9">
          <a:extLst>
            <a:ext uri="{FF2B5EF4-FFF2-40B4-BE49-F238E27FC236}">
              <a16:creationId xmlns:a16="http://schemas.microsoft.com/office/drawing/2014/main" id="{7D2AB267-FEAB-4827-89FC-0CF60E2335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99783" y="587375"/>
          <a:ext cx="0" cy="996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142875</xdr:colOff>
      <xdr:row>0</xdr:row>
      <xdr:rowOff>57150</xdr:rowOff>
    </xdr:from>
    <xdr:to>
      <xdr:col>10</xdr:col>
      <xdr:colOff>142875</xdr:colOff>
      <xdr:row>1</xdr:row>
      <xdr:rowOff>822390</xdr:rowOff>
    </xdr:to>
    <xdr:pic>
      <xdr:nvPicPr>
        <xdr:cNvPr id="11" name="Imagen 4">
          <a:extLst>
            <a:ext uri="{FF2B5EF4-FFF2-40B4-BE49-F238E27FC236}">
              <a16:creationId xmlns:a16="http://schemas.microsoft.com/office/drawing/2014/main" id="{0E7AEE06-84E3-4594-AF48-1D205FD622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6725" y="0"/>
          <a:ext cx="0" cy="93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174625</xdr:colOff>
      <xdr:row>0</xdr:row>
      <xdr:rowOff>78317</xdr:rowOff>
    </xdr:from>
    <xdr:to>
      <xdr:col>10</xdr:col>
      <xdr:colOff>174625</xdr:colOff>
      <xdr:row>1</xdr:row>
      <xdr:rowOff>843557</xdr:rowOff>
    </xdr:to>
    <xdr:pic>
      <xdr:nvPicPr>
        <xdr:cNvPr id="12" name="Imagen 11">
          <a:extLst>
            <a:ext uri="{FF2B5EF4-FFF2-40B4-BE49-F238E27FC236}">
              <a16:creationId xmlns:a16="http://schemas.microsoft.com/office/drawing/2014/main" id="{84C06F38-0145-4BCF-A8D0-EA3D31F43B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8475" y="0"/>
          <a:ext cx="0" cy="93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14</xdr:col>
      <xdr:colOff>226483</xdr:colOff>
      <xdr:row>1</xdr:row>
      <xdr:rowOff>387350</xdr:rowOff>
    </xdr:from>
    <xdr:ext cx="0" cy="996214"/>
    <xdr:pic>
      <xdr:nvPicPr>
        <xdr:cNvPr id="13" name="Imagen 12">
          <a:extLst>
            <a:ext uri="{FF2B5EF4-FFF2-40B4-BE49-F238E27FC236}">
              <a16:creationId xmlns:a16="http://schemas.microsoft.com/office/drawing/2014/main" id="{C2983363-E550-442B-A44C-FC91133757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99783" y="587375"/>
          <a:ext cx="0" cy="996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142875</xdr:colOff>
      <xdr:row>0</xdr:row>
      <xdr:rowOff>57150</xdr:rowOff>
    </xdr:from>
    <xdr:ext cx="0" cy="942405"/>
    <xdr:pic>
      <xdr:nvPicPr>
        <xdr:cNvPr id="14" name="Imagen 4">
          <a:extLst>
            <a:ext uri="{FF2B5EF4-FFF2-40B4-BE49-F238E27FC236}">
              <a16:creationId xmlns:a16="http://schemas.microsoft.com/office/drawing/2014/main" id="{13C5E73F-BF88-4749-8B8B-46E2B2DEB2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06700" y="57150"/>
          <a:ext cx="0" cy="9424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15</xdr:col>
      <xdr:colOff>174625</xdr:colOff>
      <xdr:row>0</xdr:row>
      <xdr:rowOff>78317</xdr:rowOff>
    </xdr:from>
    <xdr:ext cx="0" cy="942405"/>
    <xdr:pic>
      <xdr:nvPicPr>
        <xdr:cNvPr id="15" name="Imagen 14">
          <a:extLst>
            <a:ext uri="{FF2B5EF4-FFF2-40B4-BE49-F238E27FC236}">
              <a16:creationId xmlns:a16="http://schemas.microsoft.com/office/drawing/2014/main" id="{75374C62-B3EB-4E03-A25E-746AF61684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38450" y="78317"/>
          <a:ext cx="0" cy="9424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12</xdr:col>
      <xdr:colOff>522682</xdr:colOff>
      <xdr:row>131</xdr:row>
      <xdr:rowOff>104775</xdr:rowOff>
    </xdr:from>
    <xdr:to>
      <xdr:col>17</xdr:col>
      <xdr:colOff>1647825</xdr:colOff>
      <xdr:row>159</xdr:row>
      <xdr:rowOff>48165</xdr:rowOff>
    </xdr:to>
    <xdr:pic>
      <xdr:nvPicPr>
        <xdr:cNvPr id="2" name="Imagen 1">
          <a:extLst>
            <a:ext uri="{FF2B5EF4-FFF2-40B4-BE49-F238E27FC236}">
              <a16:creationId xmlns:a16="http://schemas.microsoft.com/office/drawing/2014/main" id="{26EE8995-D83A-09F5-A990-131908FC8A3C}"/>
            </a:ext>
          </a:extLst>
        </xdr:cNvPr>
        <xdr:cNvPicPr>
          <a:picLocks noChangeAspect="1"/>
        </xdr:cNvPicPr>
      </xdr:nvPicPr>
      <xdr:blipFill>
        <a:blip xmlns:r="http://schemas.openxmlformats.org/officeDocument/2006/relationships" r:embed="rId3"/>
        <a:stretch>
          <a:fillRect/>
        </a:stretch>
      </xdr:blipFill>
      <xdr:spPr>
        <a:xfrm>
          <a:off x="22982632" y="47767875"/>
          <a:ext cx="8507018" cy="38676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39732</xdr:colOff>
      <xdr:row>0</xdr:row>
      <xdr:rowOff>3101</xdr:rowOff>
    </xdr:from>
    <xdr:ext cx="517371" cy="267825"/>
    <xdr:pic>
      <xdr:nvPicPr>
        <xdr:cNvPr id="2" name="image1.jpeg">
          <a:extLst>
            <a:ext uri="{FF2B5EF4-FFF2-40B4-BE49-F238E27FC236}">
              <a16:creationId xmlns:a16="http://schemas.microsoft.com/office/drawing/2014/main" id="{D166D7B6-6E8B-405A-B75A-EB75D1AB06C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732" y="3101"/>
          <a:ext cx="517371" cy="26782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39732</xdr:colOff>
      <xdr:row>0</xdr:row>
      <xdr:rowOff>3101</xdr:rowOff>
    </xdr:from>
    <xdr:ext cx="517371" cy="267825"/>
    <xdr:pic>
      <xdr:nvPicPr>
        <xdr:cNvPr id="2" name="image1.jpeg">
          <a:extLst>
            <a:ext uri="{FF2B5EF4-FFF2-40B4-BE49-F238E27FC236}">
              <a16:creationId xmlns:a16="http://schemas.microsoft.com/office/drawing/2014/main" id="{B3A1378B-678F-475F-A47D-B569358BFE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732" y="3101"/>
          <a:ext cx="517371" cy="2678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637374" cy="350900"/>
    <xdr:pic>
      <xdr:nvPicPr>
        <xdr:cNvPr id="2" name="image1.jpeg">
          <a:extLst>
            <a:ext uri="{FF2B5EF4-FFF2-40B4-BE49-F238E27FC236}">
              <a16:creationId xmlns:a16="http://schemas.microsoft.com/office/drawing/2014/main" id="{88EE4DD4-F456-4858-AD03-AE69DFCF7A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37374" cy="350900"/>
        </a:xfrm>
        <a:prstGeom prst="rect">
          <a:avLst/>
        </a:prstGeom>
      </xdr:spPr>
    </xdr:pic>
    <xdr:clientData/>
  </xdr:oneCellAnchor>
  <xdr:oneCellAnchor>
    <xdr:from>
      <xdr:col>0</xdr:col>
      <xdr:colOff>423085</xdr:colOff>
      <xdr:row>139</xdr:row>
      <xdr:rowOff>949452</xdr:rowOff>
    </xdr:from>
    <xdr:ext cx="1470050" cy="580669"/>
    <xdr:pic>
      <xdr:nvPicPr>
        <xdr:cNvPr id="3" name="image3.png">
          <a:extLst>
            <a:ext uri="{FF2B5EF4-FFF2-40B4-BE49-F238E27FC236}">
              <a16:creationId xmlns:a16="http://schemas.microsoft.com/office/drawing/2014/main" id="{9BCBC9F2-60B4-41C6-9BCA-579C17AEDCD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085" y="32401002"/>
          <a:ext cx="1470050" cy="580669"/>
        </a:xfrm>
        <a:prstGeom prst="rect">
          <a:avLst/>
        </a:prstGeom>
      </xdr:spPr>
    </xdr:pic>
    <xdr:clientData/>
  </xdr:oneCellAnchor>
  <xdr:twoCellAnchor editAs="oneCell">
    <xdr:from>
      <xdr:col>10</xdr:col>
      <xdr:colOff>400050</xdr:colOff>
      <xdr:row>0</xdr:row>
      <xdr:rowOff>152400</xdr:rowOff>
    </xdr:from>
    <xdr:to>
      <xdr:col>10</xdr:col>
      <xdr:colOff>2905125</xdr:colOff>
      <xdr:row>9</xdr:row>
      <xdr:rowOff>62027</xdr:rowOff>
    </xdr:to>
    <xdr:pic>
      <xdr:nvPicPr>
        <xdr:cNvPr id="4" name="Imagen 3">
          <a:extLst>
            <a:ext uri="{FF2B5EF4-FFF2-40B4-BE49-F238E27FC236}">
              <a16:creationId xmlns:a16="http://schemas.microsoft.com/office/drawing/2014/main" id="{9919EE1C-277B-F45B-26EE-BCAF07BD66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886700" y="152400"/>
          <a:ext cx="2505075" cy="1795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464820</xdr:colOff>
      <xdr:row>14</xdr:row>
      <xdr:rowOff>68580</xdr:rowOff>
    </xdr:from>
    <xdr:to>
      <xdr:col>27</xdr:col>
      <xdr:colOff>404603</xdr:colOff>
      <xdr:row>34</xdr:row>
      <xdr:rowOff>7620</xdr:rowOff>
    </xdr:to>
    <xdr:pic>
      <xdr:nvPicPr>
        <xdr:cNvPr id="5" name="Imagen 4">
          <a:extLst>
            <a:ext uri="{FF2B5EF4-FFF2-40B4-BE49-F238E27FC236}">
              <a16:creationId xmlns:a16="http://schemas.microsoft.com/office/drawing/2014/main" id="{B65FB19B-824D-DA67-BE53-A2154F9C49D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561820" y="4312920"/>
          <a:ext cx="6195803" cy="37338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142875</xdr:colOff>
      <xdr:row>0</xdr:row>
      <xdr:rowOff>57150</xdr:rowOff>
    </xdr:from>
    <xdr:ext cx="0" cy="1116183"/>
    <xdr:pic>
      <xdr:nvPicPr>
        <xdr:cNvPr id="2" name="Imagen 4">
          <a:extLst>
            <a:ext uri="{FF2B5EF4-FFF2-40B4-BE49-F238E27FC236}">
              <a16:creationId xmlns:a16="http://schemas.microsoft.com/office/drawing/2014/main" id="{A5F3ABFB-F23A-40D8-B170-47CA9D575D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7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142875</xdr:colOff>
      <xdr:row>0</xdr:row>
      <xdr:rowOff>57150</xdr:rowOff>
    </xdr:from>
    <xdr:ext cx="0" cy="1116183"/>
    <xdr:pic>
      <xdr:nvPicPr>
        <xdr:cNvPr id="3" name="Imagen 2">
          <a:extLst>
            <a:ext uri="{FF2B5EF4-FFF2-40B4-BE49-F238E27FC236}">
              <a16:creationId xmlns:a16="http://schemas.microsoft.com/office/drawing/2014/main" id="{17DB46D1-4D26-4694-92C5-028750C8F0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7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0</xdr:row>
      <xdr:rowOff>1</xdr:rowOff>
    </xdr:from>
    <xdr:ext cx="782906" cy="476250"/>
    <xdr:pic>
      <xdr:nvPicPr>
        <xdr:cNvPr id="4" name="Imagen 3">
          <a:extLst>
            <a:ext uri="{FF2B5EF4-FFF2-40B4-BE49-F238E27FC236}">
              <a16:creationId xmlns:a16="http://schemas.microsoft.com/office/drawing/2014/main" id="{8C456717-F91C-4AD2-A6EE-7C3BEE6975E0}"/>
            </a:ext>
          </a:extLst>
        </xdr:cNvPr>
        <xdr:cNvPicPr>
          <a:picLocks noChangeAspect="1"/>
        </xdr:cNvPicPr>
      </xdr:nvPicPr>
      <xdr:blipFill rotWithShape="1">
        <a:blip xmlns:r="http://schemas.openxmlformats.org/officeDocument/2006/relationships" r:embed="rId2"/>
        <a:srcRect l="40144" t="15434" r="48604" b="73454"/>
        <a:stretch/>
      </xdr:blipFill>
      <xdr:spPr>
        <a:xfrm>
          <a:off x="0" y="1"/>
          <a:ext cx="782906" cy="476250"/>
        </a:xfrm>
        <a:prstGeom prst="rect">
          <a:avLst/>
        </a:prstGeom>
      </xdr:spPr>
    </xdr:pic>
    <xdr:clientData/>
  </xdr:oneCellAnchor>
  <xdr:twoCellAnchor editAs="oneCell">
    <xdr:from>
      <xdr:col>10</xdr:col>
      <xdr:colOff>190499</xdr:colOff>
      <xdr:row>1</xdr:row>
      <xdr:rowOff>0</xdr:rowOff>
    </xdr:from>
    <xdr:to>
      <xdr:col>16</xdr:col>
      <xdr:colOff>587694</xdr:colOff>
      <xdr:row>9</xdr:row>
      <xdr:rowOff>1562100</xdr:rowOff>
    </xdr:to>
    <xdr:pic>
      <xdr:nvPicPr>
        <xdr:cNvPr id="5" name="Imagen 4">
          <a:extLst>
            <a:ext uri="{FF2B5EF4-FFF2-40B4-BE49-F238E27FC236}">
              <a16:creationId xmlns:a16="http://schemas.microsoft.com/office/drawing/2014/main" id="{871A2CA1-81BF-FF1A-6342-B749BDCA9B8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930639" y="548640"/>
          <a:ext cx="5106355" cy="37795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142875</xdr:colOff>
      <xdr:row>0</xdr:row>
      <xdr:rowOff>57150</xdr:rowOff>
    </xdr:from>
    <xdr:ext cx="0" cy="1116183"/>
    <xdr:pic>
      <xdr:nvPicPr>
        <xdr:cNvPr id="2" name="Imagen 4">
          <a:extLst>
            <a:ext uri="{FF2B5EF4-FFF2-40B4-BE49-F238E27FC236}">
              <a16:creationId xmlns:a16="http://schemas.microsoft.com/office/drawing/2014/main" id="{32B46CEE-4087-4A4C-AE20-8AB104396A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7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142875</xdr:colOff>
      <xdr:row>0</xdr:row>
      <xdr:rowOff>57150</xdr:rowOff>
    </xdr:from>
    <xdr:ext cx="0" cy="1116183"/>
    <xdr:pic>
      <xdr:nvPicPr>
        <xdr:cNvPr id="3" name="Imagen 2">
          <a:extLst>
            <a:ext uri="{FF2B5EF4-FFF2-40B4-BE49-F238E27FC236}">
              <a16:creationId xmlns:a16="http://schemas.microsoft.com/office/drawing/2014/main" id="{C6B5956D-005E-4252-AD1C-09F123A5D1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7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0</xdr:row>
      <xdr:rowOff>1</xdr:rowOff>
    </xdr:from>
    <xdr:ext cx="782906" cy="476250"/>
    <xdr:pic>
      <xdr:nvPicPr>
        <xdr:cNvPr id="4" name="Imagen 3">
          <a:extLst>
            <a:ext uri="{FF2B5EF4-FFF2-40B4-BE49-F238E27FC236}">
              <a16:creationId xmlns:a16="http://schemas.microsoft.com/office/drawing/2014/main" id="{BC52A27F-A87A-42FA-83CD-03EADD5FA342}"/>
            </a:ext>
          </a:extLst>
        </xdr:cNvPr>
        <xdr:cNvPicPr>
          <a:picLocks noChangeAspect="1"/>
        </xdr:cNvPicPr>
      </xdr:nvPicPr>
      <xdr:blipFill rotWithShape="1">
        <a:blip xmlns:r="http://schemas.openxmlformats.org/officeDocument/2006/relationships" r:embed="rId2"/>
        <a:srcRect l="40144" t="15434" r="48604" b="73454"/>
        <a:stretch/>
      </xdr:blipFill>
      <xdr:spPr>
        <a:xfrm>
          <a:off x="0" y="1"/>
          <a:ext cx="782906" cy="476250"/>
        </a:xfrm>
        <a:prstGeom prst="rect">
          <a:avLst/>
        </a:prstGeom>
      </xdr:spPr>
    </xdr:pic>
    <xdr:clientData/>
  </xdr:oneCellAnchor>
  <xdr:twoCellAnchor>
    <xdr:from>
      <xdr:col>0</xdr:col>
      <xdr:colOff>0</xdr:colOff>
      <xdr:row>140</xdr:row>
      <xdr:rowOff>199506</xdr:rowOff>
    </xdr:from>
    <xdr:to>
      <xdr:col>2</xdr:col>
      <xdr:colOff>183285</xdr:colOff>
      <xdr:row>143</xdr:row>
      <xdr:rowOff>74815</xdr:rowOff>
    </xdr:to>
    <xdr:pic>
      <xdr:nvPicPr>
        <xdr:cNvPr id="5" name="Imagen 1">
          <a:extLst>
            <a:ext uri="{FF2B5EF4-FFF2-40B4-BE49-F238E27FC236}">
              <a16:creationId xmlns:a16="http://schemas.microsoft.com/office/drawing/2014/main" id="{543B869B-481C-404F-8032-F401FE383EF5}"/>
            </a:ext>
          </a:extLst>
        </xdr:cNvPr>
        <xdr:cNvPicPr>
          <a:picLocks noChangeAspect="1" noChangeArrowheads="1"/>
        </xdr:cNvPicPr>
      </xdr:nvPicPr>
      <xdr:blipFill>
        <a:blip xmlns:r="http://schemas.openxmlformats.org/officeDocument/2006/relationships" r:embed="rId3">
          <a:lum contrast="24000"/>
          <a:extLst>
            <a:ext uri="{28A0092B-C50C-407E-A947-70E740481C1C}">
              <a14:useLocalDpi xmlns:a14="http://schemas.microsoft.com/office/drawing/2010/main" val="0"/>
            </a:ext>
          </a:extLst>
        </a:blip>
        <a:srcRect/>
        <a:stretch>
          <a:fillRect/>
        </a:stretch>
      </xdr:blipFill>
      <xdr:spPr bwMode="auto">
        <a:xfrm>
          <a:off x="0" y="50224806"/>
          <a:ext cx="1707285" cy="846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335279</xdr:colOff>
      <xdr:row>0</xdr:row>
      <xdr:rowOff>510540</xdr:rowOff>
    </xdr:from>
    <xdr:to>
      <xdr:col>16</xdr:col>
      <xdr:colOff>485542</xdr:colOff>
      <xdr:row>9</xdr:row>
      <xdr:rowOff>708660</xdr:rowOff>
    </xdr:to>
    <xdr:pic>
      <xdr:nvPicPr>
        <xdr:cNvPr id="6" name="Imagen 5">
          <a:extLst>
            <a:ext uri="{FF2B5EF4-FFF2-40B4-BE49-F238E27FC236}">
              <a16:creationId xmlns:a16="http://schemas.microsoft.com/office/drawing/2014/main" id="{18602E4E-9E84-28F9-871D-C0B78E6AEFD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075419" y="510540"/>
          <a:ext cx="4981343" cy="29641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10</xdr:col>
      <xdr:colOff>762000</xdr:colOff>
      <xdr:row>1</xdr:row>
      <xdr:rowOff>152399</xdr:rowOff>
    </xdr:from>
    <xdr:to>
      <xdr:col>18</xdr:col>
      <xdr:colOff>277402</xdr:colOff>
      <xdr:row>17</xdr:row>
      <xdr:rowOff>160020</xdr:rowOff>
    </xdr:to>
    <xdr:pic>
      <xdr:nvPicPr>
        <xdr:cNvPr id="2" name="Imagen 1">
          <a:extLst>
            <a:ext uri="{FF2B5EF4-FFF2-40B4-BE49-F238E27FC236}">
              <a16:creationId xmlns:a16="http://schemas.microsoft.com/office/drawing/2014/main" id="{0CCC5BB0-F6A3-8C71-85E2-DFB92F4647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09760" y="419099"/>
          <a:ext cx="5855242" cy="39700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142875</xdr:colOff>
      <xdr:row>0</xdr:row>
      <xdr:rowOff>57150</xdr:rowOff>
    </xdr:from>
    <xdr:ext cx="0" cy="1116183"/>
    <xdr:pic>
      <xdr:nvPicPr>
        <xdr:cNvPr id="2" name="Imagen 4">
          <a:extLst>
            <a:ext uri="{FF2B5EF4-FFF2-40B4-BE49-F238E27FC236}">
              <a16:creationId xmlns:a16="http://schemas.microsoft.com/office/drawing/2014/main" id="{738E1C6D-6E63-4D7C-A70C-052AE936F3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7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142875</xdr:colOff>
      <xdr:row>0</xdr:row>
      <xdr:rowOff>57150</xdr:rowOff>
    </xdr:from>
    <xdr:ext cx="0" cy="1116183"/>
    <xdr:pic>
      <xdr:nvPicPr>
        <xdr:cNvPr id="3" name="Imagen 2">
          <a:extLst>
            <a:ext uri="{FF2B5EF4-FFF2-40B4-BE49-F238E27FC236}">
              <a16:creationId xmlns:a16="http://schemas.microsoft.com/office/drawing/2014/main" id="{2E37A2A1-4BE3-412B-9DCE-015D6C5B7C2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7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0</xdr:row>
      <xdr:rowOff>1</xdr:rowOff>
    </xdr:from>
    <xdr:ext cx="782906" cy="476250"/>
    <xdr:pic>
      <xdr:nvPicPr>
        <xdr:cNvPr id="4" name="Imagen 3">
          <a:extLst>
            <a:ext uri="{FF2B5EF4-FFF2-40B4-BE49-F238E27FC236}">
              <a16:creationId xmlns:a16="http://schemas.microsoft.com/office/drawing/2014/main" id="{4A716934-A26F-4CE7-B1A5-1D40BC82069D}"/>
            </a:ext>
          </a:extLst>
        </xdr:cNvPr>
        <xdr:cNvPicPr>
          <a:picLocks noChangeAspect="1"/>
        </xdr:cNvPicPr>
      </xdr:nvPicPr>
      <xdr:blipFill rotWithShape="1">
        <a:blip xmlns:r="http://schemas.openxmlformats.org/officeDocument/2006/relationships" r:embed="rId2"/>
        <a:srcRect l="40144" t="15434" r="48604" b="73454"/>
        <a:stretch/>
      </xdr:blipFill>
      <xdr:spPr>
        <a:xfrm>
          <a:off x="0" y="1"/>
          <a:ext cx="782906" cy="476250"/>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142875</xdr:colOff>
      <xdr:row>0</xdr:row>
      <xdr:rowOff>57150</xdr:rowOff>
    </xdr:from>
    <xdr:ext cx="0" cy="1116183"/>
    <xdr:pic>
      <xdr:nvPicPr>
        <xdr:cNvPr id="2" name="Imagen 4">
          <a:extLst>
            <a:ext uri="{FF2B5EF4-FFF2-40B4-BE49-F238E27FC236}">
              <a16:creationId xmlns:a16="http://schemas.microsoft.com/office/drawing/2014/main" id="{17E991E1-CEAE-47C5-B2C7-10340C2721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7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142875</xdr:colOff>
      <xdr:row>0</xdr:row>
      <xdr:rowOff>57150</xdr:rowOff>
    </xdr:from>
    <xdr:ext cx="0" cy="1116183"/>
    <xdr:pic>
      <xdr:nvPicPr>
        <xdr:cNvPr id="3" name="Imagen 2">
          <a:extLst>
            <a:ext uri="{FF2B5EF4-FFF2-40B4-BE49-F238E27FC236}">
              <a16:creationId xmlns:a16="http://schemas.microsoft.com/office/drawing/2014/main" id="{CE6DB015-E0B1-4B06-9A3C-18D56761EA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57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0</xdr:row>
      <xdr:rowOff>1</xdr:rowOff>
    </xdr:from>
    <xdr:ext cx="782906" cy="476250"/>
    <xdr:pic>
      <xdr:nvPicPr>
        <xdr:cNvPr id="4" name="Imagen 3">
          <a:extLst>
            <a:ext uri="{FF2B5EF4-FFF2-40B4-BE49-F238E27FC236}">
              <a16:creationId xmlns:a16="http://schemas.microsoft.com/office/drawing/2014/main" id="{6DB99254-33B0-423F-B195-6ED9BFECBCC4}"/>
            </a:ext>
          </a:extLst>
        </xdr:cNvPr>
        <xdr:cNvPicPr>
          <a:picLocks noChangeAspect="1"/>
        </xdr:cNvPicPr>
      </xdr:nvPicPr>
      <xdr:blipFill rotWithShape="1">
        <a:blip xmlns:r="http://schemas.openxmlformats.org/officeDocument/2006/relationships" r:embed="rId2"/>
        <a:srcRect l="40144" t="15434" r="48604" b="73454"/>
        <a:stretch/>
      </xdr:blipFill>
      <xdr:spPr>
        <a:xfrm>
          <a:off x="0" y="1"/>
          <a:ext cx="782906" cy="476250"/>
        </a:xfrm>
        <a:prstGeom prst="rect">
          <a:avLst/>
        </a:prstGeom>
      </xdr:spPr>
    </xdr:pic>
    <xdr:clientData/>
  </xdr:oneCellAnchor>
  <xdr:twoCellAnchor editAs="oneCell">
    <xdr:from>
      <xdr:col>10</xdr:col>
      <xdr:colOff>434340</xdr:colOff>
      <xdr:row>0</xdr:row>
      <xdr:rowOff>541020</xdr:rowOff>
    </xdr:from>
    <xdr:to>
      <xdr:col>18</xdr:col>
      <xdr:colOff>580747</xdr:colOff>
      <xdr:row>10</xdr:row>
      <xdr:rowOff>164397</xdr:rowOff>
    </xdr:to>
    <xdr:pic>
      <xdr:nvPicPr>
        <xdr:cNvPr id="5" name="Imagen 4">
          <a:extLst>
            <a:ext uri="{FF2B5EF4-FFF2-40B4-BE49-F238E27FC236}">
              <a16:creationId xmlns:a16="http://schemas.microsoft.com/office/drawing/2014/main" id="{17CAE424-E515-0A16-5123-5117C383228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174480" y="541020"/>
          <a:ext cx="6425287" cy="429443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30207</xdr:colOff>
      <xdr:row>0</xdr:row>
      <xdr:rowOff>60251</xdr:rowOff>
    </xdr:from>
    <xdr:ext cx="517371" cy="267825"/>
    <xdr:pic>
      <xdr:nvPicPr>
        <xdr:cNvPr id="2" name="image1.jpeg">
          <a:extLst>
            <a:ext uri="{FF2B5EF4-FFF2-40B4-BE49-F238E27FC236}">
              <a16:creationId xmlns:a16="http://schemas.microsoft.com/office/drawing/2014/main" id="{61375A76-60A8-48C1-A53F-43DB22A973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207" y="60251"/>
          <a:ext cx="517371" cy="267825"/>
        </a:xfrm>
        <a:prstGeom prst="rect">
          <a:avLst/>
        </a:prstGeom>
      </xdr:spPr>
    </xdr:pic>
    <xdr:clientData/>
  </xdr:oneCellAnchor>
  <xdr:oneCellAnchor>
    <xdr:from>
      <xdr:col>3</xdr:col>
      <xdr:colOff>324739</xdr:colOff>
      <xdr:row>140</xdr:row>
      <xdr:rowOff>90793</xdr:rowOff>
    </xdr:from>
    <xdr:ext cx="1471358" cy="581177"/>
    <xdr:pic>
      <xdr:nvPicPr>
        <xdr:cNvPr id="3" name="image2.png">
          <a:extLst>
            <a:ext uri="{FF2B5EF4-FFF2-40B4-BE49-F238E27FC236}">
              <a16:creationId xmlns:a16="http://schemas.microsoft.com/office/drawing/2014/main" id="{DD9A28FD-8521-468E-B1E6-DAC54E5A19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58289" y="33056818"/>
          <a:ext cx="1471358" cy="58117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mailto:COMERCIAL@BELPAPEL.COM"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mailto:edwinfa8@yahoo.e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Ventas11@sumicorp.com"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mailto:telemarketergerencia@gmail.com"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telemarketergerencia@gmail.com"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mailto:licitacionespinedasas@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hyperlink" Target="mailto:LICITACION@BELPAPE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750BB-F17C-4798-AC61-3CCB41761562}">
  <sheetPr filterMode="1">
    <tabColor theme="5" tint="-0.249977111117893"/>
  </sheetPr>
  <dimension ref="A1:Y257"/>
  <sheetViews>
    <sheetView showGridLines="0" topLeftCell="L1" zoomScaleNormal="100" workbookViewId="0">
      <selection activeCell="P7" sqref="P7"/>
    </sheetView>
  </sheetViews>
  <sheetFormatPr baseColWidth="10" defaultColWidth="0" defaultRowHeight="14.4" zeroHeight="1"/>
  <cols>
    <col min="1" max="1" width="6.33203125" customWidth="1"/>
    <col min="2" max="2" width="49.5546875" customWidth="1"/>
    <col min="3" max="3" width="32.88671875" bestFit="1" customWidth="1"/>
    <col min="4" max="4" width="11.5546875" customWidth="1"/>
    <col min="5" max="5" width="11.6640625" bestFit="1" customWidth="1"/>
    <col min="6" max="6" width="65.88671875" customWidth="1"/>
    <col min="7" max="7" width="11.88671875" bestFit="1" customWidth="1"/>
    <col min="8" max="8" width="14.6640625" customWidth="1"/>
    <col min="9" max="10" width="11.5546875" customWidth="1"/>
    <col min="11" max="11" width="96.5546875" style="156" bestFit="1" customWidth="1"/>
    <col min="12" max="12" width="12.6640625" bestFit="1" customWidth="1"/>
    <col min="13" max="13" width="16.44140625" bestFit="1" customWidth="1"/>
    <col min="14" max="14" width="15" customWidth="1"/>
    <col min="15" max="15" width="18.109375" customWidth="1"/>
    <col min="16" max="16" width="45.33203125" customWidth="1"/>
    <col min="17" max="17" width="15.88671875" bestFit="1" customWidth="1"/>
    <col min="18" max="18" width="25.6640625" bestFit="1" customWidth="1"/>
    <col min="19" max="19" width="16.6640625" customWidth="1"/>
    <col min="20" max="20" width="20.5546875" customWidth="1"/>
    <col min="21" max="21" width="4.6640625" hidden="1" customWidth="1"/>
    <col min="22" max="22" width="6.6640625" hidden="1" customWidth="1"/>
    <col min="23" max="23" width="58.44140625" hidden="1" customWidth="1"/>
    <col min="24" max="24" width="14" hidden="1" customWidth="1"/>
    <col min="25" max="25" width="15.33203125" hidden="1" customWidth="1"/>
    <col min="26" max="16384" width="11.5546875" hidden="1"/>
  </cols>
  <sheetData>
    <row r="1" spans="1:18" ht="15.75" customHeight="1">
      <c r="A1" s="324" t="s">
        <v>173</v>
      </c>
      <c r="B1" s="320" t="s">
        <v>424</v>
      </c>
      <c r="C1" s="155">
        <v>2022</v>
      </c>
      <c r="D1" s="155"/>
      <c r="E1" s="323" t="s">
        <v>173</v>
      </c>
      <c r="F1" s="321" t="s">
        <v>15</v>
      </c>
      <c r="G1" s="164">
        <v>2023</v>
      </c>
      <c r="H1" s="165"/>
      <c r="J1" s="325" t="s">
        <v>173</v>
      </c>
      <c r="K1" s="327" t="s">
        <v>15</v>
      </c>
      <c r="L1" s="319">
        <v>2024</v>
      </c>
      <c r="M1" s="319"/>
      <c r="O1" s="327" t="s">
        <v>173</v>
      </c>
      <c r="P1" s="327" t="s">
        <v>15</v>
      </c>
      <c r="Q1" s="319">
        <v>2025</v>
      </c>
      <c r="R1" s="319"/>
    </row>
    <row r="2" spans="1:18" ht="105.6" customHeight="1">
      <c r="A2" s="324"/>
      <c r="B2" s="320"/>
      <c r="C2" s="153" t="s">
        <v>425</v>
      </c>
      <c r="D2" s="154" t="s">
        <v>426</v>
      </c>
      <c r="E2" s="323"/>
      <c r="F2" s="322"/>
      <c r="G2" s="142" t="s">
        <v>16</v>
      </c>
      <c r="H2" s="143" t="s">
        <v>426</v>
      </c>
      <c r="J2" s="326"/>
      <c r="K2" s="327"/>
      <c r="L2" s="104" t="s">
        <v>16</v>
      </c>
      <c r="M2" s="105" t="s">
        <v>18</v>
      </c>
      <c r="O2" s="327"/>
      <c r="P2" s="327"/>
      <c r="Q2" s="104" t="s">
        <v>16</v>
      </c>
      <c r="R2" s="105" t="s">
        <v>18</v>
      </c>
    </row>
    <row r="3" spans="1:18" s="92" customFormat="1" ht="29.25" customHeight="1">
      <c r="A3" s="117">
        <v>1</v>
      </c>
      <c r="B3" s="147" t="s">
        <v>427</v>
      </c>
      <c r="C3" s="118" t="s">
        <v>19</v>
      </c>
      <c r="D3" s="119">
        <v>36212</v>
      </c>
      <c r="E3" s="93">
        <v>1</v>
      </c>
      <c r="F3" s="162" t="s">
        <v>427</v>
      </c>
      <c r="G3" s="94" t="s">
        <v>19</v>
      </c>
      <c r="H3" s="95">
        <v>28917</v>
      </c>
      <c r="J3" s="106">
        <v>1</v>
      </c>
      <c r="K3" s="175" t="s">
        <v>569</v>
      </c>
      <c r="L3" s="99" t="s">
        <v>19</v>
      </c>
      <c r="M3" s="107">
        <v>29750</v>
      </c>
      <c r="O3" s="106">
        <v>1</v>
      </c>
      <c r="P3" s="98" t="s">
        <v>569</v>
      </c>
      <c r="Q3" s="99" t="s">
        <v>19</v>
      </c>
      <c r="R3" s="107">
        <v>29750</v>
      </c>
    </row>
    <row r="4" spans="1:18" s="92" customFormat="1" ht="29.25" customHeight="1">
      <c r="A4" s="117">
        <v>2</v>
      </c>
      <c r="B4" s="148" t="s">
        <v>428</v>
      </c>
      <c r="C4" s="118" t="s">
        <v>19</v>
      </c>
      <c r="D4" s="119">
        <v>5379</v>
      </c>
      <c r="E4" s="93">
        <v>2</v>
      </c>
      <c r="F4" s="162" t="s">
        <v>20</v>
      </c>
      <c r="G4" s="94" t="s">
        <v>19</v>
      </c>
      <c r="H4" s="95">
        <v>2490.0749999999998</v>
      </c>
      <c r="J4" s="106">
        <v>2</v>
      </c>
      <c r="K4" s="175" t="s">
        <v>20</v>
      </c>
      <c r="L4" s="99" t="s">
        <v>19</v>
      </c>
      <c r="M4" s="107">
        <v>4105.5</v>
      </c>
      <c r="O4" s="106">
        <v>2</v>
      </c>
      <c r="P4" s="98" t="s">
        <v>20</v>
      </c>
      <c r="Q4" s="99" t="s">
        <v>19</v>
      </c>
      <c r="R4" s="107">
        <v>4105.5</v>
      </c>
    </row>
    <row r="5" spans="1:18" s="92" customFormat="1" ht="29.25" customHeight="1">
      <c r="A5" s="117">
        <v>3</v>
      </c>
      <c r="B5" s="148" t="s">
        <v>22</v>
      </c>
      <c r="C5" s="118" t="s">
        <v>429</v>
      </c>
      <c r="D5" s="119">
        <v>805</v>
      </c>
      <c r="E5" s="93">
        <v>3</v>
      </c>
      <c r="F5" s="162" t="s">
        <v>21</v>
      </c>
      <c r="G5" s="94" t="s">
        <v>19</v>
      </c>
      <c r="H5" s="95">
        <v>7357.77</v>
      </c>
      <c r="J5" s="106">
        <v>3</v>
      </c>
      <c r="K5" s="175" t="s">
        <v>21</v>
      </c>
      <c r="L5" s="99" t="s">
        <v>19</v>
      </c>
      <c r="M5" s="107">
        <v>3558.1</v>
      </c>
      <c r="O5" s="106">
        <v>3</v>
      </c>
      <c r="P5" s="98" t="s">
        <v>21</v>
      </c>
      <c r="Q5" s="99" t="s">
        <v>19</v>
      </c>
      <c r="R5" s="107">
        <v>3558.1</v>
      </c>
    </row>
    <row r="6" spans="1:18" s="92" customFormat="1" ht="29.25" customHeight="1">
      <c r="A6" s="117">
        <v>4</v>
      </c>
      <c r="B6" s="148" t="s">
        <v>430</v>
      </c>
      <c r="C6" s="118" t="s">
        <v>43</v>
      </c>
      <c r="D6" s="119">
        <v>3277</v>
      </c>
      <c r="E6" s="93">
        <v>4</v>
      </c>
      <c r="F6" s="162" t="s">
        <v>22</v>
      </c>
      <c r="G6" s="94" t="s">
        <v>23</v>
      </c>
      <c r="H6" s="95">
        <v>963.9</v>
      </c>
      <c r="J6" s="106">
        <v>4</v>
      </c>
      <c r="K6" s="175" t="s">
        <v>22</v>
      </c>
      <c r="L6" s="99" t="s">
        <v>23</v>
      </c>
      <c r="M6" s="107">
        <v>1309</v>
      </c>
      <c r="O6" s="106">
        <v>4</v>
      </c>
      <c r="P6" s="98" t="s">
        <v>22</v>
      </c>
      <c r="Q6" s="99" t="s">
        <v>23</v>
      </c>
      <c r="R6" s="107">
        <v>1309</v>
      </c>
    </row>
    <row r="7" spans="1:18" s="92" customFormat="1" ht="29.25" customHeight="1">
      <c r="A7" s="117">
        <v>5</v>
      </c>
      <c r="B7" s="148" t="s">
        <v>431</v>
      </c>
      <c r="C7" s="118" t="s">
        <v>19</v>
      </c>
      <c r="D7" s="119">
        <v>1143</v>
      </c>
      <c r="E7" s="93">
        <v>5</v>
      </c>
      <c r="F7" s="162" t="s">
        <v>520</v>
      </c>
      <c r="G7" s="94" t="s">
        <v>24</v>
      </c>
      <c r="H7" s="95">
        <v>4605.3</v>
      </c>
      <c r="J7" s="106">
        <v>5</v>
      </c>
      <c r="K7" s="175" t="s">
        <v>520</v>
      </c>
      <c r="L7" s="99" t="s">
        <v>24</v>
      </c>
      <c r="M7" s="107">
        <v>3570</v>
      </c>
      <c r="O7" s="106">
        <v>5</v>
      </c>
      <c r="P7" s="98" t="s">
        <v>520</v>
      </c>
      <c r="Q7" s="99" t="s">
        <v>24</v>
      </c>
      <c r="R7" s="107">
        <v>3570</v>
      </c>
    </row>
    <row r="8" spans="1:18" s="92" customFormat="1" ht="29.25" customHeight="1">
      <c r="A8" s="117">
        <v>6</v>
      </c>
      <c r="B8" s="148" t="s">
        <v>432</v>
      </c>
      <c r="C8" s="118" t="s">
        <v>19</v>
      </c>
      <c r="D8" s="119">
        <v>1235</v>
      </c>
      <c r="E8" s="93">
        <v>6</v>
      </c>
      <c r="F8" s="162" t="s">
        <v>25</v>
      </c>
      <c r="G8" s="94" t="s">
        <v>19</v>
      </c>
      <c r="H8" s="95">
        <v>4158.3360000000002</v>
      </c>
      <c r="J8" s="106">
        <v>6</v>
      </c>
      <c r="K8" s="175" t="s">
        <v>25</v>
      </c>
      <c r="L8" s="99" t="s">
        <v>19</v>
      </c>
      <c r="M8" s="107">
        <v>2378.81</v>
      </c>
      <c r="O8" s="106">
        <v>6</v>
      </c>
      <c r="P8" s="98" t="s">
        <v>25</v>
      </c>
      <c r="Q8" s="99" t="s">
        <v>19</v>
      </c>
      <c r="R8" s="107">
        <v>2378.81</v>
      </c>
    </row>
    <row r="9" spans="1:18" s="92" customFormat="1" ht="29.25" customHeight="1">
      <c r="A9" s="117">
        <v>7</v>
      </c>
      <c r="B9" s="148" t="s">
        <v>433</v>
      </c>
      <c r="C9" s="118" t="s">
        <v>19</v>
      </c>
      <c r="D9" s="119">
        <v>1235</v>
      </c>
      <c r="E9" s="93">
        <v>7</v>
      </c>
      <c r="F9" s="162" t="s">
        <v>26</v>
      </c>
      <c r="G9" s="94" t="s">
        <v>19</v>
      </c>
      <c r="H9" s="95">
        <v>6211.8</v>
      </c>
      <c r="J9" s="106">
        <v>7</v>
      </c>
      <c r="K9" s="175" t="s">
        <v>26</v>
      </c>
      <c r="L9" s="99" t="s">
        <v>19</v>
      </c>
      <c r="M9" s="107">
        <v>4641</v>
      </c>
      <c r="O9" s="106">
        <v>7</v>
      </c>
      <c r="P9" s="98" t="s">
        <v>26</v>
      </c>
      <c r="Q9" s="99" t="s">
        <v>19</v>
      </c>
      <c r="R9" s="107">
        <v>4641</v>
      </c>
    </row>
    <row r="10" spans="1:18" s="92" customFormat="1" ht="29.25" customHeight="1">
      <c r="A10" s="117">
        <v>8</v>
      </c>
      <c r="B10" s="148" t="s">
        <v>30</v>
      </c>
      <c r="C10" s="118" t="s">
        <v>19</v>
      </c>
      <c r="D10" s="119">
        <v>478</v>
      </c>
      <c r="E10" s="93">
        <v>8</v>
      </c>
      <c r="F10" s="162" t="s">
        <v>432</v>
      </c>
      <c r="G10" s="94" t="s">
        <v>19</v>
      </c>
      <c r="H10" s="95">
        <v>963.9</v>
      </c>
      <c r="J10" s="106">
        <v>8</v>
      </c>
      <c r="K10" s="175" t="s">
        <v>27</v>
      </c>
      <c r="L10" s="99" t="s">
        <v>19</v>
      </c>
      <c r="M10" s="107">
        <v>4522</v>
      </c>
      <c r="O10" s="106">
        <v>8</v>
      </c>
      <c r="P10" s="98" t="s">
        <v>27</v>
      </c>
      <c r="Q10" s="99" t="s">
        <v>19</v>
      </c>
      <c r="R10" s="107">
        <v>4522</v>
      </c>
    </row>
    <row r="11" spans="1:18" s="92" customFormat="1" ht="29.25" customHeight="1">
      <c r="A11" s="117">
        <v>9</v>
      </c>
      <c r="B11" s="148" t="s">
        <v>434</v>
      </c>
      <c r="C11" s="118" t="s">
        <v>19</v>
      </c>
      <c r="D11" s="119">
        <v>1876</v>
      </c>
      <c r="E11" s="93">
        <v>9</v>
      </c>
      <c r="F11" s="162" t="s">
        <v>433</v>
      </c>
      <c r="G11" s="94" t="s">
        <v>19</v>
      </c>
      <c r="H11" s="95">
        <v>963.9</v>
      </c>
      <c r="J11" s="106">
        <v>9</v>
      </c>
      <c r="K11" s="175" t="s">
        <v>28</v>
      </c>
      <c r="L11" s="99" t="s">
        <v>19</v>
      </c>
      <c r="M11" s="107">
        <v>1029.3499999999999</v>
      </c>
      <c r="O11" s="106">
        <v>9</v>
      </c>
      <c r="P11" s="98" t="s">
        <v>28</v>
      </c>
      <c r="Q11" s="99" t="s">
        <v>19</v>
      </c>
      <c r="R11" s="107">
        <v>1029.3499999999999</v>
      </c>
    </row>
    <row r="12" spans="1:18" s="92" customFormat="1" ht="29.25" customHeight="1">
      <c r="A12" s="117">
        <v>10</v>
      </c>
      <c r="B12" s="148" t="s">
        <v>435</v>
      </c>
      <c r="C12" s="118" t="s">
        <v>19</v>
      </c>
      <c r="D12" s="119">
        <v>1788</v>
      </c>
      <c r="E12" s="93">
        <v>10</v>
      </c>
      <c r="F12" s="162" t="s">
        <v>30</v>
      </c>
      <c r="G12" s="94" t="s">
        <v>31</v>
      </c>
      <c r="H12" s="95">
        <v>426.49599999999998</v>
      </c>
      <c r="J12" s="106">
        <v>10</v>
      </c>
      <c r="K12" s="175" t="s">
        <v>29</v>
      </c>
      <c r="L12" s="99" t="s">
        <v>19</v>
      </c>
      <c r="M12" s="107">
        <v>1124.55</v>
      </c>
      <c r="O12" s="106">
        <v>10</v>
      </c>
      <c r="P12" s="98" t="s">
        <v>29</v>
      </c>
      <c r="Q12" s="99" t="s">
        <v>19</v>
      </c>
      <c r="R12" s="107">
        <v>1124.55</v>
      </c>
    </row>
    <row r="13" spans="1:18" s="92" customFormat="1" ht="29.25" customHeight="1">
      <c r="A13" s="117">
        <v>11</v>
      </c>
      <c r="B13" s="148" t="s">
        <v>436</v>
      </c>
      <c r="C13" s="118" t="s">
        <v>19</v>
      </c>
      <c r="D13" s="119">
        <v>24500</v>
      </c>
      <c r="E13" s="93">
        <v>11</v>
      </c>
      <c r="F13" s="162" t="s">
        <v>177</v>
      </c>
      <c r="G13" s="94" t="s">
        <v>19</v>
      </c>
      <c r="H13" s="95">
        <v>1904</v>
      </c>
      <c r="J13" s="106">
        <v>11</v>
      </c>
      <c r="K13" s="175" t="s">
        <v>30</v>
      </c>
      <c r="L13" s="99" t="s">
        <v>31</v>
      </c>
      <c r="M13" s="107">
        <v>9996</v>
      </c>
      <c r="O13" s="106">
        <v>11</v>
      </c>
      <c r="P13" s="98" t="s">
        <v>30</v>
      </c>
      <c r="Q13" s="99" t="s">
        <v>31</v>
      </c>
      <c r="R13" s="107">
        <v>9996</v>
      </c>
    </row>
    <row r="14" spans="1:18" s="92" customFormat="1" ht="29.25" customHeight="1">
      <c r="A14" s="117">
        <v>12</v>
      </c>
      <c r="B14" s="148" t="s">
        <v>437</v>
      </c>
      <c r="C14" s="118" t="s">
        <v>19</v>
      </c>
      <c r="D14" s="119">
        <v>4279</v>
      </c>
      <c r="E14" s="93">
        <v>12</v>
      </c>
      <c r="F14" s="162" t="s">
        <v>521</v>
      </c>
      <c r="G14" s="94" t="s">
        <v>33</v>
      </c>
      <c r="H14" s="95">
        <v>1370.88</v>
      </c>
      <c r="J14" s="106">
        <v>12</v>
      </c>
      <c r="K14" s="175" t="s">
        <v>177</v>
      </c>
      <c r="L14" s="99" t="s">
        <v>19</v>
      </c>
      <c r="M14" s="107">
        <v>2142</v>
      </c>
      <c r="O14" s="106">
        <v>12</v>
      </c>
      <c r="P14" s="98" t="s">
        <v>177</v>
      </c>
      <c r="Q14" s="99" t="s">
        <v>19</v>
      </c>
      <c r="R14" s="107">
        <v>2142</v>
      </c>
    </row>
    <row r="15" spans="1:18" s="92" customFormat="1" ht="29.25" customHeight="1">
      <c r="A15" s="117">
        <v>13</v>
      </c>
      <c r="B15" s="148" t="s">
        <v>438</v>
      </c>
      <c r="C15" s="118" t="s">
        <v>19</v>
      </c>
      <c r="D15" s="119">
        <v>41770</v>
      </c>
      <c r="E15" s="93">
        <v>13</v>
      </c>
      <c r="F15" s="163" t="s">
        <v>522</v>
      </c>
      <c r="G15" s="94" t="s">
        <v>19</v>
      </c>
      <c r="H15" s="95">
        <v>8163.4</v>
      </c>
      <c r="J15" s="106">
        <v>13</v>
      </c>
      <c r="K15" s="175" t="s">
        <v>32</v>
      </c>
      <c r="L15" s="99" t="s">
        <v>33</v>
      </c>
      <c r="M15" s="107">
        <v>1547</v>
      </c>
      <c r="O15" s="106">
        <v>13</v>
      </c>
      <c r="P15" s="98" t="s">
        <v>32</v>
      </c>
      <c r="Q15" s="99" t="s">
        <v>33</v>
      </c>
      <c r="R15" s="107">
        <v>1547</v>
      </c>
    </row>
    <row r="16" spans="1:18" s="92" customFormat="1" ht="29.25" customHeight="1">
      <c r="A16" s="117">
        <v>14</v>
      </c>
      <c r="B16" s="148" t="s">
        <v>439</v>
      </c>
      <c r="C16" s="118" t="s">
        <v>19</v>
      </c>
      <c r="D16" s="119">
        <v>41770</v>
      </c>
      <c r="E16" s="93">
        <v>14</v>
      </c>
      <c r="F16" s="162" t="s">
        <v>523</v>
      </c>
      <c r="G16" s="94" t="s">
        <v>19</v>
      </c>
      <c r="H16" s="95">
        <v>17136</v>
      </c>
      <c r="J16" s="106">
        <v>14</v>
      </c>
      <c r="K16" s="175" t="s">
        <v>523</v>
      </c>
      <c r="L16" s="99" t="s">
        <v>19</v>
      </c>
      <c r="M16" s="107">
        <v>30940</v>
      </c>
      <c r="O16" s="106">
        <v>14</v>
      </c>
      <c r="P16" s="98" t="s">
        <v>523</v>
      </c>
      <c r="Q16" s="99" t="s">
        <v>19</v>
      </c>
      <c r="R16" s="107">
        <v>30940</v>
      </c>
    </row>
    <row r="17" spans="1:18" s="92" customFormat="1" ht="29.25" customHeight="1">
      <c r="A17" s="117">
        <v>15</v>
      </c>
      <c r="B17" s="148" t="s">
        <v>440</v>
      </c>
      <c r="C17" s="118" t="s">
        <v>441</v>
      </c>
      <c r="D17" s="119">
        <v>3621</v>
      </c>
      <c r="E17" s="93">
        <v>15</v>
      </c>
      <c r="F17" s="162" t="s">
        <v>524</v>
      </c>
      <c r="G17" s="94" t="s">
        <v>19</v>
      </c>
      <c r="H17" s="95">
        <v>16065</v>
      </c>
      <c r="J17" s="106">
        <v>15</v>
      </c>
      <c r="K17" s="175" t="s">
        <v>524</v>
      </c>
      <c r="L17" s="99" t="s">
        <v>19</v>
      </c>
      <c r="M17" s="107">
        <v>30940</v>
      </c>
      <c r="O17" s="106">
        <v>15</v>
      </c>
      <c r="P17" s="98" t="s">
        <v>524</v>
      </c>
      <c r="Q17" s="99" t="s">
        <v>19</v>
      </c>
      <c r="R17" s="107">
        <v>30940</v>
      </c>
    </row>
    <row r="18" spans="1:18" s="92" customFormat="1" ht="29.25" customHeight="1">
      <c r="A18" s="117">
        <v>16</v>
      </c>
      <c r="B18" s="148" t="s">
        <v>179</v>
      </c>
      <c r="C18" s="118" t="s">
        <v>19</v>
      </c>
      <c r="D18" s="119">
        <v>8413</v>
      </c>
      <c r="E18" s="93">
        <v>16</v>
      </c>
      <c r="F18" s="163" t="s">
        <v>525</v>
      </c>
      <c r="G18" s="94" t="s">
        <v>526</v>
      </c>
      <c r="H18" s="95">
        <v>7630.875</v>
      </c>
      <c r="J18" s="106">
        <v>16</v>
      </c>
      <c r="K18" s="175" t="s">
        <v>179</v>
      </c>
      <c r="L18" s="99" t="s">
        <v>19</v>
      </c>
      <c r="M18" s="107">
        <v>7140</v>
      </c>
      <c r="O18" s="106">
        <v>16</v>
      </c>
      <c r="P18" s="98" t="s">
        <v>179</v>
      </c>
      <c r="Q18" s="99" t="s">
        <v>19</v>
      </c>
      <c r="R18" s="107">
        <v>7140</v>
      </c>
    </row>
    <row r="19" spans="1:18" s="92" customFormat="1" ht="29.25" customHeight="1">
      <c r="A19" s="117">
        <v>17</v>
      </c>
      <c r="B19" s="148" t="s">
        <v>180</v>
      </c>
      <c r="C19" s="118" t="s">
        <v>19</v>
      </c>
      <c r="D19" s="119">
        <v>6967</v>
      </c>
      <c r="E19" s="93">
        <v>17</v>
      </c>
      <c r="F19" s="162" t="s">
        <v>179</v>
      </c>
      <c r="G19" s="94" t="s">
        <v>19</v>
      </c>
      <c r="H19" s="95">
        <v>7463.68</v>
      </c>
      <c r="J19" s="106">
        <v>17</v>
      </c>
      <c r="K19" s="175" t="s">
        <v>180</v>
      </c>
      <c r="L19" s="99" t="s">
        <v>19</v>
      </c>
      <c r="M19" s="107">
        <v>6545</v>
      </c>
      <c r="O19" s="106">
        <v>17</v>
      </c>
      <c r="P19" s="98" t="s">
        <v>180</v>
      </c>
      <c r="Q19" s="99" t="s">
        <v>19</v>
      </c>
      <c r="R19" s="107">
        <v>6545</v>
      </c>
    </row>
    <row r="20" spans="1:18" s="92" customFormat="1" ht="29.25" customHeight="1">
      <c r="A20" s="117">
        <v>18</v>
      </c>
      <c r="B20" s="148" t="s">
        <v>181</v>
      </c>
      <c r="C20" s="118" t="s">
        <v>19</v>
      </c>
      <c r="D20" s="119">
        <v>10836</v>
      </c>
      <c r="E20" s="93">
        <v>18</v>
      </c>
      <c r="F20" s="162" t="s">
        <v>180</v>
      </c>
      <c r="G20" s="94" t="s">
        <v>19</v>
      </c>
      <c r="H20" s="95">
        <v>7311.3600000000006</v>
      </c>
      <c r="J20" s="106">
        <v>18</v>
      </c>
      <c r="K20" s="175" t="s">
        <v>181</v>
      </c>
      <c r="L20" s="99" t="s">
        <v>19</v>
      </c>
      <c r="M20" s="107">
        <v>8330</v>
      </c>
      <c r="O20" s="106">
        <v>18</v>
      </c>
      <c r="P20" s="98" t="s">
        <v>181</v>
      </c>
      <c r="Q20" s="99" t="s">
        <v>19</v>
      </c>
      <c r="R20" s="107">
        <v>8330</v>
      </c>
    </row>
    <row r="21" spans="1:18" s="92" customFormat="1" ht="29.25" customHeight="1">
      <c r="A21" s="117">
        <v>19</v>
      </c>
      <c r="B21" s="148" t="s">
        <v>182</v>
      </c>
      <c r="C21" s="118" t="s">
        <v>19</v>
      </c>
      <c r="D21" s="119">
        <v>13068</v>
      </c>
      <c r="E21" s="93">
        <v>19</v>
      </c>
      <c r="F21" s="162" t="s">
        <v>181</v>
      </c>
      <c r="G21" s="94" t="s">
        <v>19</v>
      </c>
      <c r="H21" s="95">
        <v>8846.4599999999991</v>
      </c>
      <c r="J21" s="106">
        <v>19</v>
      </c>
      <c r="K21" s="175" t="s">
        <v>182</v>
      </c>
      <c r="L21" s="99" t="s">
        <v>19</v>
      </c>
      <c r="M21" s="107">
        <v>13090</v>
      </c>
      <c r="O21" s="106">
        <v>19</v>
      </c>
      <c r="P21" s="98" t="s">
        <v>182</v>
      </c>
      <c r="Q21" s="99" t="s">
        <v>19</v>
      </c>
      <c r="R21" s="107">
        <v>13090</v>
      </c>
    </row>
    <row r="22" spans="1:18" s="92" customFormat="1" ht="29.25" customHeight="1">
      <c r="A22" s="117">
        <v>20</v>
      </c>
      <c r="B22" s="148" t="s">
        <v>442</v>
      </c>
      <c r="C22" s="118" t="s">
        <v>19</v>
      </c>
      <c r="D22" s="119">
        <v>148812</v>
      </c>
      <c r="E22" s="93">
        <v>20</v>
      </c>
      <c r="F22" s="162" t="s">
        <v>182</v>
      </c>
      <c r="G22" s="94" t="s">
        <v>19</v>
      </c>
      <c r="H22" s="95">
        <v>7411.32</v>
      </c>
      <c r="J22" s="106">
        <v>20</v>
      </c>
      <c r="K22" s="175" t="s">
        <v>36</v>
      </c>
      <c r="L22" s="99" t="s">
        <v>19</v>
      </c>
      <c r="M22" s="107">
        <v>737681</v>
      </c>
      <c r="O22" s="106">
        <v>20</v>
      </c>
      <c r="P22" s="98" t="s">
        <v>36</v>
      </c>
      <c r="Q22" s="99" t="s">
        <v>19</v>
      </c>
      <c r="R22" s="107">
        <v>737681</v>
      </c>
    </row>
    <row r="23" spans="1:18" s="92" customFormat="1" ht="29.25" customHeight="1">
      <c r="A23" s="117">
        <v>21</v>
      </c>
      <c r="B23" s="148" t="s">
        <v>443</v>
      </c>
      <c r="C23" s="118" t="s">
        <v>39</v>
      </c>
      <c r="D23" s="119">
        <v>12606</v>
      </c>
      <c r="E23" s="93">
        <v>21</v>
      </c>
      <c r="F23" s="163" t="s">
        <v>527</v>
      </c>
      <c r="G23" s="94" t="s">
        <v>19</v>
      </c>
      <c r="H23" s="95">
        <v>497420</v>
      </c>
      <c r="J23" s="106">
        <v>21</v>
      </c>
      <c r="K23" s="175" t="s">
        <v>38</v>
      </c>
      <c r="L23" s="99" t="s">
        <v>39</v>
      </c>
      <c r="M23" s="107">
        <v>14280</v>
      </c>
      <c r="O23" s="106">
        <v>21</v>
      </c>
      <c r="P23" s="98" t="s">
        <v>38</v>
      </c>
      <c r="Q23" s="99" t="s">
        <v>39</v>
      </c>
      <c r="R23" s="107">
        <v>14280</v>
      </c>
    </row>
    <row r="24" spans="1:18" s="92" customFormat="1" ht="29.25" customHeight="1">
      <c r="A24" s="117">
        <v>22</v>
      </c>
      <c r="B24" s="148" t="s">
        <v>42</v>
      </c>
      <c r="C24" s="118" t="s">
        <v>444</v>
      </c>
      <c r="D24" s="119">
        <v>86274</v>
      </c>
      <c r="E24" s="93">
        <v>22</v>
      </c>
      <c r="F24" s="162" t="s">
        <v>528</v>
      </c>
      <c r="G24" s="94" t="s">
        <v>39</v>
      </c>
      <c r="H24" s="95">
        <v>24371.200000000001</v>
      </c>
      <c r="J24" s="106">
        <v>22</v>
      </c>
      <c r="K24" s="175" t="s">
        <v>40</v>
      </c>
      <c r="L24" s="99" t="s">
        <v>39</v>
      </c>
      <c r="M24" s="107">
        <v>18504.5</v>
      </c>
      <c r="O24" s="106">
        <v>22</v>
      </c>
      <c r="P24" s="98" t="s">
        <v>40</v>
      </c>
      <c r="Q24" s="99" t="s">
        <v>39</v>
      </c>
      <c r="R24" s="107">
        <v>18504.5</v>
      </c>
    </row>
    <row r="25" spans="1:18" s="92" customFormat="1" ht="29.25" customHeight="1">
      <c r="A25" s="117">
        <v>23</v>
      </c>
      <c r="B25" s="148" t="s">
        <v>44</v>
      </c>
      <c r="C25" s="118" t="s">
        <v>445</v>
      </c>
      <c r="D25" s="119">
        <v>51402</v>
      </c>
      <c r="E25" s="93">
        <v>23</v>
      </c>
      <c r="F25" s="162" t="s">
        <v>529</v>
      </c>
      <c r="G25" s="94" t="s">
        <v>39</v>
      </c>
      <c r="H25" s="95">
        <v>24371.200000000001</v>
      </c>
      <c r="J25" s="106">
        <v>23</v>
      </c>
      <c r="K25" s="175" t="s">
        <v>41</v>
      </c>
      <c r="L25" s="99" t="s">
        <v>19</v>
      </c>
      <c r="M25" s="107">
        <v>11888.1</v>
      </c>
      <c r="O25" s="106">
        <v>23</v>
      </c>
      <c r="P25" s="98" t="s">
        <v>41</v>
      </c>
      <c r="Q25" s="99" t="s">
        <v>19</v>
      </c>
      <c r="R25" s="107">
        <v>11888.1</v>
      </c>
    </row>
    <row r="26" spans="1:18" s="92" customFormat="1" ht="29.25" customHeight="1">
      <c r="A26" s="117">
        <v>24</v>
      </c>
      <c r="B26" s="148" t="s">
        <v>446</v>
      </c>
      <c r="C26" s="118" t="s">
        <v>19</v>
      </c>
      <c r="D26" s="119">
        <v>2976</v>
      </c>
      <c r="E26" s="93">
        <v>24</v>
      </c>
      <c r="F26" s="163" t="s">
        <v>530</v>
      </c>
      <c r="G26" s="94" t="s">
        <v>19</v>
      </c>
      <c r="H26" s="95">
        <v>37318.400000000001</v>
      </c>
      <c r="J26" s="106">
        <v>24</v>
      </c>
      <c r="K26" s="175" t="s">
        <v>42</v>
      </c>
      <c r="L26" s="99" t="s">
        <v>43</v>
      </c>
      <c r="M26" s="107">
        <v>82110</v>
      </c>
      <c r="O26" s="106">
        <v>24</v>
      </c>
      <c r="P26" s="98" t="s">
        <v>42</v>
      </c>
      <c r="Q26" s="99" t="s">
        <v>43</v>
      </c>
      <c r="R26" s="107">
        <v>82110</v>
      </c>
    </row>
    <row r="27" spans="1:18" s="92" customFormat="1" ht="29.25" customHeight="1">
      <c r="A27" s="117">
        <v>25</v>
      </c>
      <c r="B27" s="148" t="s">
        <v>447</v>
      </c>
      <c r="C27" s="118" t="s">
        <v>48</v>
      </c>
      <c r="D27" s="119">
        <v>3129</v>
      </c>
      <c r="E27" s="93">
        <v>25</v>
      </c>
      <c r="F27" s="162" t="s">
        <v>42</v>
      </c>
      <c r="G27" s="94" t="s">
        <v>43</v>
      </c>
      <c r="H27" s="95">
        <v>60928</v>
      </c>
      <c r="J27" s="106">
        <v>25</v>
      </c>
      <c r="K27" s="175" t="s">
        <v>44</v>
      </c>
      <c r="L27" s="99" t="s">
        <v>45</v>
      </c>
      <c r="M27" s="107">
        <v>49980</v>
      </c>
      <c r="O27" s="106">
        <v>25</v>
      </c>
      <c r="P27" s="98" t="s">
        <v>44</v>
      </c>
      <c r="Q27" s="99" t="s">
        <v>45</v>
      </c>
      <c r="R27" s="107">
        <v>49980</v>
      </c>
    </row>
    <row r="28" spans="1:18" s="92" customFormat="1" ht="29.25" customHeight="1">
      <c r="A28" s="117">
        <v>26</v>
      </c>
      <c r="B28" s="148" t="s">
        <v>448</v>
      </c>
      <c r="C28" s="118" t="s">
        <v>48</v>
      </c>
      <c r="D28" s="119">
        <v>2695</v>
      </c>
      <c r="E28" s="93">
        <v>26</v>
      </c>
      <c r="F28" s="162" t="s">
        <v>44</v>
      </c>
      <c r="G28" s="94" t="s">
        <v>45</v>
      </c>
      <c r="H28" s="95">
        <v>47600</v>
      </c>
      <c r="J28" s="106">
        <v>26</v>
      </c>
      <c r="K28" s="175" t="s">
        <v>570</v>
      </c>
      <c r="L28" s="99" t="s">
        <v>19</v>
      </c>
      <c r="M28" s="107">
        <v>2380</v>
      </c>
      <c r="O28" s="106">
        <v>26</v>
      </c>
      <c r="P28" s="98" t="s">
        <v>570</v>
      </c>
      <c r="Q28" s="99" t="s">
        <v>19</v>
      </c>
      <c r="R28" s="107">
        <v>2380</v>
      </c>
    </row>
    <row r="29" spans="1:18" s="92" customFormat="1" ht="29.25" customHeight="1">
      <c r="A29" s="117">
        <v>27</v>
      </c>
      <c r="B29" s="148" t="s">
        <v>449</v>
      </c>
      <c r="C29" s="118" t="s">
        <v>48</v>
      </c>
      <c r="D29" s="119">
        <v>7788</v>
      </c>
      <c r="E29" s="93">
        <v>27</v>
      </c>
      <c r="F29" s="162" t="s">
        <v>531</v>
      </c>
      <c r="G29" s="94" t="s">
        <v>19</v>
      </c>
      <c r="H29" s="95">
        <v>2741.76</v>
      </c>
      <c r="J29" s="106">
        <v>27</v>
      </c>
      <c r="K29" s="175" t="s">
        <v>47</v>
      </c>
      <c r="L29" s="99" t="s">
        <v>48</v>
      </c>
      <c r="M29" s="107">
        <v>3558.1</v>
      </c>
      <c r="O29" s="106">
        <v>27</v>
      </c>
      <c r="P29" s="98" t="s">
        <v>47</v>
      </c>
      <c r="Q29" s="99" t="s">
        <v>48</v>
      </c>
      <c r="R29" s="107">
        <v>3558.1</v>
      </c>
    </row>
    <row r="30" spans="1:18" s="92" customFormat="1" ht="29.25" customHeight="1">
      <c r="A30" s="117">
        <v>28</v>
      </c>
      <c r="B30" s="148" t="s">
        <v>51</v>
      </c>
      <c r="C30" s="118" t="s">
        <v>48</v>
      </c>
      <c r="D30" s="119">
        <v>1027</v>
      </c>
      <c r="E30" s="93">
        <v>28</v>
      </c>
      <c r="F30" s="162" t="s">
        <v>447</v>
      </c>
      <c r="G30" s="94" t="s">
        <v>48</v>
      </c>
      <c r="H30" s="95">
        <v>2665.6</v>
      </c>
      <c r="J30" s="106">
        <v>28</v>
      </c>
      <c r="K30" s="175" t="s">
        <v>49</v>
      </c>
      <c r="L30" s="99" t="s">
        <v>48</v>
      </c>
      <c r="M30" s="107">
        <v>2975</v>
      </c>
      <c r="O30" s="106">
        <v>28</v>
      </c>
      <c r="P30" s="98" t="s">
        <v>49</v>
      </c>
      <c r="Q30" s="99" t="s">
        <v>48</v>
      </c>
      <c r="R30" s="107">
        <v>2975</v>
      </c>
    </row>
    <row r="31" spans="1:18" s="92" customFormat="1" ht="29.25" customHeight="1">
      <c r="A31" s="117">
        <v>29</v>
      </c>
      <c r="B31" s="148" t="s">
        <v>52</v>
      </c>
      <c r="C31" s="118" t="s">
        <v>48</v>
      </c>
      <c r="D31" s="119">
        <v>10763</v>
      </c>
      <c r="E31" s="93">
        <v>29</v>
      </c>
      <c r="F31" s="162" t="s">
        <v>448</v>
      </c>
      <c r="G31" s="94" t="s">
        <v>48</v>
      </c>
      <c r="H31" s="95">
        <v>3105.9</v>
      </c>
      <c r="J31" s="106">
        <v>29</v>
      </c>
      <c r="K31" s="175" t="s">
        <v>50</v>
      </c>
      <c r="L31" s="99" t="s">
        <v>48</v>
      </c>
      <c r="M31" s="107">
        <v>8687</v>
      </c>
      <c r="O31" s="106">
        <v>29</v>
      </c>
      <c r="P31" s="98" t="s">
        <v>50</v>
      </c>
      <c r="Q31" s="99" t="s">
        <v>48</v>
      </c>
      <c r="R31" s="107">
        <v>8687</v>
      </c>
    </row>
    <row r="32" spans="1:18" s="92" customFormat="1" ht="29.25" customHeight="1">
      <c r="A32" s="117">
        <v>30</v>
      </c>
      <c r="B32" s="148" t="s">
        <v>450</v>
      </c>
      <c r="C32" s="118" t="s">
        <v>19</v>
      </c>
      <c r="D32" s="119">
        <v>251257</v>
      </c>
      <c r="E32" s="93">
        <v>30</v>
      </c>
      <c r="F32" s="162" t="s">
        <v>449</v>
      </c>
      <c r="G32" s="94" t="s">
        <v>48</v>
      </c>
      <c r="H32" s="95">
        <v>6361.74</v>
      </c>
      <c r="J32" s="106">
        <v>30</v>
      </c>
      <c r="K32" s="175" t="s">
        <v>51</v>
      </c>
      <c r="L32" s="99" t="s">
        <v>48</v>
      </c>
      <c r="M32" s="107">
        <v>1309</v>
      </c>
      <c r="O32" s="106">
        <v>30</v>
      </c>
      <c r="P32" s="98" t="s">
        <v>51</v>
      </c>
      <c r="Q32" s="99" t="s">
        <v>48</v>
      </c>
      <c r="R32" s="107">
        <v>1309</v>
      </c>
    </row>
    <row r="33" spans="1:18" s="92" customFormat="1" ht="29.25" customHeight="1">
      <c r="A33" s="117">
        <v>31</v>
      </c>
      <c r="B33" s="148" t="s">
        <v>53</v>
      </c>
      <c r="C33" s="118" t="s">
        <v>54</v>
      </c>
      <c r="D33" s="119">
        <v>1059</v>
      </c>
      <c r="E33" s="93">
        <v>31</v>
      </c>
      <c r="F33" s="162" t="s">
        <v>51</v>
      </c>
      <c r="G33" s="94" t="s">
        <v>48</v>
      </c>
      <c r="H33" s="95">
        <v>1523.2</v>
      </c>
      <c r="J33" s="106">
        <v>31</v>
      </c>
      <c r="K33" s="175" t="s">
        <v>52</v>
      </c>
      <c r="L33" s="99" t="s">
        <v>48</v>
      </c>
      <c r="M33" s="107">
        <v>11662</v>
      </c>
      <c r="O33" s="106">
        <v>31</v>
      </c>
      <c r="P33" s="98" t="s">
        <v>52</v>
      </c>
      <c r="Q33" s="99" t="s">
        <v>48</v>
      </c>
      <c r="R33" s="107">
        <v>11662</v>
      </c>
    </row>
    <row r="34" spans="1:18" s="92" customFormat="1" ht="29.25" customHeight="1">
      <c r="A34" s="117">
        <v>32</v>
      </c>
      <c r="B34" s="148" t="s">
        <v>55</v>
      </c>
      <c r="C34" s="118" t="s">
        <v>56</v>
      </c>
      <c r="D34" s="119">
        <v>2388</v>
      </c>
      <c r="E34" s="93">
        <v>32</v>
      </c>
      <c r="F34" s="162" t="s">
        <v>52</v>
      </c>
      <c r="G34" s="94" t="s">
        <v>48</v>
      </c>
      <c r="H34" s="95">
        <v>6854.4</v>
      </c>
      <c r="J34" s="106">
        <v>32</v>
      </c>
      <c r="K34" s="175" t="s">
        <v>184</v>
      </c>
      <c r="L34" s="99" t="s">
        <v>19</v>
      </c>
      <c r="M34" s="107">
        <v>404481</v>
      </c>
      <c r="O34" s="106">
        <v>32</v>
      </c>
      <c r="P34" s="98" t="s">
        <v>184</v>
      </c>
      <c r="Q34" s="99" t="s">
        <v>19</v>
      </c>
      <c r="R34" s="107">
        <v>404481</v>
      </c>
    </row>
    <row r="35" spans="1:18" s="92" customFormat="1" ht="29.25" customHeight="1">
      <c r="A35" s="117">
        <v>33</v>
      </c>
      <c r="B35" s="148" t="s">
        <v>57</v>
      </c>
      <c r="C35" s="118" t="s">
        <v>33</v>
      </c>
      <c r="D35" s="119">
        <v>2605</v>
      </c>
      <c r="E35" s="93">
        <v>33</v>
      </c>
      <c r="F35" s="162" t="s">
        <v>184</v>
      </c>
      <c r="G35" s="94" t="s">
        <v>19</v>
      </c>
      <c r="H35" s="95">
        <v>299880</v>
      </c>
      <c r="J35" s="106">
        <v>33</v>
      </c>
      <c r="K35" s="175" t="s">
        <v>53</v>
      </c>
      <c r="L35" s="99" t="s">
        <v>54</v>
      </c>
      <c r="M35" s="107">
        <v>1190</v>
      </c>
      <c r="O35" s="106">
        <v>33</v>
      </c>
      <c r="P35" s="98" t="s">
        <v>53</v>
      </c>
      <c r="Q35" s="99" t="s">
        <v>54</v>
      </c>
      <c r="R35" s="107">
        <v>1190</v>
      </c>
    </row>
    <row r="36" spans="1:18" s="92" customFormat="1" ht="29.25" customHeight="1">
      <c r="A36" s="117">
        <v>34</v>
      </c>
      <c r="B36" s="148" t="s">
        <v>603</v>
      </c>
      <c r="C36" s="118" t="s">
        <v>19</v>
      </c>
      <c r="D36" s="119">
        <v>2934</v>
      </c>
      <c r="E36" s="93">
        <v>34</v>
      </c>
      <c r="F36" s="162" t="s">
        <v>53</v>
      </c>
      <c r="G36" s="94" t="s">
        <v>54</v>
      </c>
      <c r="H36" s="95">
        <v>1220.94</v>
      </c>
      <c r="J36" s="106">
        <v>34</v>
      </c>
      <c r="K36" s="175" t="s">
        <v>55</v>
      </c>
      <c r="L36" s="99" t="s">
        <v>56</v>
      </c>
      <c r="M36" s="107">
        <v>3236.7999999999997</v>
      </c>
      <c r="O36" s="106">
        <v>34</v>
      </c>
      <c r="P36" s="98" t="s">
        <v>55</v>
      </c>
      <c r="Q36" s="99" t="s">
        <v>56</v>
      </c>
      <c r="R36" s="107">
        <v>3236.7999999999997</v>
      </c>
    </row>
    <row r="37" spans="1:18" s="92" customFormat="1" ht="29.25" customHeight="1">
      <c r="A37" s="117">
        <v>36</v>
      </c>
      <c r="B37" s="148" t="s">
        <v>451</v>
      </c>
      <c r="C37" s="118" t="s">
        <v>19</v>
      </c>
      <c r="D37" s="119">
        <v>16351</v>
      </c>
      <c r="E37" s="93">
        <v>35</v>
      </c>
      <c r="F37" s="162" t="s">
        <v>55</v>
      </c>
      <c r="G37" s="94" t="s">
        <v>56</v>
      </c>
      <c r="H37" s="95">
        <v>3962.7</v>
      </c>
      <c r="J37" s="106">
        <v>35</v>
      </c>
      <c r="K37" s="175" t="s">
        <v>57</v>
      </c>
      <c r="L37" s="99" t="s">
        <v>33</v>
      </c>
      <c r="M37" s="107">
        <v>3570</v>
      </c>
      <c r="O37" s="106">
        <v>35</v>
      </c>
      <c r="P37" s="98" t="s">
        <v>57</v>
      </c>
      <c r="Q37" s="99" t="s">
        <v>33</v>
      </c>
      <c r="R37" s="107">
        <v>3570</v>
      </c>
    </row>
    <row r="38" spans="1:18" s="92" customFormat="1" ht="29.25" customHeight="1">
      <c r="A38" s="117">
        <v>37</v>
      </c>
      <c r="B38" s="148" t="s">
        <v>452</v>
      </c>
      <c r="C38" s="118" t="s">
        <v>19</v>
      </c>
      <c r="D38" s="119">
        <v>53283</v>
      </c>
      <c r="E38" s="93">
        <v>36</v>
      </c>
      <c r="F38" s="162" t="s">
        <v>57</v>
      </c>
      <c r="G38" s="94" t="s">
        <v>33</v>
      </c>
      <c r="H38" s="95">
        <v>4069.8</v>
      </c>
      <c r="J38" s="106">
        <v>36</v>
      </c>
      <c r="K38" s="175" t="s">
        <v>58</v>
      </c>
      <c r="L38" s="99" t="s">
        <v>19</v>
      </c>
      <c r="M38" s="107">
        <v>2487.1</v>
      </c>
      <c r="O38" s="106">
        <v>36</v>
      </c>
      <c r="P38" s="98" t="s">
        <v>58</v>
      </c>
      <c r="Q38" s="99" t="s">
        <v>19</v>
      </c>
      <c r="R38" s="107">
        <v>2487.1</v>
      </c>
    </row>
    <row r="39" spans="1:18" s="92" customFormat="1" ht="29.25" customHeight="1">
      <c r="A39" s="117">
        <v>38</v>
      </c>
      <c r="B39" s="148" t="s">
        <v>60</v>
      </c>
      <c r="C39" s="118" t="s">
        <v>19</v>
      </c>
      <c r="D39" s="119">
        <v>41982</v>
      </c>
      <c r="E39" s="93">
        <v>37</v>
      </c>
      <c r="F39" s="162" t="s">
        <v>58</v>
      </c>
      <c r="G39" s="94" t="s">
        <v>19</v>
      </c>
      <c r="H39" s="95">
        <v>3105.9</v>
      </c>
      <c r="J39" s="106">
        <v>37</v>
      </c>
      <c r="K39" s="175" t="s">
        <v>59</v>
      </c>
      <c r="L39" s="99" t="s">
        <v>56</v>
      </c>
      <c r="M39" s="107">
        <v>13566</v>
      </c>
      <c r="O39" s="106">
        <v>37</v>
      </c>
      <c r="P39" s="98" t="s">
        <v>59</v>
      </c>
      <c r="Q39" s="99" t="s">
        <v>56</v>
      </c>
      <c r="R39" s="107">
        <v>13566</v>
      </c>
    </row>
    <row r="40" spans="1:18" s="92" customFormat="1" ht="29.25" customHeight="1">
      <c r="A40" s="117">
        <v>39</v>
      </c>
      <c r="B40" s="148" t="s">
        <v>453</v>
      </c>
      <c r="C40" s="118" t="s">
        <v>19</v>
      </c>
      <c r="D40" s="119">
        <v>299879</v>
      </c>
      <c r="E40" s="93">
        <v>38</v>
      </c>
      <c r="F40" s="162" t="s">
        <v>59</v>
      </c>
      <c r="G40" s="94" t="s">
        <v>56</v>
      </c>
      <c r="H40" s="95">
        <v>1523.2</v>
      </c>
      <c r="J40" s="106">
        <v>38</v>
      </c>
      <c r="K40" s="175" t="s">
        <v>185</v>
      </c>
      <c r="L40" s="99" t="s">
        <v>19</v>
      </c>
      <c r="M40" s="107">
        <v>13090</v>
      </c>
      <c r="O40" s="106">
        <v>38</v>
      </c>
      <c r="P40" s="98" t="s">
        <v>185</v>
      </c>
      <c r="Q40" s="99" t="s">
        <v>19</v>
      </c>
      <c r="R40" s="107">
        <v>13090</v>
      </c>
    </row>
    <row r="41" spans="1:18" s="92" customFormat="1" ht="29.25" customHeight="1">
      <c r="A41" s="117">
        <v>40</v>
      </c>
      <c r="B41" s="148" t="s">
        <v>454</v>
      </c>
      <c r="C41" s="118" t="s">
        <v>63</v>
      </c>
      <c r="D41" s="119">
        <v>49415</v>
      </c>
      <c r="E41" s="93">
        <v>39</v>
      </c>
      <c r="F41" s="162" t="s">
        <v>532</v>
      </c>
      <c r="G41" s="94" t="s">
        <v>19</v>
      </c>
      <c r="H41" s="95">
        <v>13661.2</v>
      </c>
      <c r="J41" s="106">
        <v>39</v>
      </c>
      <c r="K41" s="175" t="s">
        <v>186</v>
      </c>
      <c r="L41" s="99" t="s">
        <v>19</v>
      </c>
      <c r="M41" s="107">
        <v>22610</v>
      </c>
      <c r="O41" s="106">
        <v>39</v>
      </c>
      <c r="P41" s="98" t="s">
        <v>186</v>
      </c>
      <c r="Q41" s="99" t="s">
        <v>19</v>
      </c>
      <c r="R41" s="107">
        <v>22610</v>
      </c>
    </row>
    <row r="42" spans="1:18" s="92" customFormat="1" ht="29.25" customHeight="1">
      <c r="A42" s="117">
        <v>41</v>
      </c>
      <c r="B42" s="148" t="s">
        <v>455</v>
      </c>
      <c r="C42" s="118" t="s">
        <v>19</v>
      </c>
      <c r="D42" s="119">
        <v>1506</v>
      </c>
      <c r="E42" s="93">
        <v>40</v>
      </c>
      <c r="F42" s="162" t="s">
        <v>186</v>
      </c>
      <c r="G42" s="94" t="s">
        <v>19</v>
      </c>
      <c r="H42" s="95">
        <v>111860</v>
      </c>
      <c r="J42" s="106">
        <v>40</v>
      </c>
      <c r="K42" s="175" t="s">
        <v>60</v>
      </c>
      <c r="L42" s="99" t="s">
        <v>19</v>
      </c>
      <c r="M42" s="107">
        <v>35688.1</v>
      </c>
      <c r="O42" s="106">
        <v>40</v>
      </c>
      <c r="P42" s="98" t="s">
        <v>60</v>
      </c>
      <c r="Q42" s="99" t="s">
        <v>19</v>
      </c>
      <c r="R42" s="107">
        <v>35688.1</v>
      </c>
    </row>
    <row r="43" spans="1:18" s="92" customFormat="1" ht="29.25" customHeight="1">
      <c r="A43" s="117">
        <v>42</v>
      </c>
      <c r="B43" s="148" t="s">
        <v>65</v>
      </c>
      <c r="C43" s="118" t="s">
        <v>43</v>
      </c>
      <c r="D43" s="119">
        <v>12112</v>
      </c>
      <c r="E43" s="93">
        <v>41</v>
      </c>
      <c r="F43" s="162" t="s">
        <v>60</v>
      </c>
      <c r="G43" s="94" t="s">
        <v>19</v>
      </c>
      <c r="H43" s="95">
        <v>48730.5</v>
      </c>
      <c r="J43" s="106">
        <v>41</v>
      </c>
      <c r="K43" s="175" t="s">
        <v>61</v>
      </c>
      <c r="L43" s="99" t="s">
        <v>19</v>
      </c>
      <c r="M43" s="107">
        <v>479368.88999999996</v>
      </c>
      <c r="O43" s="106">
        <v>41</v>
      </c>
      <c r="P43" s="98" t="s">
        <v>61</v>
      </c>
      <c r="Q43" s="99" t="s">
        <v>19</v>
      </c>
      <c r="R43" s="107">
        <v>479368.88999999996</v>
      </c>
    </row>
    <row r="44" spans="1:18" s="92" customFormat="1" ht="29.25" customHeight="1">
      <c r="A44" s="117">
        <v>43</v>
      </c>
      <c r="B44" s="148" t="s">
        <v>66</v>
      </c>
      <c r="C44" s="118" t="s">
        <v>39</v>
      </c>
      <c r="D44" s="119">
        <v>15057</v>
      </c>
      <c r="E44" s="93">
        <v>42</v>
      </c>
      <c r="F44" s="162" t="s">
        <v>533</v>
      </c>
      <c r="G44" s="94" t="s">
        <v>19</v>
      </c>
      <c r="H44" s="95">
        <v>490678.65</v>
      </c>
      <c r="J44" s="106">
        <v>42</v>
      </c>
      <c r="K44" s="175" t="s">
        <v>62</v>
      </c>
      <c r="L44" s="99" t="s">
        <v>63</v>
      </c>
      <c r="M44" s="107">
        <v>30940</v>
      </c>
      <c r="O44" s="106">
        <v>42</v>
      </c>
      <c r="P44" s="98" t="s">
        <v>62</v>
      </c>
      <c r="Q44" s="99" t="s">
        <v>63</v>
      </c>
      <c r="R44" s="107">
        <v>30940</v>
      </c>
    </row>
    <row r="45" spans="1:18" s="92" customFormat="1" ht="29.25" customHeight="1">
      <c r="A45" s="117">
        <v>44</v>
      </c>
      <c r="B45" s="148" t="s">
        <v>456</v>
      </c>
      <c r="C45" s="118" t="s">
        <v>457</v>
      </c>
      <c r="D45" s="119">
        <v>2838</v>
      </c>
      <c r="E45" s="93">
        <v>43</v>
      </c>
      <c r="F45" s="162" t="s">
        <v>62</v>
      </c>
      <c r="G45" s="94" t="s">
        <v>63</v>
      </c>
      <c r="H45" s="95">
        <v>33510.400000000001</v>
      </c>
      <c r="J45" s="106">
        <v>43</v>
      </c>
      <c r="K45" s="175" t="s">
        <v>64</v>
      </c>
      <c r="L45" s="99" t="s">
        <v>39</v>
      </c>
      <c r="M45" s="107">
        <v>4748.0999999999995</v>
      </c>
      <c r="O45" s="106">
        <v>43</v>
      </c>
      <c r="P45" s="98" t="s">
        <v>64</v>
      </c>
      <c r="Q45" s="99" t="s">
        <v>39</v>
      </c>
      <c r="R45" s="107">
        <v>4748.0999999999995</v>
      </c>
    </row>
    <row r="46" spans="1:18" s="92" customFormat="1" ht="29.25" customHeight="1">
      <c r="A46" s="117">
        <v>45</v>
      </c>
      <c r="B46" s="148" t="s">
        <v>458</v>
      </c>
      <c r="C46" s="118" t="s">
        <v>459</v>
      </c>
      <c r="D46" s="119">
        <v>4832</v>
      </c>
      <c r="E46" s="93">
        <v>44</v>
      </c>
      <c r="F46" s="162" t="s">
        <v>455</v>
      </c>
      <c r="G46" s="94" t="s">
        <v>56</v>
      </c>
      <c r="H46" s="95">
        <v>14851.2</v>
      </c>
      <c r="J46" s="106">
        <v>44</v>
      </c>
      <c r="K46" s="175" t="s">
        <v>65</v>
      </c>
      <c r="L46" s="99" t="s">
        <v>43</v>
      </c>
      <c r="M46" s="107">
        <v>11888.1</v>
      </c>
      <c r="O46" s="106">
        <v>44</v>
      </c>
      <c r="P46" s="98" t="s">
        <v>65</v>
      </c>
      <c r="Q46" s="99" t="s">
        <v>43</v>
      </c>
      <c r="R46" s="107">
        <v>11888.1</v>
      </c>
    </row>
    <row r="47" spans="1:18" s="92" customFormat="1" ht="29.25" customHeight="1">
      <c r="A47" s="117">
        <v>46</v>
      </c>
      <c r="B47" s="148" t="s">
        <v>460</v>
      </c>
      <c r="C47" s="118" t="s">
        <v>461</v>
      </c>
      <c r="D47" s="119">
        <v>2817</v>
      </c>
      <c r="E47" s="93">
        <v>45</v>
      </c>
      <c r="F47" s="162" t="s">
        <v>64</v>
      </c>
      <c r="G47" s="94" t="s">
        <v>39</v>
      </c>
      <c r="H47" s="95">
        <v>2208.64</v>
      </c>
      <c r="J47" s="106">
        <v>45</v>
      </c>
      <c r="K47" s="175" t="s">
        <v>66</v>
      </c>
      <c r="L47" s="99" t="s">
        <v>39</v>
      </c>
      <c r="M47" s="107">
        <v>13090</v>
      </c>
      <c r="O47" s="106">
        <v>45</v>
      </c>
      <c r="P47" s="98" t="s">
        <v>66</v>
      </c>
      <c r="Q47" s="99" t="s">
        <v>39</v>
      </c>
      <c r="R47" s="107">
        <v>13090</v>
      </c>
    </row>
    <row r="48" spans="1:18" s="92" customFormat="1" ht="29.25" customHeight="1">
      <c r="A48" s="117">
        <v>47</v>
      </c>
      <c r="B48" s="148" t="s">
        <v>462</v>
      </c>
      <c r="C48" s="118" t="s">
        <v>459</v>
      </c>
      <c r="D48" s="119">
        <v>4898</v>
      </c>
      <c r="E48" s="93">
        <v>46</v>
      </c>
      <c r="F48" s="162" t="s">
        <v>65</v>
      </c>
      <c r="G48" s="94" t="s">
        <v>43</v>
      </c>
      <c r="H48" s="95">
        <v>12185.6</v>
      </c>
      <c r="J48" s="106">
        <v>46</v>
      </c>
      <c r="K48" s="175" t="s">
        <v>67</v>
      </c>
      <c r="L48" s="99" t="s">
        <v>39</v>
      </c>
      <c r="M48" s="107">
        <v>14280</v>
      </c>
      <c r="O48" s="106">
        <v>46</v>
      </c>
      <c r="P48" s="98" t="s">
        <v>67</v>
      </c>
      <c r="Q48" s="99" t="s">
        <v>39</v>
      </c>
      <c r="R48" s="107">
        <v>14280</v>
      </c>
    </row>
    <row r="49" spans="1:18" s="92" customFormat="1" ht="29.25" customHeight="1">
      <c r="A49" s="117">
        <v>48</v>
      </c>
      <c r="B49" s="148" t="s">
        <v>71</v>
      </c>
      <c r="C49" s="118" t="s">
        <v>463</v>
      </c>
      <c r="D49" s="119">
        <v>47364</v>
      </c>
      <c r="E49" s="93">
        <v>47</v>
      </c>
      <c r="F49" s="162" t="s">
        <v>534</v>
      </c>
      <c r="G49" s="94" t="s">
        <v>39</v>
      </c>
      <c r="H49" s="95">
        <v>17850</v>
      </c>
      <c r="J49" s="106">
        <v>47</v>
      </c>
      <c r="K49" s="175" t="s">
        <v>187</v>
      </c>
      <c r="L49" s="99" t="s">
        <v>68</v>
      </c>
      <c r="M49" s="107">
        <v>3570</v>
      </c>
      <c r="O49" s="106">
        <v>47</v>
      </c>
      <c r="P49" s="98" t="s">
        <v>187</v>
      </c>
      <c r="Q49" s="99" t="s">
        <v>68</v>
      </c>
      <c r="R49" s="107">
        <v>3570</v>
      </c>
    </row>
    <row r="50" spans="1:18" s="92" customFormat="1" ht="29.25" customHeight="1">
      <c r="A50" s="117">
        <v>49</v>
      </c>
      <c r="B50" s="148" t="s">
        <v>464</v>
      </c>
      <c r="C50" s="118" t="s">
        <v>72</v>
      </c>
      <c r="D50" s="119">
        <v>1265</v>
      </c>
      <c r="E50" s="93">
        <v>48</v>
      </c>
      <c r="F50" s="162" t="s">
        <v>535</v>
      </c>
      <c r="G50" s="94" t="s">
        <v>39</v>
      </c>
      <c r="H50" s="95">
        <v>18849.599999999999</v>
      </c>
      <c r="J50" s="106">
        <v>48</v>
      </c>
      <c r="K50" s="175" t="s">
        <v>69</v>
      </c>
      <c r="L50" s="99" t="s">
        <v>70</v>
      </c>
      <c r="M50" s="107">
        <v>4760</v>
      </c>
      <c r="O50" s="106">
        <v>48</v>
      </c>
      <c r="P50" s="98" t="s">
        <v>69</v>
      </c>
      <c r="Q50" s="99" t="s">
        <v>70</v>
      </c>
      <c r="R50" s="107">
        <v>4760</v>
      </c>
    </row>
    <row r="51" spans="1:18" s="92" customFormat="1" ht="29.25" customHeight="1">
      <c r="A51" s="117">
        <v>50</v>
      </c>
      <c r="B51" s="148" t="s">
        <v>73</v>
      </c>
      <c r="C51" s="118" t="s">
        <v>19</v>
      </c>
      <c r="D51" s="119">
        <v>48442</v>
      </c>
      <c r="E51" s="93">
        <v>49</v>
      </c>
      <c r="F51" s="162" t="s">
        <v>460</v>
      </c>
      <c r="G51" s="94" t="s">
        <v>68</v>
      </c>
      <c r="H51" s="95">
        <v>3534.3</v>
      </c>
      <c r="J51" s="106">
        <v>49</v>
      </c>
      <c r="K51" s="175" t="s">
        <v>71</v>
      </c>
      <c r="L51" s="99" t="s">
        <v>54</v>
      </c>
      <c r="M51" s="107">
        <v>29750</v>
      </c>
      <c r="O51" s="106">
        <v>49</v>
      </c>
      <c r="P51" s="98" t="s">
        <v>71</v>
      </c>
      <c r="Q51" s="99" t="s">
        <v>54</v>
      </c>
      <c r="R51" s="107">
        <v>29750</v>
      </c>
    </row>
    <row r="52" spans="1:18" s="92" customFormat="1" ht="65.7" customHeight="1">
      <c r="A52" s="117">
        <v>51</v>
      </c>
      <c r="B52" s="148" t="s">
        <v>465</v>
      </c>
      <c r="C52" s="118" t="s">
        <v>466</v>
      </c>
      <c r="D52" s="119">
        <v>6415</v>
      </c>
      <c r="E52" s="93">
        <v>50</v>
      </c>
      <c r="F52" s="162" t="s">
        <v>536</v>
      </c>
      <c r="G52" s="94" t="s">
        <v>70</v>
      </c>
      <c r="H52" s="95">
        <v>4498.2</v>
      </c>
      <c r="J52" s="106">
        <v>50</v>
      </c>
      <c r="K52" s="175" t="s">
        <v>188</v>
      </c>
      <c r="L52" s="99" t="s">
        <v>72</v>
      </c>
      <c r="M52" s="107">
        <v>1785</v>
      </c>
      <c r="O52" s="106">
        <v>50</v>
      </c>
      <c r="P52" s="98" t="s">
        <v>188</v>
      </c>
      <c r="Q52" s="99" t="s">
        <v>72</v>
      </c>
      <c r="R52" s="107">
        <v>1785</v>
      </c>
    </row>
    <row r="53" spans="1:18" s="92" customFormat="1" ht="67.5" customHeight="1">
      <c r="A53" s="117">
        <v>52</v>
      </c>
      <c r="B53" s="148" t="s">
        <v>467</v>
      </c>
      <c r="C53" s="118" t="s">
        <v>466</v>
      </c>
      <c r="D53" s="119">
        <v>3581</v>
      </c>
      <c r="E53" s="93">
        <v>51</v>
      </c>
      <c r="F53" s="162" t="s">
        <v>71</v>
      </c>
      <c r="G53" s="94" t="s">
        <v>54</v>
      </c>
      <c r="H53" s="95">
        <v>27417.599999999999</v>
      </c>
      <c r="J53" s="106">
        <v>51</v>
      </c>
      <c r="K53" s="175" t="s">
        <v>73</v>
      </c>
      <c r="L53" s="99" t="s">
        <v>19</v>
      </c>
      <c r="M53" s="107">
        <v>14280</v>
      </c>
      <c r="O53" s="106">
        <v>51</v>
      </c>
      <c r="P53" s="98" t="s">
        <v>73</v>
      </c>
      <c r="Q53" s="99" t="s">
        <v>19</v>
      </c>
      <c r="R53" s="107">
        <v>14280</v>
      </c>
    </row>
    <row r="54" spans="1:18" s="92" customFormat="1" ht="29.25" customHeight="1">
      <c r="A54" s="117">
        <v>53</v>
      </c>
      <c r="B54" s="148" t="s">
        <v>468</v>
      </c>
      <c r="C54" s="118" t="s">
        <v>19</v>
      </c>
      <c r="D54" s="119">
        <v>9591</v>
      </c>
      <c r="E54" s="93">
        <v>52</v>
      </c>
      <c r="F54" s="162" t="s">
        <v>188</v>
      </c>
      <c r="G54" s="94" t="s">
        <v>72</v>
      </c>
      <c r="H54" s="95">
        <v>1428</v>
      </c>
      <c r="J54" s="106">
        <v>52</v>
      </c>
      <c r="K54" s="175" t="s">
        <v>571</v>
      </c>
      <c r="L54" s="99" t="s">
        <v>56</v>
      </c>
      <c r="M54" s="107">
        <v>6000</v>
      </c>
      <c r="O54" s="106">
        <v>52</v>
      </c>
      <c r="P54" s="98" t="s">
        <v>571</v>
      </c>
      <c r="Q54" s="99" t="s">
        <v>56</v>
      </c>
      <c r="R54" s="107">
        <v>6000</v>
      </c>
    </row>
    <row r="55" spans="1:18" s="92" customFormat="1" ht="29.25" customHeight="1">
      <c r="A55" s="117">
        <v>54</v>
      </c>
      <c r="B55" s="148" t="s">
        <v>469</v>
      </c>
      <c r="C55" s="118" t="s">
        <v>19</v>
      </c>
      <c r="D55" s="119">
        <v>12073</v>
      </c>
      <c r="E55" s="93">
        <v>53</v>
      </c>
      <c r="F55" s="162" t="s">
        <v>73</v>
      </c>
      <c r="G55" s="94" t="s">
        <v>19</v>
      </c>
      <c r="H55" s="95">
        <v>38942.75</v>
      </c>
      <c r="J55" s="106">
        <v>53</v>
      </c>
      <c r="K55" s="175" t="s">
        <v>572</v>
      </c>
      <c r="L55" s="99" t="s">
        <v>56</v>
      </c>
      <c r="M55" s="107">
        <v>5405</v>
      </c>
      <c r="O55" s="106">
        <v>53</v>
      </c>
      <c r="P55" s="98" t="s">
        <v>572</v>
      </c>
      <c r="Q55" s="99" t="s">
        <v>56</v>
      </c>
      <c r="R55" s="107">
        <v>5405</v>
      </c>
    </row>
    <row r="56" spans="1:18" s="92" customFormat="1" ht="29.25" customHeight="1">
      <c r="A56" s="117">
        <v>55</v>
      </c>
      <c r="B56" s="148" t="s">
        <v>470</v>
      </c>
      <c r="C56" s="118" t="s">
        <v>19</v>
      </c>
      <c r="D56" s="119">
        <v>1817</v>
      </c>
      <c r="E56" s="93">
        <v>54</v>
      </c>
      <c r="F56" s="162" t="s">
        <v>465</v>
      </c>
      <c r="G56" s="94" t="s">
        <v>56</v>
      </c>
      <c r="H56" s="95">
        <v>5400</v>
      </c>
      <c r="J56" s="106">
        <v>54</v>
      </c>
      <c r="K56" s="175" t="s">
        <v>76</v>
      </c>
      <c r="L56" s="99" t="s">
        <v>77</v>
      </c>
      <c r="M56" s="107">
        <v>17850</v>
      </c>
      <c r="O56" s="106">
        <v>54</v>
      </c>
      <c r="P56" s="98" t="s">
        <v>76</v>
      </c>
      <c r="Q56" s="99" t="s">
        <v>77</v>
      </c>
      <c r="R56" s="107">
        <v>17850</v>
      </c>
    </row>
    <row r="57" spans="1:18" s="92" customFormat="1" ht="29.25" customHeight="1">
      <c r="A57" s="117">
        <v>56</v>
      </c>
      <c r="B57" s="148" t="s">
        <v>471</v>
      </c>
      <c r="C57" s="118" t="s">
        <v>19</v>
      </c>
      <c r="D57" s="119">
        <v>1817</v>
      </c>
      <c r="E57" s="93">
        <v>55</v>
      </c>
      <c r="F57" s="162" t="s">
        <v>467</v>
      </c>
      <c r="G57" s="94" t="s">
        <v>56</v>
      </c>
      <c r="H57" s="95">
        <v>7200</v>
      </c>
      <c r="J57" s="106">
        <v>55</v>
      </c>
      <c r="K57" s="175" t="s">
        <v>78</v>
      </c>
      <c r="L57" s="99" t="s">
        <v>77</v>
      </c>
      <c r="M57" s="107">
        <v>20230</v>
      </c>
      <c r="O57" s="106">
        <v>55</v>
      </c>
      <c r="P57" s="98" t="s">
        <v>78</v>
      </c>
      <c r="Q57" s="99" t="s">
        <v>77</v>
      </c>
      <c r="R57" s="107">
        <v>20230</v>
      </c>
    </row>
    <row r="58" spans="1:18" s="92" customFormat="1" ht="29.25" customHeight="1">
      <c r="A58" s="117">
        <v>57</v>
      </c>
      <c r="B58" s="148" t="s">
        <v>472</v>
      </c>
      <c r="C58" s="118" t="s">
        <v>473</v>
      </c>
      <c r="D58" s="119">
        <v>8404</v>
      </c>
      <c r="E58" s="93">
        <v>56</v>
      </c>
      <c r="F58" s="162" t="s">
        <v>468</v>
      </c>
      <c r="G58" s="94" t="s">
        <v>19</v>
      </c>
      <c r="H58" s="95">
        <v>9596.16</v>
      </c>
      <c r="J58" s="106">
        <v>56</v>
      </c>
      <c r="K58" s="175" t="s">
        <v>79</v>
      </c>
      <c r="L58" s="99" t="s">
        <v>77</v>
      </c>
      <c r="M58" s="107">
        <v>13090</v>
      </c>
      <c r="O58" s="106">
        <v>56</v>
      </c>
      <c r="P58" s="98" t="s">
        <v>79</v>
      </c>
      <c r="Q58" s="99" t="s">
        <v>77</v>
      </c>
      <c r="R58" s="107">
        <v>13090</v>
      </c>
    </row>
    <row r="59" spans="1:18" s="92" customFormat="1" ht="29.25" customHeight="1">
      <c r="A59" s="117">
        <v>58</v>
      </c>
      <c r="B59" s="148" t="s">
        <v>474</v>
      </c>
      <c r="C59" s="118" t="s">
        <v>475</v>
      </c>
      <c r="D59" s="119">
        <v>6778</v>
      </c>
      <c r="E59" s="93">
        <v>57</v>
      </c>
      <c r="F59" s="162" t="s">
        <v>469</v>
      </c>
      <c r="G59" s="94" t="s">
        <v>19</v>
      </c>
      <c r="H59" s="95">
        <v>13708.8</v>
      </c>
      <c r="J59" s="106">
        <v>57</v>
      </c>
      <c r="K59" s="175" t="s">
        <v>80</v>
      </c>
      <c r="L59" s="99" t="s">
        <v>77</v>
      </c>
      <c r="M59" s="107">
        <v>13090</v>
      </c>
      <c r="O59" s="106">
        <v>57</v>
      </c>
      <c r="P59" s="98" t="s">
        <v>80</v>
      </c>
      <c r="Q59" s="99" t="s">
        <v>77</v>
      </c>
      <c r="R59" s="107">
        <v>13090</v>
      </c>
    </row>
    <row r="60" spans="1:18" s="92" customFormat="1" ht="63" customHeight="1">
      <c r="A60" s="117">
        <v>59</v>
      </c>
      <c r="B60" s="148" t="s">
        <v>476</v>
      </c>
      <c r="C60" s="118" t="s">
        <v>473</v>
      </c>
      <c r="D60" s="119">
        <v>7985</v>
      </c>
      <c r="E60" s="96">
        <v>58</v>
      </c>
      <c r="F60" s="162" t="s">
        <v>76</v>
      </c>
      <c r="G60" s="94" t="s">
        <v>77</v>
      </c>
      <c r="H60" s="95">
        <v>14013.44</v>
      </c>
      <c r="J60" s="106">
        <v>58</v>
      </c>
      <c r="K60" s="175" t="s">
        <v>189</v>
      </c>
      <c r="L60" s="99" t="s">
        <v>77</v>
      </c>
      <c r="M60" s="107">
        <v>14280</v>
      </c>
      <c r="O60" s="106">
        <v>58</v>
      </c>
      <c r="P60" s="98" t="s">
        <v>189</v>
      </c>
      <c r="Q60" s="99" t="s">
        <v>77</v>
      </c>
      <c r="R60" s="107">
        <v>14280</v>
      </c>
    </row>
    <row r="61" spans="1:18" s="92" customFormat="1" ht="29.25" customHeight="1">
      <c r="A61" s="117">
        <v>60</v>
      </c>
      <c r="B61" s="148" t="s">
        <v>477</v>
      </c>
      <c r="C61" s="118" t="s">
        <v>478</v>
      </c>
      <c r="D61" s="119">
        <v>30284</v>
      </c>
      <c r="E61" s="93">
        <v>59</v>
      </c>
      <c r="F61" s="162" t="s">
        <v>537</v>
      </c>
      <c r="G61" s="94" t="s">
        <v>77</v>
      </c>
      <c r="H61" s="95">
        <v>14013.44</v>
      </c>
      <c r="J61" s="106">
        <v>59</v>
      </c>
      <c r="K61" s="175" t="s">
        <v>82</v>
      </c>
      <c r="L61" s="99" t="s">
        <v>19</v>
      </c>
      <c r="M61" s="107">
        <v>21420</v>
      </c>
      <c r="O61" s="106">
        <v>59</v>
      </c>
      <c r="P61" s="98" t="s">
        <v>82</v>
      </c>
      <c r="Q61" s="99" t="s">
        <v>19</v>
      </c>
      <c r="R61" s="107">
        <v>21420</v>
      </c>
    </row>
    <row r="62" spans="1:18" s="92" customFormat="1" ht="29.25" customHeight="1">
      <c r="A62" s="117">
        <v>61</v>
      </c>
      <c r="B62" s="148" t="s">
        <v>540</v>
      </c>
      <c r="C62" s="118" t="s">
        <v>473</v>
      </c>
      <c r="D62" s="119">
        <v>12050</v>
      </c>
      <c r="E62" s="93">
        <v>60</v>
      </c>
      <c r="F62" s="162" t="s">
        <v>538</v>
      </c>
      <c r="G62" s="94" t="s">
        <v>77</v>
      </c>
      <c r="H62" s="95">
        <v>12642.56</v>
      </c>
      <c r="J62" s="106">
        <v>60</v>
      </c>
      <c r="K62" s="175" t="s">
        <v>84</v>
      </c>
      <c r="L62" s="99" t="s">
        <v>19</v>
      </c>
      <c r="M62" s="107">
        <v>39627</v>
      </c>
      <c r="O62" s="106">
        <v>60</v>
      </c>
      <c r="P62" s="98" t="s">
        <v>84</v>
      </c>
      <c r="Q62" s="99" t="s">
        <v>19</v>
      </c>
      <c r="R62" s="107">
        <v>39627</v>
      </c>
    </row>
    <row r="63" spans="1:18" s="92" customFormat="1" ht="29.25" customHeight="1">
      <c r="A63" s="117">
        <v>62</v>
      </c>
      <c r="B63" s="148" t="s">
        <v>479</v>
      </c>
      <c r="C63" s="118" t="s">
        <v>480</v>
      </c>
      <c r="D63" s="119">
        <v>11216</v>
      </c>
      <c r="E63" s="93">
        <v>61</v>
      </c>
      <c r="F63" s="162" t="s">
        <v>539</v>
      </c>
      <c r="G63" s="94" t="s">
        <v>77</v>
      </c>
      <c r="H63" s="95">
        <v>12642.56</v>
      </c>
      <c r="J63" s="106">
        <v>61</v>
      </c>
      <c r="K63" s="175" t="s">
        <v>190</v>
      </c>
      <c r="L63" s="99" t="s">
        <v>77</v>
      </c>
      <c r="M63" s="107">
        <v>13685</v>
      </c>
      <c r="O63" s="106">
        <v>61</v>
      </c>
      <c r="P63" s="98" t="s">
        <v>190</v>
      </c>
      <c r="Q63" s="99" t="s">
        <v>77</v>
      </c>
      <c r="R63" s="107">
        <v>13685</v>
      </c>
    </row>
    <row r="64" spans="1:18" s="92" customFormat="1" ht="29.25" customHeight="1">
      <c r="A64" s="117">
        <v>63</v>
      </c>
      <c r="B64" s="148" t="s">
        <v>191</v>
      </c>
      <c r="C64" s="118" t="s">
        <v>19</v>
      </c>
      <c r="D64" s="119">
        <v>694</v>
      </c>
      <c r="E64" s="93">
        <v>62</v>
      </c>
      <c r="F64" s="162" t="s">
        <v>476</v>
      </c>
      <c r="G64" s="94" t="s">
        <v>77</v>
      </c>
      <c r="H64" s="95">
        <v>12642.56</v>
      </c>
      <c r="J64" s="106">
        <v>62</v>
      </c>
      <c r="K64" s="175" t="s">
        <v>85</v>
      </c>
      <c r="L64" s="99" t="s">
        <v>77</v>
      </c>
      <c r="M64" s="107">
        <v>13685</v>
      </c>
      <c r="O64" s="106">
        <v>62</v>
      </c>
      <c r="P64" s="98" t="s">
        <v>85</v>
      </c>
      <c r="Q64" s="99" t="s">
        <v>77</v>
      </c>
      <c r="R64" s="107">
        <v>13685</v>
      </c>
    </row>
    <row r="65" spans="1:18" s="92" customFormat="1" ht="29.25" customHeight="1">
      <c r="A65" s="117">
        <v>64</v>
      </c>
      <c r="B65" s="148" t="s">
        <v>192</v>
      </c>
      <c r="C65" s="118" t="s">
        <v>19</v>
      </c>
      <c r="D65" s="119">
        <v>844</v>
      </c>
      <c r="E65" s="93">
        <v>63</v>
      </c>
      <c r="F65" s="162" t="s">
        <v>82</v>
      </c>
      <c r="G65" s="94" t="s">
        <v>19</v>
      </c>
      <c r="H65" s="95">
        <v>20563.2</v>
      </c>
      <c r="J65" s="106">
        <v>63</v>
      </c>
      <c r="K65" s="175" t="s">
        <v>191</v>
      </c>
      <c r="L65" s="99" t="s">
        <v>19</v>
      </c>
      <c r="M65" s="107">
        <v>1190</v>
      </c>
      <c r="O65" s="106">
        <v>63</v>
      </c>
      <c r="P65" s="98" t="s">
        <v>191</v>
      </c>
      <c r="Q65" s="99" t="s">
        <v>19</v>
      </c>
      <c r="R65" s="107">
        <v>1190</v>
      </c>
    </row>
    <row r="66" spans="1:18" s="92" customFormat="1" ht="29.25" customHeight="1">
      <c r="A66" s="117">
        <v>65</v>
      </c>
      <c r="B66" s="148" t="s">
        <v>481</v>
      </c>
      <c r="C66" s="118" t="s">
        <v>482</v>
      </c>
      <c r="D66" s="119">
        <v>2292</v>
      </c>
      <c r="E66" s="93">
        <v>64</v>
      </c>
      <c r="F66" s="162" t="s">
        <v>84</v>
      </c>
      <c r="G66" s="94" t="s">
        <v>19</v>
      </c>
      <c r="H66" s="95">
        <v>30940</v>
      </c>
      <c r="J66" s="106">
        <v>64</v>
      </c>
      <c r="K66" s="175" t="s">
        <v>192</v>
      </c>
      <c r="L66" s="99" t="s">
        <v>19</v>
      </c>
      <c r="M66" s="107">
        <v>1309</v>
      </c>
      <c r="O66" s="106">
        <v>64</v>
      </c>
      <c r="P66" s="98" t="s">
        <v>192</v>
      </c>
      <c r="Q66" s="99" t="s">
        <v>19</v>
      </c>
      <c r="R66" s="107">
        <v>1309</v>
      </c>
    </row>
    <row r="67" spans="1:18" s="92" customFormat="1" ht="29.25" customHeight="1">
      <c r="A67" s="117">
        <v>66</v>
      </c>
      <c r="B67" s="148" t="s">
        <v>88</v>
      </c>
      <c r="C67" s="118" t="s">
        <v>87</v>
      </c>
      <c r="D67" s="119">
        <v>1211</v>
      </c>
      <c r="E67" s="93">
        <v>65</v>
      </c>
      <c r="F67" s="162" t="s">
        <v>540</v>
      </c>
      <c r="G67" s="94" t="s">
        <v>541</v>
      </c>
      <c r="H67" s="95">
        <v>12947.2</v>
      </c>
      <c r="J67" s="106">
        <v>65</v>
      </c>
      <c r="K67" s="175" t="s">
        <v>193</v>
      </c>
      <c r="L67" s="99" t="s">
        <v>87</v>
      </c>
      <c r="M67" s="107">
        <v>2380</v>
      </c>
      <c r="O67" s="106">
        <v>65</v>
      </c>
      <c r="P67" s="98" t="s">
        <v>193</v>
      </c>
      <c r="Q67" s="99" t="s">
        <v>87</v>
      </c>
      <c r="R67" s="107">
        <v>2380</v>
      </c>
    </row>
    <row r="68" spans="1:18" s="92" customFormat="1" ht="29.25" customHeight="1">
      <c r="A68" s="117">
        <v>67</v>
      </c>
      <c r="B68" s="148" t="s">
        <v>483</v>
      </c>
      <c r="C68" s="118" t="s">
        <v>89</v>
      </c>
      <c r="D68" s="119">
        <v>192406</v>
      </c>
      <c r="E68" s="93">
        <v>66</v>
      </c>
      <c r="F68" s="162" t="s">
        <v>542</v>
      </c>
      <c r="G68" s="94" t="s">
        <v>541</v>
      </c>
      <c r="H68" s="95">
        <v>12947.2</v>
      </c>
      <c r="J68" s="106">
        <v>66</v>
      </c>
      <c r="K68" s="175" t="s">
        <v>88</v>
      </c>
      <c r="L68" s="99" t="s">
        <v>87</v>
      </c>
      <c r="M68" s="107">
        <v>1011.5</v>
      </c>
      <c r="O68" s="106">
        <v>66</v>
      </c>
      <c r="P68" s="98" t="s">
        <v>88</v>
      </c>
      <c r="Q68" s="99" t="s">
        <v>87</v>
      </c>
      <c r="R68" s="107">
        <v>1011.5</v>
      </c>
    </row>
    <row r="69" spans="1:18" s="92" customFormat="1" ht="29.25" customHeight="1">
      <c r="A69" s="117">
        <v>68</v>
      </c>
      <c r="B69" s="148" t="s">
        <v>484</v>
      </c>
      <c r="C69" s="118" t="s">
        <v>89</v>
      </c>
      <c r="D69" s="119">
        <v>222852</v>
      </c>
      <c r="E69" s="93">
        <v>67</v>
      </c>
      <c r="F69" s="162" t="s">
        <v>191</v>
      </c>
      <c r="G69" s="94" t="s">
        <v>19</v>
      </c>
      <c r="H69" s="95">
        <v>1218.56</v>
      </c>
      <c r="J69" s="106">
        <v>67</v>
      </c>
      <c r="K69" s="175" t="s">
        <v>195</v>
      </c>
      <c r="L69" s="99" t="s">
        <v>89</v>
      </c>
      <c r="M69" s="107">
        <v>199801</v>
      </c>
      <c r="O69" s="106">
        <v>67</v>
      </c>
      <c r="P69" s="98" t="s">
        <v>195</v>
      </c>
      <c r="Q69" s="99" t="s">
        <v>89</v>
      </c>
      <c r="R69" s="107">
        <v>199801</v>
      </c>
    </row>
    <row r="70" spans="1:18" s="92" customFormat="1" ht="29.25" customHeight="1">
      <c r="A70" s="117">
        <v>69</v>
      </c>
      <c r="B70" s="148" t="s">
        <v>485</v>
      </c>
      <c r="C70" s="118" t="s">
        <v>90</v>
      </c>
      <c r="D70" s="119">
        <v>63443</v>
      </c>
      <c r="E70" s="93">
        <v>68</v>
      </c>
      <c r="F70" s="162" t="s">
        <v>192</v>
      </c>
      <c r="G70" s="94" t="s">
        <v>19</v>
      </c>
      <c r="H70" s="95">
        <v>1218.56</v>
      </c>
      <c r="J70" s="106">
        <v>68</v>
      </c>
      <c r="K70" s="175" t="s">
        <v>196</v>
      </c>
      <c r="L70" s="99" t="s">
        <v>89</v>
      </c>
      <c r="M70" s="107">
        <v>226100</v>
      </c>
      <c r="O70" s="106">
        <v>68</v>
      </c>
      <c r="P70" s="98" t="s">
        <v>196</v>
      </c>
      <c r="Q70" s="99" t="s">
        <v>89</v>
      </c>
      <c r="R70" s="107">
        <v>226100</v>
      </c>
    </row>
    <row r="71" spans="1:18" s="92" customFormat="1" ht="29.25" customHeight="1">
      <c r="A71" s="117">
        <v>70</v>
      </c>
      <c r="B71" s="148" t="s">
        <v>486</v>
      </c>
      <c r="C71" s="118" t="s">
        <v>39</v>
      </c>
      <c r="D71" s="119">
        <v>11310</v>
      </c>
      <c r="E71" s="93">
        <v>69</v>
      </c>
      <c r="F71" s="162" t="s">
        <v>193</v>
      </c>
      <c r="G71" s="94" t="s">
        <v>482</v>
      </c>
      <c r="H71" s="95">
        <v>3105.9</v>
      </c>
      <c r="J71" s="106">
        <v>69</v>
      </c>
      <c r="K71" s="175" t="s">
        <v>197</v>
      </c>
      <c r="L71" s="99" t="s">
        <v>90</v>
      </c>
      <c r="M71" s="107">
        <v>84490</v>
      </c>
      <c r="O71" s="106">
        <v>69</v>
      </c>
      <c r="P71" s="98" t="s">
        <v>197</v>
      </c>
      <c r="Q71" s="99" t="s">
        <v>90</v>
      </c>
      <c r="R71" s="107">
        <v>84490</v>
      </c>
    </row>
    <row r="72" spans="1:18" s="92" customFormat="1" ht="29.25" customHeight="1">
      <c r="A72" s="117">
        <v>71</v>
      </c>
      <c r="B72" s="148" t="s">
        <v>92</v>
      </c>
      <c r="C72" s="118" t="s">
        <v>93</v>
      </c>
      <c r="D72" s="119">
        <v>26998</v>
      </c>
      <c r="E72" s="93">
        <v>70</v>
      </c>
      <c r="F72" s="162" t="s">
        <v>88</v>
      </c>
      <c r="G72" s="94" t="s">
        <v>87</v>
      </c>
      <c r="H72" s="95">
        <v>1694.56</v>
      </c>
      <c r="J72" s="106">
        <v>70</v>
      </c>
      <c r="K72" s="175" t="s">
        <v>573</v>
      </c>
      <c r="L72" s="99" t="s">
        <v>39</v>
      </c>
      <c r="M72" s="107">
        <v>9520</v>
      </c>
      <c r="O72" s="106">
        <v>70</v>
      </c>
      <c r="P72" s="98" t="s">
        <v>573</v>
      </c>
      <c r="Q72" s="99" t="s">
        <v>39</v>
      </c>
      <c r="R72" s="107">
        <v>9520</v>
      </c>
    </row>
    <row r="73" spans="1:18" s="92" customFormat="1" ht="29.25" customHeight="1">
      <c r="A73" s="117">
        <v>72</v>
      </c>
      <c r="B73" s="148" t="s">
        <v>487</v>
      </c>
      <c r="C73" s="118" t="s">
        <v>90</v>
      </c>
      <c r="D73" s="119">
        <v>78826</v>
      </c>
      <c r="E73" s="93">
        <v>71</v>
      </c>
      <c r="F73" s="162" t="s">
        <v>483</v>
      </c>
      <c r="G73" s="94" t="s">
        <v>89</v>
      </c>
      <c r="H73" s="95">
        <v>244188</v>
      </c>
      <c r="J73" s="106">
        <v>71</v>
      </c>
      <c r="K73" s="175" t="s">
        <v>92</v>
      </c>
      <c r="L73" s="99" t="s">
        <v>93</v>
      </c>
      <c r="M73" s="107">
        <v>26180</v>
      </c>
      <c r="O73" s="106">
        <v>71</v>
      </c>
      <c r="P73" s="98" t="s">
        <v>92</v>
      </c>
      <c r="Q73" s="99" t="s">
        <v>93</v>
      </c>
      <c r="R73" s="107">
        <v>26180</v>
      </c>
    </row>
    <row r="74" spans="1:18" s="92" customFormat="1" ht="29.25" customHeight="1">
      <c r="A74" s="117">
        <v>73</v>
      </c>
      <c r="B74" s="148" t="s">
        <v>94</v>
      </c>
      <c r="C74" s="118" t="s">
        <v>95</v>
      </c>
      <c r="D74" s="119">
        <v>331</v>
      </c>
      <c r="E74" s="93">
        <v>72</v>
      </c>
      <c r="F74" s="162" t="s">
        <v>484</v>
      </c>
      <c r="G74" s="94" t="s">
        <v>89</v>
      </c>
      <c r="H74" s="95">
        <v>257040</v>
      </c>
      <c r="J74" s="106">
        <v>72</v>
      </c>
      <c r="K74" s="175" t="s">
        <v>199</v>
      </c>
      <c r="L74" s="99" t="s">
        <v>48</v>
      </c>
      <c r="M74" s="107">
        <v>53550</v>
      </c>
      <c r="O74" s="106">
        <v>72</v>
      </c>
      <c r="P74" s="98" t="s">
        <v>199</v>
      </c>
      <c r="Q74" s="99" t="s">
        <v>48</v>
      </c>
      <c r="R74" s="107">
        <v>53550</v>
      </c>
    </row>
    <row r="75" spans="1:18" s="92" customFormat="1" ht="29.25" customHeight="1">
      <c r="A75" s="117">
        <v>74</v>
      </c>
      <c r="B75" s="148" t="s">
        <v>488</v>
      </c>
      <c r="C75" s="118" t="s">
        <v>19</v>
      </c>
      <c r="D75" s="119">
        <v>2729</v>
      </c>
      <c r="E75" s="93">
        <v>73</v>
      </c>
      <c r="F75" s="162" t="s">
        <v>543</v>
      </c>
      <c r="G75" s="94" t="s">
        <v>90</v>
      </c>
      <c r="H75" s="95">
        <v>49480.2</v>
      </c>
      <c r="J75" s="106">
        <v>73</v>
      </c>
      <c r="K75" s="175" t="s">
        <v>94</v>
      </c>
      <c r="L75" s="99" t="s">
        <v>95</v>
      </c>
      <c r="M75" s="107">
        <v>470</v>
      </c>
      <c r="O75" s="106">
        <v>73</v>
      </c>
      <c r="P75" s="98" t="s">
        <v>94</v>
      </c>
      <c r="Q75" s="99" t="s">
        <v>95</v>
      </c>
      <c r="R75" s="107">
        <v>470</v>
      </c>
    </row>
    <row r="76" spans="1:18" s="92" customFormat="1" ht="29.25" customHeight="1">
      <c r="A76" s="117">
        <v>75</v>
      </c>
      <c r="B76" s="148" t="s">
        <v>489</v>
      </c>
      <c r="C76" s="118" t="s">
        <v>19</v>
      </c>
      <c r="D76" s="119">
        <v>3348</v>
      </c>
      <c r="E76" s="93">
        <v>74</v>
      </c>
      <c r="F76" s="162" t="s">
        <v>486</v>
      </c>
      <c r="G76" s="94" t="s">
        <v>39</v>
      </c>
      <c r="H76" s="95">
        <v>7746.9</v>
      </c>
      <c r="J76" s="106">
        <v>74</v>
      </c>
      <c r="K76" s="175" t="s">
        <v>96</v>
      </c>
      <c r="L76" s="99" t="s">
        <v>19</v>
      </c>
      <c r="M76" s="107">
        <v>4165</v>
      </c>
      <c r="O76" s="106">
        <v>74</v>
      </c>
      <c r="P76" s="98" t="s">
        <v>96</v>
      </c>
      <c r="Q76" s="99" t="s">
        <v>19</v>
      </c>
      <c r="R76" s="107">
        <v>4165</v>
      </c>
    </row>
    <row r="77" spans="1:18" s="92" customFormat="1" ht="29.25" customHeight="1">
      <c r="A77" s="117">
        <v>76</v>
      </c>
      <c r="B77" s="148" t="s">
        <v>98</v>
      </c>
      <c r="C77" s="118" t="s">
        <v>19</v>
      </c>
      <c r="D77" s="119">
        <v>12666</v>
      </c>
      <c r="E77" s="93">
        <v>75</v>
      </c>
      <c r="F77" s="162" t="s">
        <v>92</v>
      </c>
      <c r="G77" s="94" t="s">
        <v>93</v>
      </c>
      <c r="H77" s="95">
        <v>26046.720000000001</v>
      </c>
      <c r="J77" s="106">
        <v>75</v>
      </c>
      <c r="K77" s="175" t="s">
        <v>97</v>
      </c>
      <c r="L77" s="99" t="s">
        <v>19</v>
      </c>
      <c r="M77" s="107">
        <v>5950</v>
      </c>
      <c r="O77" s="106">
        <v>75</v>
      </c>
      <c r="P77" s="98" t="s">
        <v>97</v>
      </c>
      <c r="Q77" s="99" t="s">
        <v>19</v>
      </c>
      <c r="R77" s="107">
        <v>5950</v>
      </c>
    </row>
    <row r="78" spans="1:18" s="92" customFormat="1" ht="29.25" customHeight="1">
      <c r="A78" s="117">
        <v>77</v>
      </c>
      <c r="B78" s="148" t="s">
        <v>490</v>
      </c>
      <c r="C78" s="118" t="s">
        <v>19</v>
      </c>
      <c r="D78" s="119">
        <v>84734</v>
      </c>
      <c r="E78" s="93">
        <v>76</v>
      </c>
      <c r="F78" s="162" t="s">
        <v>199</v>
      </c>
      <c r="G78" s="94" t="s">
        <v>48</v>
      </c>
      <c r="H78" s="95">
        <v>23978.5</v>
      </c>
      <c r="J78" s="106">
        <v>76</v>
      </c>
      <c r="K78" s="175" t="s">
        <v>98</v>
      </c>
      <c r="L78" s="99" t="s">
        <v>19</v>
      </c>
      <c r="M78" s="107">
        <v>14875</v>
      </c>
      <c r="O78" s="106">
        <v>76</v>
      </c>
      <c r="P78" s="98" t="s">
        <v>98</v>
      </c>
      <c r="Q78" s="99" t="s">
        <v>19</v>
      </c>
      <c r="R78" s="107">
        <v>14875</v>
      </c>
    </row>
    <row r="79" spans="1:18" s="92" customFormat="1" ht="29.25" customHeight="1">
      <c r="A79" s="117">
        <v>78</v>
      </c>
      <c r="B79" s="148" t="s">
        <v>491</v>
      </c>
      <c r="C79" s="118" t="s">
        <v>19</v>
      </c>
      <c r="D79" s="119">
        <v>36171</v>
      </c>
      <c r="E79" s="93">
        <v>77</v>
      </c>
      <c r="F79" s="162" t="s">
        <v>94</v>
      </c>
      <c r="G79" s="94" t="s">
        <v>95</v>
      </c>
      <c r="H79" s="95">
        <v>384</v>
      </c>
      <c r="J79" s="106">
        <v>77</v>
      </c>
      <c r="K79" s="175" t="s">
        <v>99</v>
      </c>
      <c r="L79" s="99" t="s">
        <v>19</v>
      </c>
      <c r="M79" s="107">
        <v>59500</v>
      </c>
      <c r="O79" s="106">
        <v>77</v>
      </c>
      <c r="P79" s="98" t="s">
        <v>99</v>
      </c>
      <c r="Q79" s="99" t="s">
        <v>19</v>
      </c>
      <c r="R79" s="107">
        <v>59500</v>
      </c>
    </row>
    <row r="80" spans="1:18" s="92" customFormat="1" ht="29.25" customHeight="1">
      <c r="A80" s="117">
        <v>79</v>
      </c>
      <c r="B80" s="148" t="s">
        <v>492</v>
      </c>
      <c r="C80" s="118" t="s">
        <v>19</v>
      </c>
      <c r="D80" s="119">
        <v>4519</v>
      </c>
      <c r="E80" s="93">
        <v>78</v>
      </c>
      <c r="F80" s="162" t="s">
        <v>544</v>
      </c>
      <c r="G80" s="94" t="s">
        <v>19</v>
      </c>
      <c r="H80" s="95">
        <v>3962.7</v>
      </c>
      <c r="J80" s="106">
        <v>78</v>
      </c>
      <c r="K80" s="175" t="s">
        <v>100</v>
      </c>
      <c r="L80" s="99" t="s">
        <v>19</v>
      </c>
      <c r="M80" s="107">
        <v>28560</v>
      </c>
      <c r="O80" s="106">
        <v>78</v>
      </c>
      <c r="P80" s="98" t="s">
        <v>100</v>
      </c>
      <c r="Q80" s="99" t="s">
        <v>19</v>
      </c>
      <c r="R80" s="107">
        <v>28560</v>
      </c>
    </row>
    <row r="81" spans="1:18" s="92" customFormat="1" ht="41.7" customHeight="1">
      <c r="A81" s="117">
        <v>80</v>
      </c>
      <c r="B81" s="148" t="s">
        <v>104</v>
      </c>
      <c r="C81" s="118" t="s">
        <v>102</v>
      </c>
      <c r="D81" s="119">
        <v>19985</v>
      </c>
      <c r="E81" s="93">
        <v>79</v>
      </c>
      <c r="F81" s="162" t="s">
        <v>489</v>
      </c>
      <c r="G81" s="94" t="s">
        <v>19</v>
      </c>
      <c r="H81" s="95">
        <v>3579.52</v>
      </c>
      <c r="J81" s="106">
        <v>79</v>
      </c>
      <c r="K81" s="175" t="s">
        <v>101</v>
      </c>
      <c r="L81" s="99" t="s">
        <v>102</v>
      </c>
      <c r="M81" s="107">
        <v>4760</v>
      </c>
      <c r="O81" s="106">
        <v>79</v>
      </c>
      <c r="P81" s="98" t="s">
        <v>101</v>
      </c>
      <c r="Q81" s="99" t="s">
        <v>102</v>
      </c>
      <c r="R81" s="107">
        <v>4760</v>
      </c>
    </row>
    <row r="82" spans="1:18" s="92" customFormat="1" ht="29.25" customHeight="1">
      <c r="A82" s="117">
        <v>81</v>
      </c>
      <c r="B82" s="148" t="s">
        <v>105</v>
      </c>
      <c r="C82" s="118" t="s">
        <v>102</v>
      </c>
      <c r="D82" s="119">
        <v>19985</v>
      </c>
      <c r="E82" s="93">
        <v>80</v>
      </c>
      <c r="F82" s="162" t="s">
        <v>98</v>
      </c>
      <c r="G82" s="94" t="s">
        <v>19</v>
      </c>
      <c r="H82" s="95">
        <v>13209</v>
      </c>
      <c r="J82" s="106">
        <v>80</v>
      </c>
      <c r="K82" s="175" t="s">
        <v>103</v>
      </c>
      <c r="L82" s="99" t="s">
        <v>102</v>
      </c>
      <c r="M82" s="107">
        <v>4760</v>
      </c>
      <c r="O82" s="106">
        <v>80</v>
      </c>
      <c r="P82" s="98" t="s">
        <v>103</v>
      </c>
      <c r="Q82" s="99" t="s">
        <v>102</v>
      </c>
      <c r="R82" s="107">
        <v>4760</v>
      </c>
    </row>
    <row r="83" spans="1:18" s="92" customFormat="1" ht="29.25" customHeight="1">
      <c r="A83" s="117">
        <v>82</v>
      </c>
      <c r="B83" s="148" t="s">
        <v>106</v>
      </c>
      <c r="C83" s="118" t="s">
        <v>102</v>
      </c>
      <c r="D83" s="119">
        <v>16023</v>
      </c>
      <c r="E83" s="93">
        <v>81</v>
      </c>
      <c r="F83" s="162" t="s">
        <v>490</v>
      </c>
      <c r="G83" s="94" t="s">
        <v>19</v>
      </c>
      <c r="H83" s="95">
        <v>28203</v>
      </c>
      <c r="J83" s="106">
        <v>81</v>
      </c>
      <c r="K83" s="175" t="s">
        <v>104</v>
      </c>
      <c r="L83" s="99" t="s">
        <v>102</v>
      </c>
      <c r="M83" s="107">
        <v>20230</v>
      </c>
      <c r="O83" s="106">
        <v>81</v>
      </c>
      <c r="P83" s="98" t="s">
        <v>104</v>
      </c>
      <c r="Q83" s="99" t="s">
        <v>102</v>
      </c>
      <c r="R83" s="107">
        <v>20230</v>
      </c>
    </row>
    <row r="84" spans="1:18" s="92" customFormat="1" ht="29.25" customHeight="1">
      <c r="A84" s="117">
        <v>83</v>
      </c>
      <c r="B84" s="148" t="s">
        <v>107</v>
      </c>
      <c r="C84" s="118" t="s">
        <v>19</v>
      </c>
      <c r="D84" s="119">
        <v>1431</v>
      </c>
      <c r="E84" s="93">
        <v>82</v>
      </c>
      <c r="F84" s="162" t="s">
        <v>100</v>
      </c>
      <c r="G84" s="94" t="s">
        <v>19</v>
      </c>
      <c r="H84" s="95">
        <v>23562</v>
      </c>
      <c r="J84" s="106">
        <v>82</v>
      </c>
      <c r="K84" s="175" t="s">
        <v>105</v>
      </c>
      <c r="L84" s="99" t="s">
        <v>102</v>
      </c>
      <c r="M84" s="107">
        <v>17255</v>
      </c>
      <c r="O84" s="106">
        <v>82</v>
      </c>
      <c r="P84" s="98" t="s">
        <v>105</v>
      </c>
      <c r="Q84" s="99" t="s">
        <v>102</v>
      </c>
      <c r="R84" s="107">
        <v>17255</v>
      </c>
    </row>
    <row r="85" spans="1:18" s="92" customFormat="1" ht="29.25" customHeight="1">
      <c r="A85" s="117">
        <v>84</v>
      </c>
      <c r="B85" s="148" t="s">
        <v>493</v>
      </c>
      <c r="C85" s="118" t="s">
        <v>19</v>
      </c>
      <c r="D85" s="119">
        <v>1205</v>
      </c>
      <c r="E85" s="93">
        <v>83</v>
      </c>
      <c r="F85" s="162" t="s">
        <v>545</v>
      </c>
      <c r="G85" s="94" t="s">
        <v>102</v>
      </c>
      <c r="H85" s="95">
        <v>5087.25</v>
      </c>
      <c r="J85" s="106">
        <v>83</v>
      </c>
      <c r="K85" s="175" t="s">
        <v>106</v>
      </c>
      <c r="L85" s="99" t="s">
        <v>102</v>
      </c>
      <c r="M85" s="107">
        <v>9520</v>
      </c>
      <c r="O85" s="106">
        <v>83</v>
      </c>
      <c r="P85" s="98" t="s">
        <v>106</v>
      </c>
      <c r="Q85" s="99" t="s">
        <v>102</v>
      </c>
      <c r="R85" s="107">
        <v>9520</v>
      </c>
    </row>
    <row r="86" spans="1:18" s="92" customFormat="1" ht="29.25" customHeight="1">
      <c r="A86" s="117">
        <v>85</v>
      </c>
      <c r="B86" s="148" t="s">
        <v>494</v>
      </c>
      <c r="C86" s="118" t="s">
        <v>19</v>
      </c>
      <c r="D86" s="119">
        <v>1423</v>
      </c>
      <c r="E86" s="93">
        <v>84</v>
      </c>
      <c r="F86" s="162" t="s">
        <v>546</v>
      </c>
      <c r="G86" s="94" t="s">
        <v>102</v>
      </c>
      <c r="H86" s="95">
        <v>5087.25</v>
      </c>
      <c r="J86" s="106">
        <v>84</v>
      </c>
      <c r="K86" s="175" t="s">
        <v>107</v>
      </c>
      <c r="L86" s="99" t="s">
        <v>19</v>
      </c>
      <c r="M86" s="107">
        <v>1178.0999999999999</v>
      </c>
      <c r="O86" s="106">
        <v>84</v>
      </c>
      <c r="P86" s="98" t="s">
        <v>107</v>
      </c>
      <c r="Q86" s="99" t="s">
        <v>19</v>
      </c>
      <c r="R86" s="107">
        <v>1178.0999999999999</v>
      </c>
    </row>
    <row r="87" spans="1:18" s="92" customFormat="1" ht="29.25" customHeight="1">
      <c r="A87" s="117">
        <v>86</v>
      </c>
      <c r="B87" s="148" t="s">
        <v>109</v>
      </c>
      <c r="C87" s="118" t="s">
        <v>19</v>
      </c>
      <c r="D87" s="119">
        <v>624</v>
      </c>
      <c r="E87" s="93">
        <v>85</v>
      </c>
      <c r="F87" s="162" t="s">
        <v>104</v>
      </c>
      <c r="G87" s="94" t="s">
        <v>102</v>
      </c>
      <c r="H87" s="95">
        <v>14994</v>
      </c>
      <c r="J87" s="106">
        <v>85</v>
      </c>
      <c r="K87" s="175" t="s">
        <v>108</v>
      </c>
      <c r="L87" s="99" t="s">
        <v>19</v>
      </c>
      <c r="M87" s="107">
        <v>1547</v>
      </c>
      <c r="O87" s="106">
        <v>85</v>
      </c>
      <c r="P87" s="98" t="s">
        <v>108</v>
      </c>
      <c r="Q87" s="99" t="s">
        <v>19</v>
      </c>
      <c r="R87" s="107">
        <v>1547</v>
      </c>
    </row>
    <row r="88" spans="1:18" s="92" customFormat="1" ht="29.25" customHeight="1">
      <c r="A88" s="117">
        <v>87</v>
      </c>
      <c r="B88" s="148" t="s">
        <v>495</v>
      </c>
      <c r="C88" s="118" t="s">
        <v>473</v>
      </c>
      <c r="D88" s="119">
        <v>12112</v>
      </c>
      <c r="E88" s="93">
        <v>86</v>
      </c>
      <c r="F88" s="162" t="s">
        <v>105</v>
      </c>
      <c r="G88" s="94" t="s">
        <v>102</v>
      </c>
      <c r="H88" s="95">
        <v>15351</v>
      </c>
      <c r="J88" s="106">
        <v>86</v>
      </c>
      <c r="K88" s="175" t="s">
        <v>200</v>
      </c>
      <c r="L88" s="99" t="s">
        <v>19</v>
      </c>
      <c r="M88" s="107">
        <v>1666</v>
      </c>
      <c r="O88" s="106">
        <v>86</v>
      </c>
      <c r="P88" s="98" t="s">
        <v>200</v>
      </c>
      <c r="Q88" s="99" t="s">
        <v>19</v>
      </c>
      <c r="R88" s="107">
        <v>1666</v>
      </c>
    </row>
    <row r="89" spans="1:18" s="92" customFormat="1" ht="29.25" customHeight="1">
      <c r="A89" s="117">
        <v>88</v>
      </c>
      <c r="B89" s="148" t="s">
        <v>111</v>
      </c>
      <c r="C89" s="118" t="s">
        <v>19</v>
      </c>
      <c r="D89" s="119">
        <v>8782</v>
      </c>
      <c r="E89" s="93">
        <v>87</v>
      </c>
      <c r="F89" s="162" t="s">
        <v>106</v>
      </c>
      <c r="G89" s="94" t="s">
        <v>102</v>
      </c>
      <c r="H89" s="95">
        <v>7387.52</v>
      </c>
      <c r="J89" s="106">
        <v>87</v>
      </c>
      <c r="K89" s="175" t="s">
        <v>109</v>
      </c>
      <c r="L89" s="99" t="s">
        <v>19</v>
      </c>
      <c r="M89" s="107">
        <v>1165.01</v>
      </c>
      <c r="O89" s="106">
        <v>87</v>
      </c>
      <c r="P89" s="98" t="s">
        <v>109</v>
      </c>
      <c r="Q89" s="99" t="s">
        <v>19</v>
      </c>
      <c r="R89" s="107">
        <v>1165.01</v>
      </c>
    </row>
    <row r="90" spans="1:18" s="92" customFormat="1" ht="29.25" customHeight="1">
      <c r="A90" s="117">
        <v>89</v>
      </c>
      <c r="B90" s="148" t="s">
        <v>496</v>
      </c>
      <c r="C90" s="118" t="s">
        <v>19</v>
      </c>
      <c r="D90" s="119">
        <v>50309</v>
      </c>
      <c r="E90" s="93">
        <v>88</v>
      </c>
      <c r="F90" s="162" t="s">
        <v>107</v>
      </c>
      <c r="G90" s="94" t="s">
        <v>19</v>
      </c>
      <c r="H90" s="95">
        <v>3659.25</v>
      </c>
      <c r="J90" s="106">
        <v>88</v>
      </c>
      <c r="K90" s="175" t="s">
        <v>110</v>
      </c>
      <c r="L90" s="99" t="s">
        <v>77</v>
      </c>
      <c r="M90" s="107">
        <v>13685</v>
      </c>
      <c r="O90" s="106">
        <v>88</v>
      </c>
      <c r="P90" s="98" t="s">
        <v>110</v>
      </c>
      <c r="Q90" s="99" t="s">
        <v>77</v>
      </c>
      <c r="R90" s="107">
        <v>13685</v>
      </c>
    </row>
    <row r="91" spans="1:18" s="92" customFormat="1" ht="29.25" customHeight="1">
      <c r="A91" s="117">
        <v>90</v>
      </c>
      <c r="B91" s="148" t="s">
        <v>497</v>
      </c>
      <c r="C91" s="118" t="s">
        <v>19</v>
      </c>
      <c r="D91" s="119">
        <v>2404</v>
      </c>
      <c r="E91" s="93">
        <v>89</v>
      </c>
      <c r="F91" s="162" t="s">
        <v>108</v>
      </c>
      <c r="G91" s="94" t="s">
        <v>19</v>
      </c>
      <c r="H91" s="95">
        <v>1767.15</v>
      </c>
      <c r="J91" s="106">
        <v>89</v>
      </c>
      <c r="K91" s="175" t="s">
        <v>111</v>
      </c>
      <c r="L91" s="99" t="s">
        <v>19</v>
      </c>
      <c r="M91" s="107">
        <v>9163</v>
      </c>
      <c r="O91" s="106">
        <v>89</v>
      </c>
      <c r="P91" s="98" t="s">
        <v>111</v>
      </c>
      <c r="Q91" s="99" t="s">
        <v>19</v>
      </c>
      <c r="R91" s="107">
        <v>9163</v>
      </c>
    </row>
    <row r="92" spans="1:18" s="92" customFormat="1" ht="29.25" customHeight="1">
      <c r="A92" s="117">
        <v>91</v>
      </c>
      <c r="B92" s="148" t="s">
        <v>498</v>
      </c>
      <c r="C92" s="118" t="s">
        <v>232</v>
      </c>
      <c r="D92" s="119">
        <v>512</v>
      </c>
      <c r="E92" s="93">
        <v>90</v>
      </c>
      <c r="F92" s="162" t="s">
        <v>547</v>
      </c>
      <c r="G92" s="94" t="s">
        <v>19</v>
      </c>
      <c r="H92" s="95">
        <v>1767.15</v>
      </c>
      <c r="J92" s="106">
        <v>90</v>
      </c>
      <c r="K92" s="175" t="s">
        <v>201</v>
      </c>
      <c r="L92" s="99" t="s">
        <v>19</v>
      </c>
      <c r="M92" s="107">
        <v>2368.1</v>
      </c>
      <c r="O92" s="106">
        <v>90</v>
      </c>
      <c r="P92" s="98" t="s">
        <v>201</v>
      </c>
      <c r="Q92" s="99" t="s">
        <v>19</v>
      </c>
      <c r="R92" s="107">
        <v>2368.1</v>
      </c>
    </row>
    <row r="93" spans="1:18" s="92" customFormat="1" ht="29.25" customHeight="1">
      <c r="A93" s="117">
        <v>92</v>
      </c>
      <c r="B93" s="148" t="s">
        <v>202</v>
      </c>
      <c r="C93" s="118" t="s">
        <v>43</v>
      </c>
      <c r="D93" s="119">
        <v>12649</v>
      </c>
      <c r="E93" s="93">
        <v>91</v>
      </c>
      <c r="F93" s="162" t="s">
        <v>109</v>
      </c>
      <c r="G93" s="94" t="s">
        <v>19</v>
      </c>
      <c r="H93" s="95">
        <v>685.44</v>
      </c>
      <c r="J93" s="106">
        <v>91</v>
      </c>
      <c r="K93" s="175" t="s">
        <v>112</v>
      </c>
      <c r="L93" s="99" t="s">
        <v>43</v>
      </c>
      <c r="M93" s="107">
        <v>19040</v>
      </c>
      <c r="O93" s="106">
        <v>91</v>
      </c>
      <c r="P93" s="98" t="s">
        <v>112</v>
      </c>
      <c r="Q93" s="99" t="s">
        <v>43</v>
      </c>
      <c r="R93" s="107">
        <v>19040</v>
      </c>
    </row>
    <row r="94" spans="1:18" s="92" customFormat="1" ht="29.25" customHeight="1">
      <c r="A94" s="117">
        <v>93</v>
      </c>
      <c r="B94" s="148" t="s">
        <v>113</v>
      </c>
      <c r="C94" s="118" t="s">
        <v>43</v>
      </c>
      <c r="D94" s="119">
        <v>12701</v>
      </c>
      <c r="E94" s="93">
        <v>92</v>
      </c>
      <c r="F94" s="162" t="s">
        <v>548</v>
      </c>
      <c r="G94" s="94" t="s">
        <v>541</v>
      </c>
      <c r="H94" s="95">
        <v>12947.2</v>
      </c>
      <c r="J94" s="106">
        <v>92</v>
      </c>
      <c r="K94" s="175" t="s">
        <v>202</v>
      </c>
      <c r="L94" s="99" t="s">
        <v>43</v>
      </c>
      <c r="M94" s="107">
        <v>23681</v>
      </c>
      <c r="O94" s="106">
        <v>92</v>
      </c>
      <c r="P94" s="98" t="s">
        <v>202</v>
      </c>
      <c r="Q94" s="99" t="s">
        <v>43</v>
      </c>
      <c r="R94" s="107">
        <v>23681</v>
      </c>
    </row>
    <row r="95" spans="1:18" s="92" customFormat="1" ht="29.25" customHeight="1">
      <c r="A95" s="117">
        <v>94</v>
      </c>
      <c r="B95" s="148" t="s">
        <v>114</v>
      </c>
      <c r="C95" s="118" t="s">
        <v>115</v>
      </c>
      <c r="D95" s="119">
        <v>11212</v>
      </c>
      <c r="E95" s="93">
        <v>93</v>
      </c>
      <c r="F95" s="162" t="s">
        <v>111</v>
      </c>
      <c r="G95" s="94" t="s">
        <v>19</v>
      </c>
      <c r="H95" s="95">
        <v>10357.76</v>
      </c>
      <c r="J95" s="106">
        <v>93</v>
      </c>
      <c r="K95" s="175" t="s">
        <v>113</v>
      </c>
      <c r="L95" s="99" t="s">
        <v>43</v>
      </c>
      <c r="M95" s="107">
        <v>14280</v>
      </c>
      <c r="O95" s="106">
        <v>93</v>
      </c>
      <c r="P95" s="98" t="s">
        <v>113</v>
      </c>
      <c r="Q95" s="99" t="s">
        <v>43</v>
      </c>
      <c r="R95" s="107">
        <v>14280</v>
      </c>
    </row>
    <row r="96" spans="1:18" s="92" customFormat="1" ht="29.25" customHeight="1">
      <c r="A96" s="117">
        <v>95</v>
      </c>
      <c r="B96" s="148" t="s">
        <v>499</v>
      </c>
      <c r="C96" s="118" t="s">
        <v>115</v>
      </c>
      <c r="D96" s="119">
        <v>10851</v>
      </c>
      <c r="E96" s="93">
        <v>94</v>
      </c>
      <c r="F96" s="162" t="s">
        <v>549</v>
      </c>
      <c r="G96" s="94" t="s">
        <v>19</v>
      </c>
      <c r="H96" s="95">
        <v>40698</v>
      </c>
      <c r="J96" s="106">
        <v>94</v>
      </c>
      <c r="K96" s="175" t="s">
        <v>114</v>
      </c>
      <c r="L96" s="99" t="s">
        <v>115</v>
      </c>
      <c r="M96" s="107">
        <v>11900</v>
      </c>
      <c r="O96" s="106">
        <v>94</v>
      </c>
      <c r="P96" s="98" t="s">
        <v>114</v>
      </c>
      <c r="Q96" s="99" t="s">
        <v>115</v>
      </c>
      <c r="R96" s="107">
        <v>11900</v>
      </c>
    </row>
    <row r="97" spans="1:18" s="92" customFormat="1" ht="29.25" customHeight="1">
      <c r="A97" s="117">
        <v>96</v>
      </c>
      <c r="B97" s="148" t="s">
        <v>117</v>
      </c>
      <c r="C97" s="118" t="s">
        <v>43</v>
      </c>
      <c r="D97" s="119">
        <v>15123</v>
      </c>
      <c r="E97" s="93">
        <v>95</v>
      </c>
      <c r="F97" s="162" t="s">
        <v>497</v>
      </c>
      <c r="G97" s="94" t="s">
        <v>19</v>
      </c>
      <c r="H97" s="95">
        <v>2208.64</v>
      </c>
      <c r="J97" s="106">
        <v>95</v>
      </c>
      <c r="K97" s="175" t="s">
        <v>116</v>
      </c>
      <c r="L97" s="99" t="s">
        <v>115</v>
      </c>
      <c r="M97" s="107">
        <v>9520</v>
      </c>
      <c r="O97" s="106">
        <v>95</v>
      </c>
      <c r="P97" s="98" t="s">
        <v>116</v>
      </c>
      <c r="Q97" s="99" t="s">
        <v>115</v>
      </c>
      <c r="R97" s="107">
        <v>9520</v>
      </c>
    </row>
    <row r="98" spans="1:18" s="92" customFormat="1" ht="29.25" customHeight="1">
      <c r="A98" s="117">
        <v>97</v>
      </c>
      <c r="B98" s="148" t="s">
        <v>500</v>
      </c>
      <c r="C98" s="118" t="s">
        <v>19</v>
      </c>
      <c r="D98" s="119">
        <v>5791</v>
      </c>
      <c r="E98" s="93">
        <v>96</v>
      </c>
      <c r="F98" s="162" t="s">
        <v>112</v>
      </c>
      <c r="G98" s="94" t="s">
        <v>43</v>
      </c>
      <c r="H98" s="95">
        <v>24371.200000000001</v>
      </c>
      <c r="J98" s="106">
        <v>96</v>
      </c>
      <c r="K98" s="175" t="s">
        <v>117</v>
      </c>
      <c r="L98" s="99" t="s">
        <v>43</v>
      </c>
      <c r="M98" s="107">
        <v>16065</v>
      </c>
      <c r="O98" s="106">
        <v>96</v>
      </c>
      <c r="P98" s="98" t="s">
        <v>117</v>
      </c>
      <c r="Q98" s="99" t="s">
        <v>43</v>
      </c>
      <c r="R98" s="107">
        <v>16065</v>
      </c>
    </row>
    <row r="99" spans="1:18" s="92" customFormat="1" ht="29.25" customHeight="1">
      <c r="A99" s="117">
        <v>98</v>
      </c>
      <c r="B99" s="148" t="s">
        <v>501</v>
      </c>
      <c r="C99" s="118" t="s">
        <v>19</v>
      </c>
      <c r="D99" s="119">
        <v>26891</v>
      </c>
      <c r="E99" s="93">
        <v>97</v>
      </c>
      <c r="F99" s="162" t="s">
        <v>202</v>
      </c>
      <c r="G99" s="94" t="s">
        <v>43</v>
      </c>
      <c r="H99" s="95">
        <v>27667.5</v>
      </c>
      <c r="J99" s="106">
        <v>97</v>
      </c>
      <c r="K99" s="175" t="s">
        <v>118</v>
      </c>
      <c r="L99" s="99" t="s">
        <v>19</v>
      </c>
      <c r="M99" s="107">
        <v>8318.1</v>
      </c>
      <c r="O99" s="106">
        <v>97</v>
      </c>
      <c r="P99" s="98" t="s">
        <v>118</v>
      </c>
      <c r="Q99" s="99" t="s">
        <v>19</v>
      </c>
      <c r="R99" s="107">
        <v>8318.1</v>
      </c>
    </row>
    <row r="100" spans="1:18" s="92" customFormat="1" ht="29.25" customHeight="1">
      <c r="A100" s="117">
        <v>99</v>
      </c>
      <c r="B100" s="148" t="s">
        <v>502</v>
      </c>
      <c r="C100" s="118" t="s">
        <v>19</v>
      </c>
      <c r="D100" s="119">
        <v>51119</v>
      </c>
      <c r="E100" s="93">
        <v>98</v>
      </c>
      <c r="F100" s="162" t="s">
        <v>113</v>
      </c>
      <c r="G100" s="94" t="s">
        <v>43</v>
      </c>
      <c r="H100" s="95">
        <v>12947.2</v>
      </c>
      <c r="J100" s="106">
        <v>98</v>
      </c>
      <c r="K100" s="175" t="s">
        <v>574</v>
      </c>
      <c r="L100" s="99" t="s">
        <v>19</v>
      </c>
      <c r="M100" s="107">
        <v>71400</v>
      </c>
      <c r="O100" s="106">
        <v>98</v>
      </c>
      <c r="P100" s="98" t="s">
        <v>574</v>
      </c>
      <c r="Q100" s="99" t="s">
        <v>19</v>
      </c>
      <c r="R100" s="107">
        <v>71400</v>
      </c>
    </row>
    <row r="101" spans="1:18" s="92" customFormat="1" ht="29.25" customHeight="1">
      <c r="A101" s="117">
        <v>100</v>
      </c>
      <c r="B101" s="148" t="s">
        <v>120</v>
      </c>
      <c r="C101" s="118" t="s">
        <v>19</v>
      </c>
      <c r="D101" s="119">
        <v>33012</v>
      </c>
      <c r="E101" s="93">
        <v>99</v>
      </c>
      <c r="F101" s="162" t="s">
        <v>114</v>
      </c>
      <c r="G101" s="94" t="s">
        <v>115</v>
      </c>
      <c r="H101" s="95">
        <v>16362.5</v>
      </c>
      <c r="J101" s="106">
        <v>99</v>
      </c>
      <c r="K101" s="175" t="s">
        <v>203</v>
      </c>
      <c r="L101" s="99" t="s">
        <v>19</v>
      </c>
      <c r="M101" s="107">
        <v>65450</v>
      </c>
      <c r="O101" s="106">
        <v>99</v>
      </c>
      <c r="P101" s="98" t="s">
        <v>203</v>
      </c>
      <c r="Q101" s="99" t="s">
        <v>19</v>
      </c>
      <c r="R101" s="107">
        <v>65450</v>
      </c>
    </row>
    <row r="102" spans="1:18" s="92" customFormat="1" ht="29.25" customHeight="1">
      <c r="A102" s="117">
        <v>101</v>
      </c>
      <c r="B102" s="148" t="s">
        <v>205</v>
      </c>
      <c r="C102" s="118" t="s">
        <v>503</v>
      </c>
      <c r="D102" s="119">
        <v>4955</v>
      </c>
      <c r="E102" s="93">
        <v>100</v>
      </c>
      <c r="F102" s="162" t="s">
        <v>116</v>
      </c>
      <c r="G102" s="94" t="s">
        <v>115</v>
      </c>
      <c r="H102" s="95">
        <v>18290.3</v>
      </c>
      <c r="J102" s="106">
        <v>100</v>
      </c>
      <c r="K102" s="175" t="s">
        <v>204</v>
      </c>
      <c r="L102" s="99" t="s">
        <v>19</v>
      </c>
      <c r="M102" s="107">
        <v>83181</v>
      </c>
      <c r="O102" s="106">
        <v>100</v>
      </c>
      <c r="P102" s="98" t="s">
        <v>204</v>
      </c>
      <c r="Q102" s="99" t="s">
        <v>19</v>
      </c>
      <c r="R102" s="107">
        <v>83181</v>
      </c>
    </row>
    <row r="103" spans="1:18" s="92" customFormat="1" ht="29.25" customHeight="1">
      <c r="A103" s="117">
        <v>102</v>
      </c>
      <c r="B103" s="148" t="s">
        <v>121</v>
      </c>
      <c r="C103" s="118" t="s">
        <v>504</v>
      </c>
      <c r="D103" s="119">
        <v>21217</v>
      </c>
      <c r="E103" s="93">
        <v>101</v>
      </c>
      <c r="F103" s="162" t="s">
        <v>117</v>
      </c>
      <c r="G103" s="94" t="s">
        <v>43</v>
      </c>
      <c r="H103" s="95">
        <v>14458.5</v>
      </c>
      <c r="J103" s="106">
        <v>101</v>
      </c>
      <c r="K103" s="175" t="s">
        <v>120</v>
      </c>
      <c r="L103" s="99" t="s">
        <v>19</v>
      </c>
      <c r="M103" s="107">
        <v>95081</v>
      </c>
      <c r="O103" s="106">
        <v>101</v>
      </c>
      <c r="P103" s="98" t="s">
        <v>120</v>
      </c>
      <c r="Q103" s="99" t="s">
        <v>19</v>
      </c>
      <c r="R103" s="107">
        <v>95081</v>
      </c>
    </row>
    <row r="104" spans="1:18" s="92" customFormat="1" ht="29.25" customHeight="1">
      <c r="A104" s="117">
        <v>103</v>
      </c>
      <c r="B104" s="148" t="s">
        <v>505</v>
      </c>
      <c r="C104" s="118" t="s">
        <v>43</v>
      </c>
      <c r="D104" s="119">
        <v>46121</v>
      </c>
      <c r="E104" s="93">
        <v>102</v>
      </c>
      <c r="F104" s="162" t="s">
        <v>550</v>
      </c>
      <c r="G104" s="94" t="s">
        <v>19</v>
      </c>
      <c r="H104" s="95">
        <v>5407.36</v>
      </c>
      <c r="J104" s="106">
        <v>102</v>
      </c>
      <c r="K104" s="175" t="s">
        <v>205</v>
      </c>
      <c r="L104" s="99" t="s">
        <v>31</v>
      </c>
      <c r="M104" s="107">
        <v>12852</v>
      </c>
      <c r="O104" s="106">
        <v>102</v>
      </c>
      <c r="P104" s="98" t="s">
        <v>205</v>
      </c>
      <c r="Q104" s="99" t="s">
        <v>31</v>
      </c>
      <c r="R104" s="107">
        <v>12852</v>
      </c>
    </row>
    <row r="105" spans="1:18" s="92" customFormat="1" ht="29.25" customHeight="1">
      <c r="A105" s="117">
        <v>104</v>
      </c>
      <c r="B105" s="148" t="s">
        <v>122</v>
      </c>
      <c r="C105" s="118" t="s">
        <v>19</v>
      </c>
      <c r="D105" s="119">
        <v>4158</v>
      </c>
      <c r="E105" s="93">
        <v>103</v>
      </c>
      <c r="F105" s="162" t="s">
        <v>551</v>
      </c>
      <c r="G105" s="94" t="s">
        <v>19</v>
      </c>
      <c r="H105" s="95">
        <v>62653.5</v>
      </c>
      <c r="J105" s="106">
        <v>103</v>
      </c>
      <c r="K105" s="175" t="s">
        <v>121</v>
      </c>
      <c r="L105" s="99" t="s">
        <v>33</v>
      </c>
      <c r="M105" s="107">
        <v>17850</v>
      </c>
      <c r="O105" s="106">
        <v>103</v>
      </c>
      <c r="P105" s="98" t="s">
        <v>121</v>
      </c>
      <c r="Q105" s="99" t="s">
        <v>33</v>
      </c>
      <c r="R105" s="107">
        <v>17850</v>
      </c>
    </row>
    <row r="106" spans="1:18" s="92" customFormat="1" ht="29.25" customHeight="1">
      <c r="A106" s="117">
        <v>105</v>
      </c>
      <c r="B106" s="148" t="s">
        <v>123</v>
      </c>
      <c r="C106" s="118" t="s">
        <v>19</v>
      </c>
      <c r="D106" s="119">
        <v>1876</v>
      </c>
      <c r="E106" s="93">
        <v>104</v>
      </c>
      <c r="F106" s="162" t="s">
        <v>552</v>
      </c>
      <c r="G106" s="94" t="s">
        <v>19</v>
      </c>
      <c r="H106" s="95">
        <v>44506</v>
      </c>
      <c r="J106" s="106">
        <v>104</v>
      </c>
      <c r="K106" s="175" t="s">
        <v>206</v>
      </c>
      <c r="L106" s="99" t="s">
        <v>43</v>
      </c>
      <c r="M106" s="107">
        <v>47600</v>
      </c>
      <c r="O106" s="106">
        <v>104</v>
      </c>
      <c r="P106" s="98" t="s">
        <v>206</v>
      </c>
      <c r="Q106" s="99" t="s">
        <v>43</v>
      </c>
      <c r="R106" s="107">
        <v>47600</v>
      </c>
    </row>
    <row r="107" spans="1:18" s="92" customFormat="1" ht="29.25" customHeight="1">
      <c r="A107" s="117">
        <v>106</v>
      </c>
      <c r="B107" s="148" t="s">
        <v>506</v>
      </c>
      <c r="C107" s="118" t="s">
        <v>19</v>
      </c>
      <c r="D107" s="119">
        <v>140044</v>
      </c>
      <c r="E107" s="93">
        <v>105</v>
      </c>
      <c r="F107" s="162" t="s">
        <v>120</v>
      </c>
      <c r="G107" s="94" t="s">
        <v>19</v>
      </c>
      <c r="H107" s="95">
        <v>75416.25</v>
      </c>
      <c r="J107" s="106">
        <v>105</v>
      </c>
      <c r="K107" s="175" t="s">
        <v>122</v>
      </c>
      <c r="L107" s="99" t="s">
        <v>19</v>
      </c>
      <c r="M107" s="107">
        <v>4165</v>
      </c>
      <c r="O107" s="106">
        <v>105</v>
      </c>
      <c r="P107" s="98" t="s">
        <v>122</v>
      </c>
      <c r="Q107" s="99" t="s">
        <v>19</v>
      </c>
      <c r="R107" s="107">
        <v>4165</v>
      </c>
    </row>
    <row r="108" spans="1:18" s="92" customFormat="1" ht="29.25" customHeight="1">
      <c r="A108" s="117">
        <v>107</v>
      </c>
      <c r="B108" s="148" t="s">
        <v>507</v>
      </c>
      <c r="C108" s="118" t="s">
        <v>19</v>
      </c>
      <c r="D108" s="119">
        <v>140044</v>
      </c>
      <c r="E108" s="93">
        <v>106</v>
      </c>
      <c r="F108" s="162" t="s">
        <v>205</v>
      </c>
      <c r="G108" s="94" t="s">
        <v>31</v>
      </c>
      <c r="H108" s="95">
        <v>10967.04</v>
      </c>
      <c r="J108" s="106">
        <v>106</v>
      </c>
      <c r="K108" s="175" t="s">
        <v>123</v>
      </c>
      <c r="L108" s="99" t="s">
        <v>19</v>
      </c>
      <c r="M108" s="107">
        <v>1905.1899999999998</v>
      </c>
      <c r="O108" s="106">
        <v>106</v>
      </c>
      <c r="P108" s="98" t="s">
        <v>123</v>
      </c>
      <c r="Q108" s="99" t="s">
        <v>19</v>
      </c>
      <c r="R108" s="107">
        <v>1905.1899999999998</v>
      </c>
    </row>
    <row r="109" spans="1:18" s="92" customFormat="1" ht="29.25" customHeight="1">
      <c r="A109" s="117">
        <v>108</v>
      </c>
      <c r="B109" s="148" t="s">
        <v>508</v>
      </c>
      <c r="C109" s="118" t="s">
        <v>19</v>
      </c>
      <c r="D109" s="119">
        <v>140044</v>
      </c>
      <c r="E109" s="93">
        <v>107</v>
      </c>
      <c r="F109" s="162" t="s">
        <v>121</v>
      </c>
      <c r="G109" s="94" t="s">
        <v>553</v>
      </c>
      <c r="H109" s="95">
        <v>8834.56</v>
      </c>
      <c r="J109" s="106">
        <v>107</v>
      </c>
      <c r="K109" s="175" t="s">
        <v>554</v>
      </c>
      <c r="L109" s="99" t="s">
        <v>19</v>
      </c>
      <c r="M109" s="107">
        <v>821100</v>
      </c>
      <c r="O109" s="106">
        <v>107</v>
      </c>
      <c r="P109" s="98" t="s">
        <v>554</v>
      </c>
      <c r="Q109" s="99" t="s">
        <v>19</v>
      </c>
      <c r="R109" s="107">
        <v>821100</v>
      </c>
    </row>
    <row r="110" spans="1:18" s="92" customFormat="1" ht="29.25" customHeight="1">
      <c r="A110" s="117">
        <v>109</v>
      </c>
      <c r="B110" s="148" t="s">
        <v>509</v>
      </c>
      <c r="C110" s="118" t="s">
        <v>19</v>
      </c>
      <c r="D110" s="119">
        <v>2369</v>
      </c>
      <c r="E110" s="93">
        <v>108</v>
      </c>
      <c r="F110" s="162" t="s">
        <v>206</v>
      </c>
      <c r="G110" s="94" t="s">
        <v>43</v>
      </c>
      <c r="H110" s="95">
        <v>41412</v>
      </c>
      <c r="J110" s="106">
        <v>108</v>
      </c>
      <c r="K110" s="175" t="s">
        <v>125</v>
      </c>
      <c r="L110" s="99" t="s">
        <v>19</v>
      </c>
      <c r="M110" s="107">
        <v>940100</v>
      </c>
      <c r="O110" s="106">
        <v>108</v>
      </c>
      <c r="P110" s="98" t="s">
        <v>125</v>
      </c>
      <c r="Q110" s="99" t="s">
        <v>19</v>
      </c>
      <c r="R110" s="107">
        <v>940100</v>
      </c>
    </row>
    <row r="111" spans="1:18" s="92" customFormat="1" ht="29.25" customHeight="1">
      <c r="A111" s="117">
        <v>110</v>
      </c>
      <c r="B111" s="148" t="s">
        <v>510</v>
      </c>
      <c r="C111" s="118" t="s">
        <v>90</v>
      </c>
      <c r="D111" s="119">
        <v>72346</v>
      </c>
      <c r="E111" s="93">
        <v>109</v>
      </c>
      <c r="F111" s="162" t="s">
        <v>122</v>
      </c>
      <c r="G111" s="94" t="s">
        <v>19</v>
      </c>
      <c r="H111" s="95">
        <v>4645.76</v>
      </c>
      <c r="J111" s="106">
        <v>109</v>
      </c>
      <c r="K111" s="175" t="s">
        <v>126</v>
      </c>
      <c r="L111" s="99" t="s">
        <v>19</v>
      </c>
      <c r="M111" s="107">
        <v>372470</v>
      </c>
      <c r="O111" s="106">
        <v>109</v>
      </c>
      <c r="P111" s="98" t="s">
        <v>556</v>
      </c>
      <c r="Q111" s="99" t="s">
        <v>19</v>
      </c>
      <c r="R111" s="107">
        <v>372470</v>
      </c>
    </row>
    <row r="112" spans="1:18" ht="14.4" customHeight="1">
      <c r="A112" s="120"/>
      <c r="B112" s="315" t="s">
        <v>511</v>
      </c>
      <c r="C112" s="316"/>
      <c r="D112" s="121"/>
      <c r="E112" s="93">
        <v>110</v>
      </c>
      <c r="F112" s="162" t="s">
        <v>123</v>
      </c>
      <c r="G112" s="94" t="s">
        <v>19</v>
      </c>
      <c r="H112" s="95">
        <v>1523.2</v>
      </c>
      <c r="J112" s="106">
        <v>110</v>
      </c>
      <c r="K112" s="175" t="s">
        <v>127</v>
      </c>
      <c r="L112" s="99" t="s">
        <v>19</v>
      </c>
      <c r="M112" s="107">
        <v>372470</v>
      </c>
      <c r="O112" s="106">
        <v>110</v>
      </c>
      <c r="P112" s="98" t="s">
        <v>557</v>
      </c>
      <c r="Q112" s="99" t="s">
        <v>19</v>
      </c>
      <c r="R112" s="107">
        <v>372470</v>
      </c>
    </row>
    <row r="113" spans="1:18" ht="14.4" customHeight="1">
      <c r="A113" s="120"/>
      <c r="B113" s="317" t="s">
        <v>512</v>
      </c>
      <c r="C113" s="318"/>
      <c r="D113" s="122">
        <f>SUM(D3:D111)</f>
        <v>3143111</v>
      </c>
      <c r="E113" s="93">
        <v>111</v>
      </c>
      <c r="F113" s="163" t="s">
        <v>554</v>
      </c>
      <c r="G113" s="94" t="s">
        <v>19</v>
      </c>
      <c r="H113" s="95">
        <v>440300</v>
      </c>
      <c r="J113" s="106">
        <v>111</v>
      </c>
      <c r="K113" s="175" t="s">
        <v>128</v>
      </c>
      <c r="L113" s="99" t="s">
        <v>19</v>
      </c>
      <c r="M113" s="107">
        <v>372470</v>
      </c>
      <c r="O113" s="106">
        <v>111</v>
      </c>
      <c r="P113" s="98" t="s">
        <v>558</v>
      </c>
      <c r="Q113" s="99" t="s">
        <v>19</v>
      </c>
      <c r="R113" s="107">
        <v>372470</v>
      </c>
    </row>
    <row r="114" spans="1:18" ht="14.4" customHeight="1">
      <c r="A114" s="89"/>
      <c r="B114" s="89"/>
      <c r="C114" s="89"/>
      <c r="D114" s="89"/>
      <c r="E114" s="93">
        <v>112</v>
      </c>
      <c r="F114" s="158" t="s">
        <v>555</v>
      </c>
      <c r="G114" s="94" t="s">
        <v>19</v>
      </c>
      <c r="H114" s="95">
        <v>352240</v>
      </c>
      <c r="J114" s="106">
        <v>112</v>
      </c>
      <c r="K114" s="175" t="s">
        <v>129</v>
      </c>
      <c r="L114" s="99" t="s">
        <v>19</v>
      </c>
      <c r="M114" s="107">
        <v>372470</v>
      </c>
      <c r="O114" s="106">
        <v>112</v>
      </c>
      <c r="P114" s="98" t="s">
        <v>559</v>
      </c>
      <c r="Q114" s="99" t="s">
        <v>19</v>
      </c>
      <c r="R114" s="107">
        <v>372470</v>
      </c>
    </row>
    <row r="115" spans="1:18" ht="14.4" customHeight="1">
      <c r="A115" s="89"/>
      <c r="B115" s="89"/>
      <c r="C115" s="89"/>
      <c r="D115" s="89"/>
      <c r="E115" s="93">
        <v>113</v>
      </c>
      <c r="F115" s="158" t="s">
        <v>556</v>
      </c>
      <c r="G115" s="94" t="s">
        <v>19</v>
      </c>
      <c r="H115" s="95">
        <v>352240</v>
      </c>
      <c r="J115" s="106">
        <v>113</v>
      </c>
      <c r="K115" s="175" t="s">
        <v>566</v>
      </c>
      <c r="L115" s="99" t="s">
        <v>19</v>
      </c>
      <c r="M115" s="107">
        <v>3034.5</v>
      </c>
      <c r="O115" s="106">
        <v>113</v>
      </c>
      <c r="P115" s="98" t="s">
        <v>566</v>
      </c>
      <c r="Q115" s="99" t="s">
        <v>19</v>
      </c>
      <c r="R115" s="107">
        <v>3034.5</v>
      </c>
    </row>
    <row r="116" spans="1:18" ht="14.4" customHeight="1">
      <c r="A116" s="89"/>
      <c r="B116" s="90"/>
      <c r="C116" s="89"/>
      <c r="D116" s="89"/>
      <c r="E116" s="93">
        <v>114</v>
      </c>
      <c r="F116" s="158" t="s">
        <v>557</v>
      </c>
      <c r="G116" s="94" t="s">
        <v>19</v>
      </c>
      <c r="H116" s="95">
        <v>352240</v>
      </c>
      <c r="J116" s="106">
        <v>114</v>
      </c>
      <c r="K116" s="175" t="s">
        <v>567</v>
      </c>
      <c r="L116" s="99" t="s">
        <v>19</v>
      </c>
      <c r="M116" s="107">
        <v>3034.5</v>
      </c>
      <c r="O116" s="106">
        <v>114</v>
      </c>
      <c r="P116" s="98" t="s">
        <v>567</v>
      </c>
      <c r="Q116" s="99" t="s">
        <v>19</v>
      </c>
      <c r="R116" s="107">
        <v>3034.5</v>
      </c>
    </row>
    <row r="117" spans="1:18" ht="15" customHeight="1">
      <c r="A117" s="89"/>
      <c r="B117" s="90"/>
      <c r="C117" s="89"/>
      <c r="D117" s="89"/>
      <c r="E117" s="93">
        <v>115</v>
      </c>
      <c r="F117" s="158" t="s">
        <v>558</v>
      </c>
      <c r="G117" s="94" t="s">
        <v>19</v>
      </c>
      <c r="H117" s="95">
        <v>352240</v>
      </c>
      <c r="J117" s="106">
        <v>115</v>
      </c>
      <c r="K117" s="175" t="s">
        <v>132</v>
      </c>
      <c r="L117" s="99" t="s">
        <v>48</v>
      </c>
      <c r="M117" s="107">
        <v>34800.36</v>
      </c>
      <c r="O117" s="106">
        <v>115</v>
      </c>
      <c r="P117" s="98" t="s">
        <v>132</v>
      </c>
      <c r="Q117" s="99" t="s">
        <v>48</v>
      </c>
      <c r="R117" s="107">
        <v>34800.36</v>
      </c>
    </row>
    <row r="118" spans="1:18" ht="26.25" customHeight="1">
      <c r="A118" s="89"/>
      <c r="B118" s="90" t="s">
        <v>513</v>
      </c>
      <c r="C118" s="89"/>
      <c r="D118" s="89"/>
      <c r="E118" s="93">
        <v>116</v>
      </c>
      <c r="F118" s="158" t="s">
        <v>559</v>
      </c>
      <c r="G118" s="94" t="s">
        <v>19</v>
      </c>
      <c r="H118" s="95">
        <v>352240</v>
      </c>
      <c r="J118" s="310" t="s">
        <v>511</v>
      </c>
      <c r="K118" s="311"/>
      <c r="L118" s="311"/>
      <c r="M118" s="100"/>
      <c r="O118" s="310" t="s">
        <v>511</v>
      </c>
      <c r="P118" s="311"/>
      <c r="Q118" s="311"/>
      <c r="R118" s="100"/>
    </row>
    <row r="119" spans="1:18" ht="26.25" customHeight="1">
      <c r="A119" s="89"/>
      <c r="B119" s="90" t="s">
        <v>169</v>
      </c>
      <c r="C119" s="89"/>
      <c r="D119" s="89"/>
      <c r="E119" s="93">
        <v>117</v>
      </c>
      <c r="F119" s="157" t="s">
        <v>560</v>
      </c>
      <c r="G119" s="94" t="s">
        <v>19</v>
      </c>
      <c r="H119" s="95">
        <v>352240</v>
      </c>
      <c r="J119" s="312" t="s">
        <v>512</v>
      </c>
      <c r="K119" s="313"/>
      <c r="L119" s="314"/>
      <c r="M119" s="101">
        <v>6999000.4600000009</v>
      </c>
      <c r="O119" s="312" t="s">
        <v>512</v>
      </c>
      <c r="P119" s="313"/>
      <c r="Q119" s="314"/>
      <c r="R119" s="101">
        <v>6999000.4600000009</v>
      </c>
    </row>
    <row r="120" spans="1:18" ht="15" customHeight="1">
      <c r="A120" s="89"/>
      <c r="B120" s="90" t="s">
        <v>514</v>
      </c>
      <c r="C120" s="89"/>
      <c r="D120" s="89"/>
      <c r="E120" s="93">
        <v>118</v>
      </c>
      <c r="F120" s="157" t="s">
        <v>561</v>
      </c>
      <c r="G120" s="94" t="s">
        <v>19</v>
      </c>
      <c r="H120" s="95">
        <v>352240</v>
      </c>
      <c r="J120" s="102"/>
      <c r="K120" s="103"/>
      <c r="L120" s="102"/>
      <c r="M120" s="103"/>
      <c r="O120" s="102"/>
      <c r="P120" s="102"/>
      <c r="Q120" s="102"/>
      <c r="R120" s="103"/>
    </row>
    <row r="121" spans="1:18" ht="14.4" customHeight="1">
      <c r="A121" s="89"/>
      <c r="B121" s="90" t="s">
        <v>515</v>
      </c>
      <c r="C121" s="89"/>
      <c r="D121" s="89"/>
      <c r="E121" s="93">
        <v>119</v>
      </c>
      <c r="F121" s="157" t="s">
        <v>562</v>
      </c>
      <c r="G121" s="94" t="s">
        <v>19</v>
      </c>
      <c r="H121" s="95">
        <v>352240</v>
      </c>
      <c r="J121" s="144" t="s">
        <v>575</v>
      </c>
      <c r="K121" s="173"/>
      <c r="L121" s="144"/>
      <c r="M121" s="144"/>
      <c r="O121" s="144" t="s">
        <v>575</v>
      </c>
      <c r="P121" s="144"/>
      <c r="Q121" s="144"/>
      <c r="R121" s="144"/>
    </row>
    <row r="122" spans="1:18" ht="14.4" customHeight="1">
      <c r="A122" s="89"/>
      <c r="B122" s="90" t="s">
        <v>516</v>
      </c>
      <c r="C122" s="89"/>
      <c r="D122" s="89"/>
      <c r="E122" s="93">
        <v>120</v>
      </c>
      <c r="F122" s="157" t="s">
        <v>563</v>
      </c>
      <c r="G122" s="94" t="s">
        <v>19</v>
      </c>
      <c r="H122" s="95">
        <v>352240</v>
      </c>
    </row>
    <row r="123" spans="1:18" ht="14.4" customHeight="1">
      <c r="A123" s="89"/>
      <c r="B123" s="90" t="s">
        <v>517</v>
      </c>
      <c r="C123" s="89"/>
      <c r="D123" s="89"/>
      <c r="E123" s="93">
        <v>121</v>
      </c>
      <c r="F123" s="157" t="s">
        <v>564</v>
      </c>
      <c r="G123" s="94" t="s">
        <v>19</v>
      </c>
      <c r="H123" s="95">
        <v>352240</v>
      </c>
    </row>
    <row r="124" spans="1:18" ht="14.4" customHeight="1">
      <c r="A124" s="89"/>
      <c r="B124" s="90" t="s">
        <v>518</v>
      </c>
      <c r="C124" s="89"/>
      <c r="D124" s="89"/>
      <c r="E124" s="93">
        <v>122</v>
      </c>
      <c r="F124" s="157" t="s">
        <v>565</v>
      </c>
      <c r="G124" s="94" t="s">
        <v>19</v>
      </c>
      <c r="H124" s="95">
        <v>352240</v>
      </c>
    </row>
    <row r="125" spans="1:18" ht="14.4" customHeight="1">
      <c r="A125" s="89"/>
      <c r="B125" s="91" t="s">
        <v>519</v>
      </c>
      <c r="C125" s="89"/>
      <c r="D125" s="89"/>
      <c r="E125" s="93">
        <v>123</v>
      </c>
      <c r="F125" s="157" t="s">
        <v>566</v>
      </c>
      <c r="G125" s="94" t="s">
        <v>19</v>
      </c>
      <c r="H125" s="95">
        <v>2208.64</v>
      </c>
    </row>
    <row r="126" spans="1:18" ht="14.4" customHeight="1">
      <c r="E126" s="93">
        <v>124</v>
      </c>
      <c r="F126" s="157" t="s">
        <v>567</v>
      </c>
      <c r="G126" s="94" t="s">
        <v>19</v>
      </c>
      <c r="H126" s="95">
        <v>2208.64</v>
      </c>
    </row>
    <row r="127" spans="1:18" ht="14.4" customHeight="1">
      <c r="E127" s="93">
        <v>125</v>
      </c>
      <c r="F127" s="157" t="s">
        <v>510</v>
      </c>
      <c r="G127" s="94" t="s">
        <v>48</v>
      </c>
      <c r="H127" s="95">
        <v>57881.599999999999</v>
      </c>
    </row>
    <row r="128" spans="1:18" ht="26.4">
      <c r="E128" s="159" t="s">
        <v>568</v>
      </c>
      <c r="F128" s="160"/>
      <c r="G128" s="161"/>
      <c r="H128" s="97">
        <f>SUM(H3:H127)</f>
        <v>7746166.6319999993</v>
      </c>
    </row>
    <row r="129" spans="1:19"/>
    <row r="130" spans="1:19"/>
    <row r="131" spans="1:19" s="140" customFormat="1">
      <c r="K131" s="174"/>
    </row>
    <row r="132" spans="1:19"/>
    <row r="133" spans="1:19" ht="21">
      <c r="C133" s="141" t="s">
        <v>600</v>
      </c>
      <c r="S133" s="292" t="s">
        <v>792</v>
      </c>
    </row>
    <row r="134" spans="1:19"/>
    <row r="135" spans="1:19" ht="14.4" customHeight="1">
      <c r="E135" s="169"/>
      <c r="F135" s="169"/>
      <c r="G135" s="169"/>
      <c r="H135" s="169"/>
      <c r="I135" s="169"/>
      <c r="J135" s="169"/>
    </row>
    <row r="136" spans="1:19" ht="28.8">
      <c r="A136" s="149" t="s">
        <v>14</v>
      </c>
      <c r="B136" s="149" t="s">
        <v>15</v>
      </c>
      <c r="C136" s="149" t="s">
        <v>16</v>
      </c>
      <c r="D136" s="290" t="s">
        <v>601</v>
      </c>
      <c r="E136" s="290" t="s">
        <v>602</v>
      </c>
      <c r="F136" s="290" t="s">
        <v>608</v>
      </c>
      <c r="G136" s="290" t="s">
        <v>609</v>
      </c>
      <c r="H136" s="290" t="s">
        <v>610</v>
      </c>
      <c r="I136" s="290" t="s">
        <v>611</v>
      </c>
      <c r="J136" s="290" t="s">
        <v>613</v>
      </c>
      <c r="K136" s="291" t="s">
        <v>612</v>
      </c>
      <c r="L136" s="204"/>
      <c r="M136" s="205"/>
    </row>
    <row r="137" spans="1:19" ht="14.4" hidden="1" customHeight="1">
      <c r="A137" s="7">
        <v>1</v>
      </c>
      <c r="B137" s="150" t="s">
        <v>175</v>
      </c>
      <c r="C137" s="177" t="s">
        <v>19</v>
      </c>
      <c r="D137" s="187"/>
      <c r="E137" s="170"/>
      <c r="F137" s="171"/>
      <c r="G137" s="171"/>
      <c r="H137" s="171"/>
      <c r="I137" s="171"/>
      <c r="J137" s="172"/>
      <c r="K137" s="176"/>
      <c r="L137" s="199">
        <f>'PRECIOS UNITARIOS TECHO'!N11</f>
        <v>30340</v>
      </c>
      <c r="M137" s="200">
        <f>K137*L137</f>
        <v>0</v>
      </c>
    </row>
    <row r="138" spans="1:19" ht="14.4" customHeight="1">
      <c r="A138" s="3">
        <v>2</v>
      </c>
      <c r="B138" s="146" t="s">
        <v>20</v>
      </c>
      <c r="C138" s="178" t="s">
        <v>19</v>
      </c>
      <c r="D138" s="187">
        <v>10</v>
      </c>
      <c r="E138" s="170">
        <v>10</v>
      </c>
      <c r="F138" s="171">
        <v>10</v>
      </c>
      <c r="G138" s="171">
        <v>10</v>
      </c>
      <c r="H138" s="171">
        <v>10</v>
      </c>
      <c r="I138" s="171"/>
      <c r="J138" s="172"/>
      <c r="K138" s="170">
        <f t="shared" ref="K138:K151" si="0">AVERAGE(D138:J138)</f>
        <v>10</v>
      </c>
      <c r="L138" s="212"/>
      <c r="M138" s="206"/>
    </row>
    <row r="139" spans="1:19" ht="14.4" customHeight="1">
      <c r="A139" s="3">
        <v>3</v>
      </c>
      <c r="B139" s="146" t="s">
        <v>21</v>
      </c>
      <c r="C139" s="178" t="s">
        <v>19</v>
      </c>
      <c r="D139" s="187"/>
      <c r="E139" s="170"/>
      <c r="F139" s="171">
        <v>20</v>
      </c>
      <c r="G139" s="171">
        <v>15</v>
      </c>
      <c r="H139" s="171">
        <v>15</v>
      </c>
      <c r="I139" s="171"/>
      <c r="J139" s="172"/>
      <c r="K139" s="170">
        <f t="shared" si="0"/>
        <v>16.666666666666668</v>
      </c>
      <c r="L139" s="212"/>
      <c r="M139" s="206"/>
      <c r="S139" s="293">
        <v>3213</v>
      </c>
    </row>
    <row r="140" spans="1:19" ht="14.4" customHeight="1">
      <c r="A140" s="3">
        <v>4</v>
      </c>
      <c r="B140" s="146" t="s">
        <v>22</v>
      </c>
      <c r="C140" s="178" t="s">
        <v>23</v>
      </c>
      <c r="D140" s="187">
        <v>50</v>
      </c>
      <c r="E140" s="170">
        <v>50</v>
      </c>
      <c r="F140" s="171">
        <v>50</v>
      </c>
      <c r="G140" s="171"/>
      <c r="H140" s="171"/>
      <c r="I140" s="171"/>
      <c r="J140" s="172">
        <v>151</v>
      </c>
      <c r="K140" s="170">
        <f t="shared" si="0"/>
        <v>75.25</v>
      </c>
      <c r="L140" s="212"/>
      <c r="M140" s="206"/>
      <c r="S140" s="293">
        <v>1903</v>
      </c>
    </row>
    <row r="141" spans="1:19" ht="14.4" customHeight="1">
      <c r="A141" s="3">
        <v>5</v>
      </c>
      <c r="B141" s="146" t="s">
        <v>176</v>
      </c>
      <c r="C141" s="178" t="s">
        <v>24</v>
      </c>
      <c r="D141" s="187">
        <v>15</v>
      </c>
      <c r="E141" s="170"/>
      <c r="F141" s="171"/>
      <c r="G141" s="171"/>
      <c r="H141" s="171"/>
      <c r="I141" s="171"/>
      <c r="J141" s="172"/>
      <c r="K141" s="170">
        <f t="shared" si="0"/>
        <v>15</v>
      </c>
      <c r="L141" s="212"/>
      <c r="M141" s="206"/>
      <c r="S141" s="293">
        <v>1547</v>
      </c>
    </row>
    <row r="142" spans="1:19" ht="14.4" customHeight="1">
      <c r="A142" s="3">
        <v>6</v>
      </c>
      <c r="B142" s="146" t="s">
        <v>25</v>
      </c>
      <c r="C142" s="178" t="s">
        <v>19</v>
      </c>
      <c r="D142" s="187">
        <v>5</v>
      </c>
      <c r="E142" s="170">
        <v>10</v>
      </c>
      <c r="F142" s="171">
        <v>20</v>
      </c>
      <c r="G142" s="171">
        <v>20</v>
      </c>
      <c r="H142" s="171">
        <v>20</v>
      </c>
      <c r="I142" s="171"/>
      <c r="J142" s="172">
        <v>25</v>
      </c>
      <c r="K142" s="170">
        <f t="shared" si="0"/>
        <v>16.666666666666668</v>
      </c>
      <c r="L142" s="212"/>
      <c r="M142" s="206"/>
    </row>
    <row r="143" spans="1:19" ht="14.4" customHeight="1">
      <c r="A143" s="3">
        <v>7</v>
      </c>
      <c r="B143" s="146" t="s">
        <v>26</v>
      </c>
      <c r="C143" s="178" t="s">
        <v>19</v>
      </c>
      <c r="D143" s="187">
        <v>10</v>
      </c>
      <c r="E143" s="170">
        <v>20</v>
      </c>
      <c r="F143" s="171">
        <v>20</v>
      </c>
      <c r="G143" s="171"/>
      <c r="H143" s="171"/>
      <c r="I143" s="171"/>
      <c r="J143" s="172">
        <v>30</v>
      </c>
      <c r="K143" s="170">
        <f t="shared" si="0"/>
        <v>20</v>
      </c>
      <c r="L143" s="212"/>
      <c r="M143" s="206"/>
    </row>
    <row r="144" spans="1:19" ht="14.4" hidden="1" customHeight="1">
      <c r="A144" s="3">
        <v>8</v>
      </c>
      <c r="B144" s="146" t="s">
        <v>27</v>
      </c>
      <c r="C144" s="178" t="s">
        <v>19</v>
      </c>
      <c r="D144" s="187"/>
      <c r="E144" s="170"/>
      <c r="F144" s="171"/>
      <c r="G144" s="171"/>
      <c r="H144" s="171"/>
      <c r="I144" s="171"/>
      <c r="J144" s="172"/>
      <c r="K144" s="170"/>
      <c r="L144" s="199">
        <f>'PRECIOS UNITARIOS TECHO'!N18</f>
        <v>4796</v>
      </c>
      <c r="M144" s="200">
        <f t="shared" ref="M144:M199" si="1">K144*L144</f>
        <v>0</v>
      </c>
    </row>
    <row r="145" spans="1:13" ht="14.4" customHeight="1">
      <c r="A145" s="3">
        <v>9</v>
      </c>
      <c r="B145" s="146" t="s">
        <v>28</v>
      </c>
      <c r="C145" s="178" t="s">
        <v>19</v>
      </c>
      <c r="D145" s="187">
        <v>100</v>
      </c>
      <c r="E145" s="170">
        <v>200</v>
      </c>
      <c r="F145" s="171">
        <v>200</v>
      </c>
      <c r="G145" s="171">
        <v>200</v>
      </c>
      <c r="H145" s="171">
        <v>200</v>
      </c>
      <c r="I145" s="171"/>
      <c r="J145" s="172">
        <v>300</v>
      </c>
      <c r="K145" s="170">
        <f t="shared" si="0"/>
        <v>200</v>
      </c>
      <c r="L145" s="212"/>
      <c r="M145" s="206"/>
    </row>
    <row r="146" spans="1:13" ht="14.4" customHeight="1">
      <c r="A146" s="3">
        <v>10</v>
      </c>
      <c r="B146" s="146" t="s">
        <v>29</v>
      </c>
      <c r="C146" s="178" t="s">
        <v>19</v>
      </c>
      <c r="D146" s="187"/>
      <c r="E146" s="170">
        <v>50</v>
      </c>
      <c r="F146" s="171">
        <v>50</v>
      </c>
      <c r="G146" s="171">
        <v>100</v>
      </c>
      <c r="H146" s="171">
        <v>100</v>
      </c>
      <c r="I146" s="171"/>
      <c r="J146" s="172">
        <v>50</v>
      </c>
      <c r="K146" s="170">
        <f t="shared" si="0"/>
        <v>70</v>
      </c>
      <c r="L146" s="212"/>
      <c r="M146" s="206"/>
    </row>
    <row r="147" spans="1:13" ht="14.4" customHeight="1">
      <c r="A147" s="3">
        <v>11</v>
      </c>
      <c r="B147" s="146" t="s">
        <v>30</v>
      </c>
      <c r="C147" s="178" t="s">
        <v>31</v>
      </c>
      <c r="D147" s="187"/>
      <c r="E147" s="170"/>
      <c r="F147" s="171"/>
      <c r="G147" s="171">
        <v>8</v>
      </c>
      <c r="H147" s="171">
        <v>8</v>
      </c>
      <c r="I147" s="171"/>
      <c r="J147" s="172">
        <v>8</v>
      </c>
      <c r="K147" s="170">
        <f t="shared" si="0"/>
        <v>8</v>
      </c>
      <c r="L147" s="212"/>
      <c r="M147" s="206"/>
    </row>
    <row r="148" spans="1:13" ht="14.4" customHeight="1">
      <c r="A148" s="3">
        <v>12</v>
      </c>
      <c r="B148" s="146" t="s">
        <v>177</v>
      </c>
      <c r="C148" s="178" t="s">
        <v>19</v>
      </c>
      <c r="D148" s="187"/>
      <c r="E148" s="170">
        <v>10</v>
      </c>
      <c r="F148" s="171"/>
      <c r="G148" s="171"/>
      <c r="H148" s="171"/>
      <c r="I148" s="171"/>
      <c r="J148" s="172"/>
      <c r="K148" s="170">
        <f t="shared" si="0"/>
        <v>10</v>
      </c>
      <c r="L148" s="212"/>
      <c r="M148" s="206"/>
    </row>
    <row r="149" spans="1:13" ht="14.4" customHeight="1">
      <c r="A149" s="3">
        <v>13</v>
      </c>
      <c r="B149" s="146" t="s">
        <v>32</v>
      </c>
      <c r="C149" s="178" t="s">
        <v>33</v>
      </c>
      <c r="D149" s="187"/>
      <c r="E149" s="170">
        <v>4</v>
      </c>
      <c r="F149" s="171"/>
      <c r="G149" s="171">
        <v>10</v>
      </c>
      <c r="H149" s="171">
        <v>10</v>
      </c>
      <c r="I149" s="171"/>
      <c r="J149" s="172"/>
      <c r="K149" s="170">
        <f t="shared" si="0"/>
        <v>8</v>
      </c>
      <c r="L149" s="212"/>
      <c r="M149" s="206"/>
    </row>
    <row r="150" spans="1:13" ht="14.4" customHeight="1">
      <c r="A150" s="3">
        <v>14</v>
      </c>
      <c r="B150" s="146" t="s">
        <v>34</v>
      </c>
      <c r="C150" s="178" t="s">
        <v>19</v>
      </c>
      <c r="D150" s="187">
        <v>1</v>
      </c>
      <c r="E150" s="170"/>
      <c r="F150" s="171"/>
      <c r="G150" s="171"/>
      <c r="H150" s="171"/>
      <c r="I150" s="171"/>
      <c r="J150" s="172"/>
      <c r="K150" s="170">
        <f t="shared" si="0"/>
        <v>1</v>
      </c>
      <c r="L150" s="212"/>
      <c r="M150" s="206"/>
    </row>
    <row r="151" spans="1:13" ht="14.4" customHeight="1">
      <c r="A151" s="3">
        <v>15</v>
      </c>
      <c r="B151" s="146" t="s">
        <v>35</v>
      </c>
      <c r="C151" s="178" t="s">
        <v>19</v>
      </c>
      <c r="D151" s="187">
        <v>2</v>
      </c>
      <c r="E151" s="170"/>
      <c r="F151" s="171"/>
      <c r="G151" s="171"/>
      <c r="H151" s="171"/>
      <c r="I151" s="171"/>
      <c r="J151" s="172"/>
      <c r="K151" s="170">
        <f t="shared" si="0"/>
        <v>2</v>
      </c>
      <c r="L151" s="212"/>
      <c r="M151" s="206"/>
    </row>
    <row r="152" spans="1:13" ht="14.4" hidden="1" customHeight="1">
      <c r="A152" s="3">
        <v>16</v>
      </c>
      <c r="B152" s="146" t="s">
        <v>179</v>
      </c>
      <c r="C152" s="178" t="s">
        <v>19</v>
      </c>
      <c r="D152" s="187"/>
      <c r="E152" s="170"/>
      <c r="F152" s="171"/>
      <c r="G152" s="171"/>
      <c r="H152" s="171"/>
      <c r="I152" s="171"/>
      <c r="J152" s="172"/>
      <c r="K152" s="170"/>
      <c r="L152" s="201">
        <f>'PRECIOS UNITARIOS TECHO'!N26</f>
        <v>8793</v>
      </c>
      <c r="M152" s="202">
        <f t="shared" si="1"/>
        <v>0</v>
      </c>
    </row>
    <row r="153" spans="1:13" ht="14.4" hidden="1" customHeight="1">
      <c r="A153" s="3">
        <v>17</v>
      </c>
      <c r="B153" s="146" t="s">
        <v>180</v>
      </c>
      <c r="C153" s="178" t="s">
        <v>19</v>
      </c>
      <c r="D153" s="187"/>
      <c r="E153" s="170"/>
      <c r="F153" s="171"/>
      <c r="G153" s="171"/>
      <c r="H153" s="171"/>
      <c r="I153" s="171"/>
      <c r="J153" s="172"/>
      <c r="K153" s="170"/>
      <c r="L153" s="183">
        <f>'PRECIOS UNITARIOS TECHO'!N27</f>
        <v>8104</v>
      </c>
      <c r="M153" s="188">
        <f t="shared" si="1"/>
        <v>0</v>
      </c>
    </row>
    <row r="154" spans="1:13" ht="14.4" hidden="1" customHeight="1">
      <c r="A154" s="3">
        <v>18</v>
      </c>
      <c r="B154" s="146" t="s">
        <v>181</v>
      </c>
      <c r="C154" s="178" t="s">
        <v>19</v>
      </c>
      <c r="D154" s="187"/>
      <c r="E154" s="170"/>
      <c r="F154" s="171"/>
      <c r="G154" s="171"/>
      <c r="H154" s="171"/>
      <c r="I154" s="171"/>
      <c r="J154" s="172"/>
      <c r="K154" s="170"/>
      <c r="L154" s="183">
        <f>'PRECIOS UNITARIOS TECHO'!N28</f>
        <v>10888</v>
      </c>
      <c r="M154" s="188">
        <f t="shared" si="1"/>
        <v>0</v>
      </c>
    </row>
    <row r="155" spans="1:13" ht="14.4" hidden="1" customHeight="1">
      <c r="A155" s="3">
        <v>19</v>
      </c>
      <c r="B155" s="146" t="s">
        <v>182</v>
      </c>
      <c r="C155" s="178" t="s">
        <v>19</v>
      </c>
      <c r="D155" s="187"/>
      <c r="E155" s="170"/>
      <c r="F155" s="171"/>
      <c r="G155" s="171"/>
      <c r="H155" s="171"/>
      <c r="I155" s="171"/>
      <c r="J155" s="172"/>
      <c r="K155" s="170"/>
      <c r="L155" s="183">
        <f>'PRECIOS UNITARIOS TECHO'!N29</f>
        <v>14898</v>
      </c>
      <c r="M155" s="188">
        <f t="shared" si="1"/>
        <v>0</v>
      </c>
    </row>
    <row r="156" spans="1:13" ht="14.4" hidden="1" customHeight="1">
      <c r="A156" s="3">
        <v>20</v>
      </c>
      <c r="B156" s="146" t="s">
        <v>36</v>
      </c>
      <c r="C156" s="178" t="s">
        <v>19</v>
      </c>
      <c r="D156" s="187"/>
      <c r="E156" s="170"/>
      <c r="F156" s="171"/>
      <c r="G156" s="171"/>
      <c r="H156" s="171"/>
      <c r="I156" s="171"/>
      <c r="J156" s="172"/>
      <c r="K156" s="170"/>
      <c r="L156" s="183">
        <f>'PRECIOS UNITARIOS TECHO'!N30</f>
        <v>1137557</v>
      </c>
      <c r="M156" s="188">
        <f t="shared" si="1"/>
        <v>0</v>
      </c>
    </row>
    <row r="157" spans="1:13" ht="14.4" hidden="1" customHeight="1">
      <c r="A157" s="3">
        <v>21</v>
      </c>
      <c r="B157" s="146" t="s">
        <v>37</v>
      </c>
      <c r="C157" s="178" t="s">
        <v>19</v>
      </c>
      <c r="D157" s="187"/>
      <c r="E157" s="170"/>
      <c r="F157" s="171"/>
      <c r="G157" s="171"/>
      <c r="H157" s="171"/>
      <c r="I157" s="171"/>
      <c r="J157" s="172"/>
      <c r="K157" s="170"/>
      <c r="L157" s="197">
        <f>'PRECIOS UNITARIOS TECHO'!N31</f>
        <v>27965</v>
      </c>
      <c r="M157" s="198">
        <f t="shared" si="1"/>
        <v>0</v>
      </c>
    </row>
    <row r="158" spans="1:13" ht="14.4" customHeight="1">
      <c r="A158" s="3">
        <v>22</v>
      </c>
      <c r="B158" s="146" t="s">
        <v>38</v>
      </c>
      <c r="C158" s="178" t="s">
        <v>39</v>
      </c>
      <c r="D158" s="187">
        <v>1</v>
      </c>
      <c r="E158" s="170">
        <v>1</v>
      </c>
      <c r="F158" s="171">
        <v>1</v>
      </c>
      <c r="G158" s="171"/>
      <c r="H158" s="171"/>
      <c r="I158" s="171"/>
      <c r="J158" s="172"/>
      <c r="K158" s="170">
        <f t="shared" ref="K158:K163" si="2">AVERAGE(D158:J158)</f>
        <v>1</v>
      </c>
      <c r="L158" s="212"/>
      <c r="M158" s="206"/>
    </row>
    <row r="159" spans="1:13" ht="14.4" customHeight="1">
      <c r="A159" s="3">
        <v>23</v>
      </c>
      <c r="B159" s="146" t="s">
        <v>40</v>
      </c>
      <c r="C159" s="178" t="s">
        <v>39</v>
      </c>
      <c r="D159" s="187">
        <v>1</v>
      </c>
      <c r="E159" s="170"/>
      <c r="F159" s="171">
        <v>1</v>
      </c>
      <c r="G159" s="171"/>
      <c r="H159" s="171"/>
      <c r="I159" s="171"/>
      <c r="J159" s="172"/>
      <c r="K159" s="170">
        <f t="shared" si="2"/>
        <v>1</v>
      </c>
      <c r="L159" s="212"/>
      <c r="M159" s="206"/>
    </row>
    <row r="160" spans="1:13" ht="14.4" customHeight="1">
      <c r="A160" s="3">
        <v>24</v>
      </c>
      <c r="B160" s="146" t="s">
        <v>41</v>
      </c>
      <c r="C160" s="178" t="s">
        <v>19</v>
      </c>
      <c r="D160" s="187">
        <v>3</v>
      </c>
      <c r="E160" s="170">
        <v>3</v>
      </c>
      <c r="F160" s="171">
        <v>1</v>
      </c>
      <c r="G160" s="171"/>
      <c r="H160" s="171"/>
      <c r="I160" s="171">
        <v>4</v>
      </c>
      <c r="J160" s="172">
        <v>1</v>
      </c>
      <c r="K160" s="170">
        <f t="shared" si="2"/>
        <v>2.4</v>
      </c>
      <c r="L160" s="212"/>
      <c r="M160" s="206"/>
    </row>
    <row r="161" spans="1:13" ht="14.4" customHeight="1">
      <c r="A161" s="3">
        <v>25</v>
      </c>
      <c r="B161" s="146" t="s">
        <v>42</v>
      </c>
      <c r="C161" s="178" t="s">
        <v>43</v>
      </c>
      <c r="D161" s="187">
        <v>2</v>
      </c>
      <c r="E161" s="170">
        <v>2</v>
      </c>
      <c r="F161" s="171">
        <v>2</v>
      </c>
      <c r="G161" s="171"/>
      <c r="H161" s="171"/>
      <c r="I161" s="171"/>
      <c r="J161" s="172">
        <v>2</v>
      </c>
      <c r="K161" s="170">
        <f t="shared" si="2"/>
        <v>2</v>
      </c>
      <c r="L161" s="212"/>
      <c r="M161" s="206"/>
    </row>
    <row r="162" spans="1:13" ht="14.4" customHeight="1">
      <c r="A162" s="3">
        <v>26</v>
      </c>
      <c r="B162" s="146" t="s">
        <v>44</v>
      </c>
      <c r="C162" s="178" t="s">
        <v>45</v>
      </c>
      <c r="D162" s="187"/>
      <c r="E162" s="170">
        <v>2</v>
      </c>
      <c r="F162" s="171"/>
      <c r="G162" s="171"/>
      <c r="H162" s="171"/>
      <c r="I162" s="171"/>
      <c r="J162" s="172"/>
      <c r="K162" s="170">
        <f t="shared" si="2"/>
        <v>2</v>
      </c>
      <c r="L162" s="212"/>
      <c r="M162" s="206"/>
    </row>
    <row r="163" spans="1:13" ht="14.4" customHeight="1">
      <c r="A163" s="3">
        <v>27</v>
      </c>
      <c r="B163" s="151" t="s">
        <v>137</v>
      </c>
      <c r="C163" s="178" t="s">
        <v>19</v>
      </c>
      <c r="D163" s="187">
        <v>10</v>
      </c>
      <c r="E163" s="170"/>
      <c r="F163" s="171"/>
      <c r="G163" s="171"/>
      <c r="H163" s="171"/>
      <c r="I163" s="171"/>
      <c r="J163" s="172"/>
      <c r="K163" s="170">
        <f t="shared" si="2"/>
        <v>10</v>
      </c>
      <c r="L163" s="212"/>
      <c r="M163" s="206"/>
    </row>
    <row r="164" spans="1:13" ht="14.4" hidden="1" customHeight="1">
      <c r="A164" s="3">
        <v>28</v>
      </c>
      <c r="B164" s="146" t="s">
        <v>46</v>
      </c>
      <c r="C164" s="178" t="s">
        <v>19</v>
      </c>
      <c r="D164" s="187"/>
      <c r="E164" s="170"/>
      <c r="F164" s="171"/>
      <c r="G164" s="171"/>
      <c r="H164" s="171"/>
      <c r="I164" s="171"/>
      <c r="J164" s="172"/>
      <c r="K164" s="170"/>
      <c r="L164" s="199">
        <f>'PRECIOS UNITARIOS TECHO'!N38</f>
        <v>12773</v>
      </c>
      <c r="M164" s="200">
        <f t="shared" si="1"/>
        <v>0</v>
      </c>
    </row>
    <row r="165" spans="1:13" ht="14.4" customHeight="1">
      <c r="A165" s="3">
        <v>29</v>
      </c>
      <c r="B165" s="146" t="s">
        <v>47</v>
      </c>
      <c r="C165" s="178" t="s">
        <v>48</v>
      </c>
      <c r="D165" s="187"/>
      <c r="E165" s="170">
        <v>50</v>
      </c>
      <c r="F165" s="171">
        <v>20</v>
      </c>
      <c r="G165" s="171"/>
      <c r="H165" s="171"/>
      <c r="I165" s="171"/>
      <c r="J165" s="172">
        <v>40</v>
      </c>
      <c r="K165" s="170">
        <f t="shared" ref="K165:K169" si="3">AVERAGE(D165:J165)</f>
        <v>36.666666666666664</v>
      </c>
      <c r="L165" s="212"/>
      <c r="M165" s="206"/>
    </row>
    <row r="166" spans="1:13" ht="14.4" customHeight="1">
      <c r="A166" s="3">
        <v>30</v>
      </c>
      <c r="B166" s="146" t="s">
        <v>49</v>
      </c>
      <c r="C166" s="178" t="s">
        <v>48</v>
      </c>
      <c r="D166" s="187"/>
      <c r="E166" s="170">
        <v>10</v>
      </c>
      <c r="F166" s="171">
        <v>20</v>
      </c>
      <c r="G166" s="171"/>
      <c r="H166" s="171"/>
      <c r="I166" s="171"/>
      <c r="J166" s="172"/>
      <c r="K166" s="170">
        <f t="shared" si="3"/>
        <v>15</v>
      </c>
      <c r="L166" s="212"/>
      <c r="M166" s="206"/>
    </row>
    <row r="167" spans="1:13" ht="14.4" customHeight="1">
      <c r="A167" s="3">
        <v>31</v>
      </c>
      <c r="B167" s="146" t="s">
        <v>50</v>
      </c>
      <c r="C167" s="178" t="s">
        <v>48</v>
      </c>
      <c r="D167" s="187">
        <v>10</v>
      </c>
      <c r="E167" s="170">
        <v>30</v>
      </c>
      <c r="F167" s="171">
        <v>30</v>
      </c>
      <c r="G167" s="171"/>
      <c r="H167" s="171"/>
      <c r="I167" s="171"/>
      <c r="J167" s="172">
        <v>20</v>
      </c>
      <c r="K167" s="170">
        <f t="shared" si="3"/>
        <v>22.5</v>
      </c>
      <c r="L167" s="212"/>
      <c r="M167" s="206"/>
    </row>
    <row r="168" spans="1:13" ht="14.4" customHeight="1">
      <c r="A168" s="3">
        <v>32</v>
      </c>
      <c r="B168" s="146" t="s">
        <v>51</v>
      </c>
      <c r="C168" s="178" t="s">
        <v>48</v>
      </c>
      <c r="D168" s="187"/>
      <c r="E168" s="170">
        <v>10</v>
      </c>
      <c r="F168" s="171">
        <v>20</v>
      </c>
      <c r="G168" s="171"/>
      <c r="H168" s="171"/>
      <c r="I168" s="171"/>
      <c r="J168" s="172"/>
      <c r="K168" s="170">
        <f t="shared" si="3"/>
        <v>15</v>
      </c>
      <c r="L168" s="212"/>
      <c r="M168" s="206"/>
    </row>
    <row r="169" spans="1:13" ht="14.4" customHeight="1">
      <c r="A169" s="3">
        <v>33</v>
      </c>
      <c r="B169" s="146" t="s">
        <v>52</v>
      </c>
      <c r="C169" s="178" t="s">
        <v>48</v>
      </c>
      <c r="D169" s="187"/>
      <c r="E169" s="170"/>
      <c r="F169" s="171">
        <v>4</v>
      </c>
      <c r="G169" s="171">
        <v>5</v>
      </c>
      <c r="H169" s="171">
        <v>5</v>
      </c>
      <c r="I169" s="171"/>
      <c r="J169" s="172"/>
      <c r="K169" s="170">
        <f t="shared" si="3"/>
        <v>4.666666666666667</v>
      </c>
      <c r="L169" s="212"/>
      <c r="M169" s="206"/>
    </row>
    <row r="170" spans="1:13" ht="14.4" hidden="1" customHeight="1">
      <c r="A170" s="3">
        <v>34</v>
      </c>
      <c r="B170" s="151" t="s">
        <v>138</v>
      </c>
      <c r="C170" s="178" t="s">
        <v>19</v>
      </c>
      <c r="D170" s="187"/>
      <c r="E170" s="170"/>
      <c r="F170" s="171"/>
      <c r="G170" s="171"/>
      <c r="H170" s="171"/>
      <c r="I170" s="171"/>
      <c r="J170" s="172"/>
      <c r="K170" s="170"/>
      <c r="L170" s="199">
        <f>'PRECIOS UNITARIOS TECHO'!N44</f>
        <v>480584</v>
      </c>
      <c r="M170" s="200">
        <f t="shared" si="1"/>
        <v>0</v>
      </c>
    </row>
    <row r="171" spans="1:13" ht="14.4" customHeight="1">
      <c r="A171" s="3">
        <v>35</v>
      </c>
      <c r="B171" s="146" t="s">
        <v>53</v>
      </c>
      <c r="C171" s="178" t="s">
        <v>54</v>
      </c>
      <c r="D171" s="187">
        <v>20</v>
      </c>
      <c r="E171" s="170">
        <v>50</v>
      </c>
      <c r="F171" s="171">
        <v>50</v>
      </c>
      <c r="G171" s="171">
        <v>130</v>
      </c>
      <c r="H171" s="171">
        <v>180</v>
      </c>
      <c r="I171" s="171">
        <v>10</v>
      </c>
      <c r="J171" s="172">
        <v>50</v>
      </c>
      <c r="K171" s="170">
        <f t="shared" ref="K171:K176" si="4">AVERAGE(D171:J171)</f>
        <v>70</v>
      </c>
      <c r="L171" s="212"/>
      <c r="M171" s="206"/>
    </row>
    <row r="172" spans="1:13" ht="14.4" customHeight="1">
      <c r="A172" s="3">
        <v>36</v>
      </c>
      <c r="B172" s="146" t="s">
        <v>55</v>
      </c>
      <c r="C172" s="178" t="s">
        <v>56</v>
      </c>
      <c r="D172" s="187">
        <v>16</v>
      </c>
      <c r="E172" s="170"/>
      <c r="F172" s="171"/>
      <c r="G172" s="171"/>
      <c r="H172" s="171"/>
      <c r="I172" s="171"/>
      <c r="J172" s="172"/>
      <c r="K172" s="170">
        <f t="shared" si="4"/>
        <v>16</v>
      </c>
      <c r="L172" s="212"/>
      <c r="M172" s="206"/>
    </row>
    <row r="173" spans="1:13" ht="14.4" customHeight="1">
      <c r="A173" s="3">
        <v>37</v>
      </c>
      <c r="B173" s="146" t="s">
        <v>57</v>
      </c>
      <c r="C173" s="178" t="s">
        <v>33</v>
      </c>
      <c r="D173" s="187">
        <v>5</v>
      </c>
      <c r="E173" s="170"/>
      <c r="F173" s="171"/>
      <c r="G173" s="171"/>
      <c r="H173" s="171"/>
      <c r="I173" s="171"/>
      <c r="J173" s="172">
        <v>5</v>
      </c>
      <c r="K173" s="170">
        <f t="shared" si="4"/>
        <v>5</v>
      </c>
      <c r="L173" s="212"/>
      <c r="M173" s="206"/>
    </row>
    <row r="174" spans="1:13">
      <c r="A174" s="3">
        <v>38</v>
      </c>
      <c r="B174" s="146" t="s">
        <v>58</v>
      </c>
      <c r="C174" s="178" t="s">
        <v>19</v>
      </c>
      <c r="D174" s="187"/>
      <c r="E174" s="170"/>
      <c r="F174" s="171"/>
      <c r="G174" s="171"/>
      <c r="H174" s="171"/>
      <c r="I174" s="171"/>
      <c r="J174" s="172">
        <v>5</v>
      </c>
      <c r="K174" s="170">
        <f t="shared" si="4"/>
        <v>5</v>
      </c>
      <c r="L174" s="212"/>
      <c r="M174" s="206"/>
    </row>
    <row r="175" spans="1:13" ht="14.4" customHeight="1">
      <c r="A175" s="3">
        <v>39</v>
      </c>
      <c r="B175" s="146" t="s">
        <v>59</v>
      </c>
      <c r="C175" s="178" t="s">
        <v>56</v>
      </c>
      <c r="D175" s="187"/>
      <c r="E175" s="170"/>
      <c r="F175" s="171"/>
      <c r="G175" s="171"/>
      <c r="H175" s="171"/>
      <c r="I175" s="171">
        <v>5</v>
      </c>
      <c r="J175" s="172">
        <v>5</v>
      </c>
      <c r="K175" s="170">
        <f t="shared" si="4"/>
        <v>5</v>
      </c>
      <c r="L175" s="212"/>
      <c r="M175" s="206"/>
    </row>
    <row r="176" spans="1:13" ht="14.4" customHeight="1">
      <c r="A176" s="3">
        <v>40</v>
      </c>
      <c r="B176" s="151" t="s">
        <v>139</v>
      </c>
      <c r="C176" s="178" t="s">
        <v>19</v>
      </c>
      <c r="D176" s="187">
        <v>10</v>
      </c>
      <c r="E176" s="170"/>
      <c r="F176" s="171"/>
      <c r="G176" s="171"/>
      <c r="H176" s="171"/>
      <c r="I176" s="171"/>
      <c r="J176" s="172"/>
      <c r="K176" s="170">
        <f t="shared" si="4"/>
        <v>10</v>
      </c>
      <c r="L176" s="212"/>
      <c r="M176" s="206"/>
    </row>
    <row r="177" spans="1:13" ht="14.4" hidden="1" customHeight="1">
      <c r="A177" s="3">
        <v>41</v>
      </c>
      <c r="B177" s="151" t="s">
        <v>140</v>
      </c>
      <c r="C177" s="178" t="s">
        <v>19</v>
      </c>
      <c r="D177" s="187"/>
      <c r="E177" s="170"/>
      <c r="F177" s="171"/>
      <c r="G177" s="171"/>
      <c r="H177" s="171"/>
      <c r="I177" s="171"/>
      <c r="J177" s="172"/>
      <c r="K177" s="170"/>
      <c r="L177" s="201">
        <f>'PRECIOS UNITARIOS TECHO'!N51</f>
        <v>290577</v>
      </c>
      <c r="M177" s="202">
        <f t="shared" si="1"/>
        <v>0</v>
      </c>
    </row>
    <row r="178" spans="1:13" ht="14.4" hidden="1" customHeight="1">
      <c r="A178" s="3">
        <v>42</v>
      </c>
      <c r="B178" s="146" t="s">
        <v>60</v>
      </c>
      <c r="C178" s="178" t="s">
        <v>19</v>
      </c>
      <c r="D178" s="187"/>
      <c r="E178" s="170"/>
      <c r="F178" s="171"/>
      <c r="G178" s="171"/>
      <c r="H178" s="171"/>
      <c r="I178" s="171"/>
      <c r="J178" s="172"/>
      <c r="K178" s="170"/>
      <c r="L178" s="183">
        <f>'PRECIOS UNITARIOS TECHO'!N52</f>
        <v>61540</v>
      </c>
      <c r="M178" s="188">
        <f t="shared" si="1"/>
        <v>0</v>
      </c>
    </row>
    <row r="179" spans="1:13" ht="14.4" hidden="1" customHeight="1">
      <c r="A179" s="3">
        <v>43</v>
      </c>
      <c r="B179" s="146" t="s">
        <v>61</v>
      </c>
      <c r="C179" s="178" t="s">
        <v>19</v>
      </c>
      <c r="D179" s="187"/>
      <c r="E179" s="170"/>
      <c r="F179" s="171"/>
      <c r="G179" s="171"/>
      <c r="H179" s="171"/>
      <c r="I179" s="171"/>
      <c r="J179" s="172"/>
      <c r="K179" s="170"/>
      <c r="L179" s="197">
        <f>'PRECIOS UNITARIOS TECHO'!N53</f>
        <v>666426</v>
      </c>
      <c r="M179" s="198">
        <f t="shared" si="1"/>
        <v>0</v>
      </c>
    </row>
    <row r="180" spans="1:13" ht="14.4" customHeight="1">
      <c r="A180" s="3">
        <v>44</v>
      </c>
      <c r="B180" s="146" t="s">
        <v>62</v>
      </c>
      <c r="C180" s="178" t="s">
        <v>63</v>
      </c>
      <c r="D180" s="187">
        <v>1</v>
      </c>
      <c r="E180" s="170">
        <v>1</v>
      </c>
      <c r="F180" s="171">
        <v>1</v>
      </c>
      <c r="G180" s="171"/>
      <c r="H180" s="171"/>
      <c r="I180" s="171"/>
      <c r="J180" s="172">
        <v>1</v>
      </c>
      <c r="K180" s="170">
        <f t="shared" ref="K180" si="5">AVERAGE(D180:J180)</f>
        <v>1</v>
      </c>
      <c r="L180" s="212"/>
      <c r="M180" s="206"/>
    </row>
    <row r="181" spans="1:13" ht="14.4" hidden="1" customHeight="1">
      <c r="A181" s="3">
        <v>45</v>
      </c>
      <c r="B181" s="146" t="s">
        <v>64</v>
      </c>
      <c r="C181" s="178" t="s">
        <v>39</v>
      </c>
      <c r="D181" s="187"/>
      <c r="E181" s="170"/>
      <c r="F181" s="171"/>
      <c r="G181" s="171"/>
      <c r="H181" s="171"/>
      <c r="I181" s="171"/>
      <c r="J181" s="172"/>
      <c r="K181" s="170"/>
      <c r="L181" s="199">
        <f>'PRECIOS UNITARIOS TECHO'!N55</f>
        <v>5096</v>
      </c>
      <c r="M181" s="200">
        <f t="shared" si="1"/>
        <v>0</v>
      </c>
    </row>
    <row r="182" spans="1:13" ht="14.4" customHeight="1">
      <c r="A182" s="3">
        <v>46</v>
      </c>
      <c r="B182" s="146" t="s">
        <v>65</v>
      </c>
      <c r="C182" s="178" t="s">
        <v>43</v>
      </c>
      <c r="D182" s="187">
        <v>1</v>
      </c>
      <c r="E182" s="170">
        <v>5</v>
      </c>
      <c r="F182" s="171">
        <v>3</v>
      </c>
      <c r="G182" s="171"/>
      <c r="H182" s="171"/>
      <c r="I182" s="171"/>
      <c r="J182" s="172">
        <v>5</v>
      </c>
      <c r="K182" s="170">
        <f t="shared" ref="K182:K185" si="6">AVERAGE(D182:J182)</f>
        <v>3.5</v>
      </c>
      <c r="L182" s="212"/>
      <c r="M182" s="206"/>
    </row>
    <row r="183" spans="1:13" ht="14.4" customHeight="1">
      <c r="A183" s="3">
        <v>47</v>
      </c>
      <c r="B183" s="146" t="s">
        <v>66</v>
      </c>
      <c r="C183" s="178" t="s">
        <v>39</v>
      </c>
      <c r="D183" s="187"/>
      <c r="E183" s="170">
        <v>1</v>
      </c>
      <c r="F183" s="171"/>
      <c r="G183" s="171"/>
      <c r="H183" s="171"/>
      <c r="I183" s="171"/>
      <c r="J183" s="172">
        <v>5</v>
      </c>
      <c r="K183" s="170">
        <f t="shared" si="6"/>
        <v>3</v>
      </c>
      <c r="L183" s="212"/>
      <c r="M183" s="206"/>
    </row>
    <row r="184" spans="1:13" ht="14.4" customHeight="1">
      <c r="A184" s="3">
        <v>48</v>
      </c>
      <c r="B184" s="146" t="s">
        <v>67</v>
      </c>
      <c r="C184" s="178" t="s">
        <v>39</v>
      </c>
      <c r="D184" s="187"/>
      <c r="E184" s="170">
        <v>1</v>
      </c>
      <c r="F184" s="171"/>
      <c r="G184" s="171"/>
      <c r="H184" s="171"/>
      <c r="I184" s="171"/>
      <c r="J184" s="172">
        <v>5</v>
      </c>
      <c r="K184" s="170">
        <f t="shared" si="6"/>
        <v>3</v>
      </c>
      <c r="L184" s="212"/>
      <c r="M184" s="206"/>
    </row>
    <row r="185" spans="1:13" ht="14.4" customHeight="1">
      <c r="A185" s="3">
        <v>50</v>
      </c>
      <c r="B185" s="146" t="s">
        <v>69</v>
      </c>
      <c r="C185" s="178" t="s">
        <v>70</v>
      </c>
      <c r="D185" s="187"/>
      <c r="E185" s="170"/>
      <c r="F185" s="171"/>
      <c r="G185" s="171"/>
      <c r="H185" s="171"/>
      <c r="I185" s="171"/>
      <c r="J185" s="172">
        <v>20</v>
      </c>
      <c r="K185" s="170">
        <f t="shared" si="6"/>
        <v>20</v>
      </c>
      <c r="L185" s="212"/>
      <c r="M185" s="206"/>
    </row>
    <row r="186" spans="1:13" ht="14.4" hidden="1" customHeight="1">
      <c r="A186" s="3">
        <v>52</v>
      </c>
      <c r="B186" s="151" t="s">
        <v>142</v>
      </c>
      <c r="C186" s="178" t="s">
        <v>72</v>
      </c>
      <c r="D186" s="187"/>
      <c r="E186" s="170"/>
      <c r="F186" s="171"/>
      <c r="G186" s="171"/>
      <c r="H186" s="171"/>
      <c r="I186" s="171"/>
      <c r="J186" s="172"/>
      <c r="K186" s="170"/>
      <c r="L186" s="199">
        <f>'PRECIOS UNITARIOS TECHO'!N62</f>
        <v>1922</v>
      </c>
      <c r="M186" s="200">
        <f t="shared" si="1"/>
        <v>0</v>
      </c>
    </row>
    <row r="187" spans="1:13" ht="14.4" customHeight="1">
      <c r="A187" s="3">
        <v>53</v>
      </c>
      <c r="B187" s="146" t="s">
        <v>73</v>
      </c>
      <c r="C187" s="178" t="s">
        <v>19</v>
      </c>
      <c r="D187" s="187"/>
      <c r="E187" s="170"/>
      <c r="F187" s="171">
        <v>2</v>
      </c>
      <c r="G187" s="171">
        <v>1</v>
      </c>
      <c r="H187" s="171">
        <v>1</v>
      </c>
      <c r="I187" s="171"/>
      <c r="J187" s="172"/>
      <c r="K187" s="170">
        <f t="shared" ref="K187:K188" si="7">AVERAGE(D187:J187)</f>
        <v>1.3333333333333333</v>
      </c>
      <c r="L187" s="212"/>
      <c r="M187" s="206"/>
    </row>
    <row r="188" spans="1:13" ht="14.4" customHeight="1">
      <c r="A188" s="4">
        <v>54</v>
      </c>
      <c r="B188" s="146" t="s">
        <v>74</v>
      </c>
      <c r="C188" s="179" t="s">
        <v>56</v>
      </c>
      <c r="D188" s="187">
        <v>20</v>
      </c>
      <c r="E188" s="170"/>
      <c r="F188" s="171"/>
      <c r="G188" s="171"/>
      <c r="H188" s="171"/>
      <c r="I188" s="171"/>
      <c r="J188" s="172"/>
      <c r="K188" s="170">
        <f t="shared" si="7"/>
        <v>20</v>
      </c>
      <c r="L188" s="212"/>
      <c r="M188" s="206"/>
    </row>
    <row r="189" spans="1:13" ht="14.4" hidden="1" customHeight="1">
      <c r="A189" s="4">
        <v>55</v>
      </c>
      <c r="B189" s="146" t="s">
        <v>75</v>
      </c>
      <c r="C189" s="179" t="s">
        <v>56</v>
      </c>
      <c r="D189" s="187"/>
      <c r="E189" s="170"/>
      <c r="F189" s="171"/>
      <c r="G189" s="171"/>
      <c r="H189" s="171"/>
      <c r="I189" s="171"/>
      <c r="J189" s="172"/>
      <c r="K189" s="170"/>
      <c r="L189" s="199">
        <f>'PRECIOS UNITARIOS TECHO'!N65</f>
        <v>6726</v>
      </c>
      <c r="M189" s="200">
        <f t="shared" si="1"/>
        <v>0</v>
      </c>
    </row>
    <row r="190" spans="1:13" ht="14.4" customHeight="1">
      <c r="A190" s="3">
        <v>56</v>
      </c>
      <c r="B190" s="146" t="s">
        <v>76</v>
      </c>
      <c r="C190" s="178" t="s">
        <v>77</v>
      </c>
      <c r="D190" s="187">
        <v>2</v>
      </c>
      <c r="E190" s="170">
        <v>3</v>
      </c>
      <c r="F190" s="171">
        <v>5</v>
      </c>
      <c r="G190" s="171"/>
      <c r="H190" s="171"/>
      <c r="I190" s="171"/>
      <c r="J190" s="172"/>
      <c r="K190" s="170">
        <f t="shared" ref="K190:K192" si="8">AVERAGE(D190:J190)</f>
        <v>3.3333333333333335</v>
      </c>
      <c r="L190" s="212"/>
      <c r="M190" s="206"/>
    </row>
    <row r="191" spans="1:13" ht="14.4" customHeight="1">
      <c r="A191" s="3">
        <v>57</v>
      </c>
      <c r="B191" s="146" t="s">
        <v>78</v>
      </c>
      <c r="C191" s="178" t="s">
        <v>77</v>
      </c>
      <c r="D191" s="187">
        <v>3</v>
      </c>
      <c r="E191" s="170">
        <v>6</v>
      </c>
      <c r="F191" s="171">
        <v>12</v>
      </c>
      <c r="G191" s="171"/>
      <c r="H191" s="171"/>
      <c r="I191" s="171"/>
      <c r="J191" s="172"/>
      <c r="K191" s="170">
        <f t="shared" si="8"/>
        <v>7</v>
      </c>
      <c r="L191" s="212"/>
      <c r="M191" s="206"/>
    </row>
    <row r="192" spans="1:13" ht="14.4" customHeight="1">
      <c r="A192" s="3">
        <v>58</v>
      </c>
      <c r="B192" s="146" t="s">
        <v>79</v>
      </c>
      <c r="C192" s="178" t="s">
        <v>77</v>
      </c>
      <c r="D192" s="187">
        <v>2</v>
      </c>
      <c r="E192" s="170"/>
      <c r="F192" s="171"/>
      <c r="G192" s="171">
        <v>10</v>
      </c>
      <c r="H192" s="171">
        <v>10</v>
      </c>
      <c r="I192" s="171"/>
      <c r="J192" s="172"/>
      <c r="K192" s="170">
        <f t="shared" si="8"/>
        <v>7.333333333333333</v>
      </c>
      <c r="L192" s="212"/>
      <c r="M192" s="206"/>
    </row>
    <row r="193" spans="1:13" ht="14.4" hidden="1" customHeight="1">
      <c r="A193" s="3">
        <v>59</v>
      </c>
      <c r="B193" s="146" t="s">
        <v>80</v>
      </c>
      <c r="C193" s="178" t="s">
        <v>77</v>
      </c>
      <c r="D193" s="187"/>
      <c r="E193" s="170"/>
      <c r="F193" s="171"/>
      <c r="G193" s="171"/>
      <c r="H193" s="171"/>
      <c r="I193" s="171"/>
      <c r="J193" s="172"/>
      <c r="K193" s="170"/>
      <c r="L193" s="201">
        <f>'PRECIOS UNITARIOS TECHO'!N69</f>
        <v>17813</v>
      </c>
      <c r="M193" s="202">
        <f t="shared" si="1"/>
        <v>0</v>
      </c>
    </row>
    <row r="194" spans="1:13" ht="14.4" hidden="1" customHeight="1">
      <c r="A194" s="4">
        <v>60</v>
      </c>
      <c r="B194" s="146" t="s">
        <v>81</v>
      </c>
      <c r="C194" s="179" t="s">
        <v>77</v>
      </c>
      <c r="D194" s="187"/>
      <c r="E194" s="170"/>
      <c r="F194" s="171"/>
      <c r="G194" s="171"/>
      <c r="H194" s="171"/>
      <c r="I194" s="171"/>
      <c r="J194" s="172"/>
      <c r="K194" s="170"/>
      <c r="L194" s="197">
        <f>'PRECIOS UNITARIOS TECHO'!N70</f>
        <v>16478</v>
      </c>
      <c r="M194" s="198">
        <f t="shared" si="1"/>
        <v>0</v>
      </c>
    </row>
    <row r="195" spans="1:13" ht="14.4" customHeight="1">
      <c r="A195" s="3">
        <v>61</v>
      </c>
      <c r="B195" s="146" t="s">
        <v>82</v>
      </c>
      <c r="C195" s="178" t="s">
        <v>19</v>
      </c>
      <c r="D195" s="187">
        <v>5</v>
      </c>
      <c r="E195" s="170">
        <v>3</v>
      </c>
      <c r="F195" s="171">
        <v>2</v>
      </c>
      <c r="G195" s="171"/>
      <c r="H195" s="171"/>
      <c r="I195" s="171"/>
      <c r="J195" s="172"/>
      <c r="K195" s="170">
        <f t="shared" ref="K195" si="9">AVERAGE(D195:J195)</f>
        <v>3.3333333333333335</v>
      </c>
      <c r="L195" s="212"/>
      <c r="M195" s="206"/>
    </row>
    <row r="196" spans="1:13" ht="14.4" hidden="1" customHeight="1">
      <c r="A196" s="3">
        <v>62</v>
      </c>
      <c r="B196" s="146" t="s">
        <v>83</v>
      </c>
      <c r="C196" s="178" t="s">
        <v>19</v>
      </c>
      <c r="D196" s="187"/>
      <c r="E196" s="170"/>
      <c r="F196" s="171"/>
      <c r="G196" s="171"/>
      <c r="H196" s="171"/>
      <c r="I196" s="171"/>
      <c r="J196" s="172"/>
      <c r="K196" s="170"/>
      <c r="L196" s="199">
        <v>0</v>
      </c>
      <c r="M196" s="200">
        <v>0</v>
      </c>
    </row>
    <row r="197" spans="1:13" ht="14.4" customHeight="1">
      <c r="A197" s="3">
        <v>63</v>
      </c>
      <c r="B197" s="146" t="s">
        <v>84</v>
      </c>
      <c r="C197" s="178" t="s">
        <v>19</v>
      </c>
      <c r="D197" s="187">
        <v>3</v>
      </c>
      <c r="E197" s="170">
        <v>2</v>
      </c>
      <c r="F197" s="171">
        <v>2</v>
      </c>
      <c r="G197" s="171"/>
      <c r="H197" s="171"/>
      <c r="I197" s="171"/>
      <c r="J197" s="172"/>
      <c r="K197" s="170">
        <f t="shared" ref="K197" si="10">AVERAGE(D197:J197)</f>
        <v>2.3333333333333335</v>
      </c>
      <c r="L197" s="212"/>
      <c r="M197" s="206"/>
    </row>
    <row r="198" spans="1:13" ht="14.4" hidden="1" customHeight="1">
      <c r="A198" s="3">
        <v>64</v>
      </c>
      <c r="B198" s="151" t="s">
        <v>143</v>
      </c>
      <c r="C198" s="178" t="s">
        <v>77</v>
      </c>
      <c r="D198" s="187"/>
      <c r="E198" s="170"/>
      <c r="F198" s="171"/>
      <c r="G198" s="171"/>
      <c r="H198" s="171"/>
      <c r="I198" s="171"/>
      <c r="J198" s="172"/>
      <c r="K198" s="170"/>
      <c r="L198" s="201">
        <f>'PRECIOS UNITARIOS TECHO'!N74</f>
        <v>14444</v>
      </c>
      <c r="M198" s="202">
        <f t="shared" si="1"/>
        <v>0</v>
      </c>
    </row>
    <row r="199" spans="1:13" ht="14.4" hidden="1" customHeight="1">
      <c r="A199" s="3">
        <v>65</v>
      </c>
      <c r="B199" s="146" t="s">
        <v>85</v>
      </c>
      <c r="C199" s="178" t="s">
        <v>77</v>
      </c>
      <c r="D199" s="187"/>
      <c r="E199" s="170"/>
      <c r="F199" s="171"/>
      <c r="G199" s="171"/>
      <c r="H199" s="171"/>
      <c r="I199" s="171"/>
      <c r="J199" s="172"/>
      <c r="K199" s="170"/>
      <c r="L199" s="183">
        <f>'PRECIOS UNITARIOS TECHO'!N75</f>
        <v>14623</v>
      </c>
      <c r="M199" s="188">
        <f t="shared" si="1"/>
        <v>0</v>
      </c>
    </row>
    <row r="200" spans="1:13" ht="14.4" hidden="1" customHeight="1">
      <c r="A200" s="3">
        <v>66</v>
      </c>
      <c r="B200" s="146" t="s">
        <v>86</v>
      </c>
      <c r="C200" s="178" t="s">
        <v>19</v>
      </c>
      <c r="D200" s="187"/>
      <c r="E200" s="170"/>
      <c r="F200" s="171"/>
      <c r="G200" s="171"/>
      <c r="H200" s="171"/>
      <c r="I200" s="171"/>
      <c r="J200" s="172"/>
      <c r="K200" s="170"/>
      <c r="L200" s="183">
        <f>'PRECIOS UNITARIOS TECHO'!N76</f>
        <v>1401</v>
      </c>
      <c r="M200" s="188">
        <f t="shared" ref="M200:M254" si="11">K200*L200</f>
        <v>0</v>
      </c>
    </row>
    <row r="201" spans="1:13" ht="14.4" hidden="1" customHeight="1">
      <c r="A201" s="3">
        <v>67</v>
      </c>
      <c r="B201" s="151" t="s">
        <v>144</v>
      </c>
      <c r="C201" s="178" t="s">
        <v>19</v>
      </c>
      <c r="D201" s="187"/>
      <c r="E201" s="170"/>
      <c r="F201" s="171"/>
      <c r="G201" s="171"/>
      <c r="H201" s="171"/>
      <c r="I201" s="171"/>
      <c r="J201" s="172"/>
      <c r="K201" s="170"/>
      <c r="L201" s="183">
        <f>'PRECIOS UNITARIOS TECHO'!N77</f>
        <v>1303</v>
      </c>
      <c r="M201" s="188">
        <f t="shared" si="11"/>
        <v>0</v>
      </c>
    </row>
    <row r="202" spans="1:13" ht="14.4" hidden="1" customHeight="1">
      <c r="A202" s="3">
        <v>68</v>
      </c>
      <c r="B202" s="151" t="s">
        <v>145</v>
      </c>
      <c r="C202" s="178" t="s">
        <v>19</v>
      </c>
      <c r="D202" s="187"/>
      <c r="E202" s="170"/>
      <c r="F202" s="171"/>
      <c r="G202" s="171"/>
      <c r="H202" s="171"/>
      <c r="I202" s="171"/>
      <c r="J202" s="172"/>
      <c r="K202" s="170"/>
      <c r="L202" s="183">
        <f>'PRECIOS UNITARIOS TECHO'!N78</f>
        <v>1334</v>
      </c>
      <c r="M202" s="188">
        <f t="shared" si="11"/>
        <v>0</v>
      </c>
    </row>
    <row r="203" spans="1:13" ht="14.4" hidden="1" customHeight="1">
      <c r="A203" s="3">
        <v>69</v>
      </c>
      <c r="B203" s="151" t="s">
        <v>146</v>
      </c>
      <c r="C203" s="178" t="s">
        <v>87</v>
      </c>
      <c r="D203" s="187"/>
      <c r="E203" s="170"/>
      <c r="F203" s="171"/>
      <c r="G203" s="171"/>
      <c r="H203" s="171"/>
      <c r="I203" s="171"/>
      <c r="J203" s="172"/>
      <c r="K203" s="170"/>
      <c r="L203" s="197">
        <f>'PRECIOS UNITARIOS TECHO'!N79</f>
        <v>3286</v>
      </c>
      <c r="M203" s="198">
        <f t="shared" si="11"/>
        <v>0</v>
      </c>
    </row>
    <row r="204" spans="1:13" ht="14.4" customHeight="1">
      <c r="A204" s="3">
        <v>70</v>
      </c>
      <c r="B204" s="146" t="s">
        <v>88</v>
      </c>
      <c r="C204" s="178" t="s">
        <v>87</v>
      </c>
      <c r="D204" s="187">
        <v>50</v>
      </c>
      <c r="E204" s="170">
        <v>30</v>
      </c>
      <c r="F204" s="171">
        <v>30</v>
      </c>
      <c r="G204" s="171">
        <v>15</v>
      </c>
      <c r="H204" s="171">
        <v>40</v>
      </c>
      <c r="I204" s="171">
        <v>30</v>
      </c>
      <c r="J204" s="172">
        <v>50</v>
      </c>
      <c r="K204" s="170">
        <f>AVERAGE(D204:J204)</f>
        <v>35</v>
      </c>
      <c r="L204" s="212"/>
      <c r="M204" s="206"/>
    </row>
    <row r="205" spans="1:13" ht="14.4" hidden="1" customHeight="1">
      <c r="A205" s="3">
        <v>71</v>
      </c>
      <c r="B205" s="151" t="s">
        <v>147</v>
      </c>
      <c r="C205" s="178" t="s">
        <v>19</v>
      </c>
      <c r="D205" s="187"/>
      <c r="E205" s="170"/>
      <c r="F205" s="171"/>
      <c r="G205" s="171"/>
      <c r="H205" s="171"/>
      <c r="I205" s="171"/>
      <c r="J205" s="172"/>
      <c r="K205" s="170"/>
      <c r="L205" s="201">
        <v>0</v>
      </c>
      <c r="M205" s="202">
        <v>0</v>
      </c>
    </row>
    <row r="206" spans="1:13" ht="27.6" hidden="1" customHeight="1">
      <c r="A206" s="3">
        <v>72</v>
      </c>
      <c r="B206" s="151" t="s">
        <v>148</v>
      </c>
      <c r="C206" s="180" t="s">
        <v>149</v>
      </c>
      <c r="D206" s="187"/>
      <c r="E206" s="170"/>
      <c r="F206" s="171"/>
      <c r="G206" s="171"/>
      <c r="H206" s="171"/>
      <c r="I206" s="171"/>
      <c r="J206" s="172"/>
      <c r="K206" s="170"/>
      <c r="L206" s="183">
        <f>'PRECIOS UNITARIOS TECHO'!N82</f>
        <v>173315</v>
      </c>
      <c r="M206" s="188">
        <f t="shared" si="11"/>
        <v>0</v>
      </c>
    </row>
    <row r="207" spans="1:13" ht="14.4" hidden="1" customHeight="1">
      <c r="A207" s="3">
        <v>73</v>
      </c>
      <c r="B207" s="151" t="s">
        <v>150</v>
      </c>
      <c r="C207" s="178" t="s">
        <v>89</v>
      </c>
      <c r="D207" s="187"/>
      <c r="E207" s="170"/>
      <c r="F207" s="171"/>
      <c r="G207" s="171"/>
      <c r="H207" s="171"/>
      <c r="I207" s="171"/>
      <c r="J207" s="172"/>
      <c r="K207" s="170"/>
      <c r="L207" s="183">
        <f>'PRECIOS UNITARIOS TECHO'!N83</f>
        <v>254135</v>
      </c>
      <c r="M207" s="188">
        <f t="shared" si="11"/>
        <v>0</v>
      </c>
    </row>
    <row r="208" spans="1:13" ht="14.4" hidden="1" customHeight="1">
      <c r="A208" s="3">
        <v>74</v>
      </c>
      <c r="B208" s="151" t="s">
        <v>151</v>
      </c>
      <c r="C208" s="178" t="s">
        <v>90</v>
      </c>
      <c r="D208" s="187"/>
      <c r="E208" s="170"/>
      <c r="F208" s="171"/>
      <c r="G208" s="171"/>
      <c r="H208" s="171"/>
      <c r="I208" s="171"/>
      <c r="J208" s="172"/>
      <c r="K208" s="170"/>
      <c r="L208" s="183">
        <f>'PRECIOS UNITARIOS TECHO'!N84</f>
        <v>87480</v>
      </c>
      <c r="M208" s="188">
        <f t="shared" si="11"/>
        <v>0</v>
      </c>
    </row>
    <row r="209" spans="1:13" ht="14.4" hidden="1" customHeight="1">
      <c r="A209" s="3">
        <v>75</v>
      </c>
      <c r="B209" s="146" t="s">
        <v>91</v>
      </c>
      <c r="C209" s="178" t="s">
        <v>39</v>
      </c>
      <c r="D209" s="187"/>
      <c r="E209" s="170"/>
      <c r="F209" s="171"/>
      <c r="G209" s="171"/>
      <c r="H209" s="171"/>
      <c r="I209" s="171"/>
      <c r="J209" s="172"/>
      <c r="K209" s="170"/>
      <c r="L209" s="183">
        <f>'PRECIOS UNITARIOS TECHO'!N85</f>
        <v>27739</v>
      </c>
      <c r="M209" s="188">
        <f t="shared" si="11"/>
        <v>0</v>
      </c>
    </row>
    <row r="210" spans="1:13" ht="14.4" hidden="1" customHeight="1">
      <c r="A210" s="3">
        <v>76</v>
      </c>
      <c r="B210" s="146" t="s">
        <v>92</v>
      </c>
      <c r="C210" s="178" t="s">
        <v>93</v>
      </c>
      <c r="D210" s="187"/>
      <c r="E210" s="170"/>
      <c r="F210" s="171"/>
      <c r="G210" s="171"/>
      <c r="H210" s="171"/>
      <c r="I210" s="171"/>
      <c r="J210" s="172"/>
      <c r="K210" s="170"/>
      <c r="L210" s="183">
        <f>'PRECIOS UNITARIOS TECHO'!N86</f>
        <v>30199</v>
      </c>
      <c r="M210" s="188">
        <f t="shared" si="11"/>
        <v>0</v>
      </c>
    </row>
    <row r="211" spans="1:13" ht="14.4" hidden="1" customHeight="1">
      <c r="A211" s="3">
        <v>77</v>
      </c>
      <c r="B211" s="151" t="s">
        <v>152</v>
      </c>
      <c r="C211" s="178" t="s">
        <v>48</v>
      </c>
      <c r="D211" s="187"/>
      <c r="E211" s="170"/>
      <c r="F211" s="171"/>
      <c r="G211" s="171"/>
      <c r="H211" s="171"/>
      <c r="I211" s="171"/>
      <c r="J211" s="172"/>
      <c r="K211" s="170"/>
      <c r="L211" s="183">
        <f>'PRECIOS UNITARIOS TECHO'!N87</f>
        <v>75456</v>
      </c>
      <c r="M211" s="188">
        <f t="shared" si="11"/>
        <v>0</v>
      </c>
    </row>
    <row r="212" spans="1:13" ht="14.4" hidden="1" customHeight="1">
      <c r="A212" s="3">
        <v>78</v>
      </c>
      <c r="B212" s="146" t="s">
        <v>94</v>
      </c>
      <c r="C212" s="178" t="s">
        <v>95</v>
      </c>
      <c r="D212" s="187"/>
      <c r="E212" s="170"/>
      <c r="F212" s="171"/>
      <c r="G212" s="171"/>
      <c r="H212" s="171"/>
      <c r="I212" s="171"/>
      <c r="J212" s="172"/>
      <c r="K212" s="170"/>
      <c r="L212" s="197">
        <f>'PRECIOS UNITARIOS TECHO'!N88</f>
        <v>466</v>
      </c>
      <c r="M212" s="198">
        <f t="shared" si="11"/>
        <v>0</v>
      </c>
    </row>
    <row r="213" spans="1:13" ht="14.4" customHeight="1">
      <c r="A213" s="3">
        <v>79</v>
      </c>
      <c r="B213" s="146" t="s">
        <v>96</v>
      </c>
      <c r="C213" s="178" t="s">
        <v>19</v>
      </c>
      <c r="D213" s="187">
        <v>50</v>
      </c>
      <c r="E213" s="170">
        <v>20</v>
      </c>
      <c r="F213" s="171">
        <v>20</v>
      </c>
      <c r="G213" s="171">
        <v>20</v>
      </c>
      <c r="H213" s="171">
        <v>30</v>
      </c>
      <c r="I213" s="171">
        <v>50</v>
      </c>
      <c r="J213" s="172">
        <v>20</v>
      </c>
      <c r="K213" s="170">
        <f t="shared" ref="K213" si="12">AVERAGE(D213:J213)</f>
        <v>30</v>
      </c>
      <c r="L213" s="212"/>
      <c r="M213" s="206"/>
    </row>
    <row r="214" spans="1:13" ht="14.4" hidden="1" customHeight="1">
      <c r="A214" s="3">
        <v>80</v>
      </c>
      <c r="B214" s="146" t="s">
        <v>97</v>
      </c>
      <c r="C214" s="178" t="s">
        <v>19</v>
      </c>
      <c r="D214" s="187"/>
      <c r="E214" s="170"/>
      <c r="F214" s="171"/>
      <c r="G214" s="171"/>
      <c r="H214" s="171"/>
      <c r="I214" s="171"/>
      <c r="J214" s="172"/>
      <c r="K214" s="170"/>
      <c r="L214" s="199">
        <f>'PRECIOS UNITARIOS TECHO'!N90</f>
        <v>7986</v>
      </c>
      <c r="M214" s="200">
        <f t="shared" si="11"/>
        <v>0</v>
      </c>
    </row>
    <row r="215" spans="1:13" ht="14.4" customHeight="1">
      <c r="A215" s="3">
        <v>81</v>
      </c>
      <c r="B215" s="146" t="s">
        <v>98</v>
      </c>
      <c r="C215" s="178" t="s">
        <v>19</v>
      </c>
      <c r="D215" s="187"/>
      <c r="E215" s="170"/>
      <c r="F215" s="171"/>
      <c r="G215" s="171"/>
      <c r="H215" s="171">
        <v>9</v>
      </c>
      <c r="I215" s="171"/>
      <c r="J215" s="172"/>
      <c r="K215" s="170">
        <f t="shared" ref="K215" si="13">AVERAGE(D215:J215)</f>
        <v>9</v>
      </c>
      <c r="L215" s="212"/>
      <c r="M215" s="206"/>
    </row>
    <row r="216" spans="1:13" ht="14.4" hidden="1" customHeight="1">
      <c r="A216" s="4">
        <v>82</v>
      </c>
      <c r="B216" s="146" t="s">
        <v>99</v>
      </c>
      <c r="C216" s="179" t="s">
        <v>19</v>
      </c>
      <c r="D216" s="187"/>
      <c r="E216" s="170"/>
      <c r="F216" s="171"/>
      <c r="G216" s="171"/>
      <c r="H216" s="171"/>
      <c r="I216" s="171"/>
      <c r="J216" s="172"/>
      <c r="K216" s="170"/>
      <c r="L216" s="199">
        <f>'PRECIOS UNITARIOS TECHO'!N92</f>
        <v>80262</v>
      </c>
      <c r="M216" s="200">
        <f t="shared" si="11"/>
        <v>0</v>
      </c>
    </row>
    <row r="217" spans="1:13" ht="14.4" hidden="1" customHeight="1">
      <c r="A217" s="3">
        <v>84</v>
      </c>
      <c r="B217" s="146" t="s">
        <v>101</v>
      </c>
      <c r="C217" s="178" t="s">
        <v>102</v>
      </c>
      <c r="D217" s="187"/>
      <c r="E217" s="170"/>
      <c r="F217" s="171"/>
      <c r="G217" s="171"/>
      <c r="H217" s="171"/>
      <c r="I217" s="171"/>
      <c r="J217" s="172"/>
      <c r="K217" s="170"/>
      <c r="L217" s="201">
        <f>'PRECIOS UNITARIOS TECHO'!N94</f>
        <v>5127</v>
      </c>
      <c r="M217" s="202">
        <f t="shared" si="11"/>
        <v>0</v>
      </c>
    </row>
    <row r="218" spans="1:13" ht="14.4" hidden="1" customHeight="1">
      <c r="A218" s="3">
        <v>85</v>
      </c>
      <c r="B218" s="146" t="s">
        <v>103</v>
      </c>
      <c r="C218" s="178" t="s">
        <v>102</v>
      </c>
      <c r="D218" s="187"/>
      <c r="E218" s="170"/>
      <c r="F218" s="171"/>
      <c r="G218" s="171"/>
      <c r="H218" s="171"/>
      <c r="I218" s="171"/>
      <c r="J218" s="172"/>
      <c r="K218" s="170"/>
      <c r="L218" s="197">
        <f>'PRECIOS UNITARIOS TECHO'!N95</f>
        <v>5115</v>
      </c>
      <c r="M218" s="198">
        <f t="shared" si="11"/>
        <v>0</v>
      </c>
    </row>
    <row r="219" spans="1:13" ht="14.4" hidden="1" customHeight="1">
      <c r="A219" s="3">
        <v>88</v>
      </c>
      <c r="B219" s="146" t="s">
        <v>106</v>
      </c>
      <c r="C219" s="178" t="s">
        <v>102</v>
      </c>
      <c r="D219" s="187"/>
      <c r="E219" s="170"/>
      <c r="F219" s="171"/>
      <c r="G219" s="171"/>
      <c r="H219" s="171"/>
      <c r="I219" s="171"/>
      <c r="J219" s="172"/>
      <c r="K219" s="170"/>
      <c r="L219" s="201">
        <f>'PRECIOS UNITARIOS TECHO'!N98</f>
        <v>17637</v>
      </c>
      <c r="M219" s="202">
        <f t="shared" si="11"/>
        <v>0</v>
      </c>
    </row>
    <row r="220" spans="1:13" ht="14.4" hidden="1" customHeight="1">
      <c r="A220" s="3">
        <v>89</v>
      </c>
      <c r="B220" s="146" t="s">
        <v>107</v>
      </c>
      <c r="C220" s="178" t="s">
        <v>19</v>
      </c>
      <c r="D220" s="187"/>
      <c r="E220" s="170"/>
      <c r="F220" s="171"/>
      <c r="G220" s="171"/>
      <c r="H220" s="171"/>
      <c r="I220" s="171"/>
      <c r="J220" s="172"/>
      <c r="K220" s="170"/>
      <c r="L220" s="197">
        <f>'PRECIOS UNITARIOS TECHO'!N99</f>
        <v>1559</v>
      </c>
      <c r="M220" s="198">
        <f t="shared" si="11"/>
        <v>0</v>
      </c>
    </row>
    <row r="221" spans="1:13" ht="14.4" customHeight="1">
      <c r="A221" s="3">
        <v>90</v>
      </c>
      <c r="B221" s="146" t="s">
        <v>108</v>
      </c>
      <c r="C221" s="178" t="s">
        <v>19</v>
      </c>
      <c r="D221" s="187"/>
      <c r="E221" s="170"/>
      <c r="F221" s="171"/>
      <c r="G221" s="171">
        <v>5</v>
      </c>
      <c r="H221" s="171">
        <v>5</v>
      </c>
      <c r="I221" s="171"/>
      <c r="J221" s="172"/>
      <c r="K221" s="170">
        <f t="shared" ref="K221" si="14">AVERAGE(D221:J221)</f>
        <v>5</v>
      </c>
      <c r="L221" s="212"/>
      <c r="M221" s="206"/>
    </row>
    <row r="222" spans="1:13" ht="14.4" hidden="1" customHeight="1">
      <c r="A222" s="3">
        <v>91</v>
      </c>
      <c r="B222" s="151" t="s">
        <v>153</v>
      </c>
      <c r="C222" s="178" t="s">
        <v>19</v>
      </c>
      <c r="D222" s="187"/>
      <c r="E222" s="170"/>
      <c r="F222" s="171"/>
      <c r="G222" s="171"/>
      <c r="H222" s="171"/>
      <c r="I222" s="171"/>
      <c r="J222" s="172"/>
      <c r="K222" s="170"/>
      <c r="L222" s="199">
        <f>'PRECIOS UNITARIOS TECHO'!N101</f>
        <v>1823</v>
      </c>
      <c r="M222" s="200">
        <f t="shared" si="11"/>
        <v>0</v>
      </c>
    </row>
    <row r="223" spans="1:13" ht="14.4" customHeight="1">
      <c r="A223" s="3">
        <v>92</v>
      </c>
      <c r="B223" s="146" t="s">
        <v>109</v>
      </c>
      <c r="C223" s="178" t="s">
        <v>19</v>
      </c>
      <c r="D223" s="187">
        <v>20</v>
      </c>
      <c r="E223" s="170"/>
      <c r="F223" s="171">
        <v>20</v>
      </c>
      <c r="G223" s="171"/>
      <c r="H223" s="171"/>
      <c r="I223" s="171">
        <v>25</v>
      </c>
      <c r="J223" s="172"/>
      <c r="K223" s="170">
        <f t="shared" ref="K223:K225" si="15">AVERAGE(D223:J223)</f>
        <v>21.666666666666668</v>
      </c>
      <c r="L223" s="212"/>
      <c r="M223" s="206"/>
    </row>
    <row r="224" spans="1:13" ht="14.4" customHeight="1">
      <c r="A224" s="3">
        <v>93</v>
      </c>
      <c r="B224" s="146" t="s">
        <v>110</v>
      </c>
      <c r="C224" s="178" t="s">
        <v>77</v>
      </c>
      <c r="D224" s="187">
        <v>8</v>
      </c>
      <c r="E224" s="170">
        <v>16</v>
      </c>
      <c r="F224" s="171">
        <v>10</v>
      </c>
      <c r="G224" s="171"/>
      <c r="H224" s="171"/>
      <c r="I224" s="171"/>
      <c r="J224" s="172"/>
      <c r="K224" s="170">
        <f t="shared" si="15"/>
        <v>11.333333333333334</v>
      </c>
      <c r="L224" s="212"/>
      <c r="M224" s="206"/>
    </row>
    <row r="225" spans="1:13" ht="14.4" customHeight="1">
      <c r="A225" s="3">
        <v>94</v>
      </c>
      <c r="B225" s="146" t="s">
        <v>111</v>
      </c>
      <c r="C225" s="178" t="s">
        <v>19</v>
      </c>
      <c r="D225" s="187"/>
      <c r="E225" s="170"/>
      <c r="F225" s="171"/>
      <c r="G225" s="171">
        <v>5</v>
      </c>
      <c r="H225" s="171">
        <v>5</v>
      </c>
      <c r="I225" s="171"/>
      <c r="J225" s="172"/>
      <c r="K225" s="170">
        <f t="shared" si="15"/>
        <v>5</v>
      </c>
      <c r="L225" s="212"/>
      <c r="M225" s="206"/>
    </row>
    <row r="226" spans="1:13" ht="14.4" hidden="1" customHeight="1">
      <c r="A226" s="3">
        <v>95</v>
      </c>
      <c r="B226" s="151" t="s">
        <v>154</v>
      </c>
      <c r="C226" s="178" t="s">
        <v>19</v>
      </c>
      <c r="D226" s="187"/>
      <c r="E226" s="170"/>
      <c r="F226" s="171"/>
      <c r="G226" s="171"/>
      <c r="H226" s="171"/>
      <c r="I226" s="171"/>
      <c r="J226" s="172"/>
      <c r="K226" s="170"/>
      <c r="L226" s="199">
        <f>'PRECIOS UNITARIOS TECHO'!N105</f>
        <v>2572</v>
      </c>
      <c r="M226" s="200">
        <f t="shared" si="11"/>
        <v>0</v>
      </c>
    </row>
    <row r="227" spans="1:13" ht="14.4" customHeight="1">
      <c r="A227" s="3">
        <v>96</v>
      </c>
      <c r="B227" s="146" t="s">
        <v>112</v>
      </c>
      <c r="C227" s="178" t="s">
        <v>43</v>
      </c>
      <c r="D227" s="187"/>
      <c r="E227" s="170">
        <v>4</v>
      </c>
      <c r="F227" s="171">
        <v>4</v>
      </c>
      <c r="G227" s="171"/>
      <c r="H227" s="171"/>
      <c r="I227" s="171"/>
      <c r="J227" s="172"/>
      <c r="K227" s="170">
        <f t="shared" ref="K227" si="16">AVERAGE(D227:J227)</f>
        <v>4</v>
      </c>
      <c r="L227" s="212"/>
      <c r="M227" s="206"/>
    </row>
    <row r="228" spans="1:13" ht="14.4" hidden="1" customHeight="1">
      <c r="A228" s="3">
        <v>97</v>
      </c>
      <c r="B228" s="151" t="s">
        <v>155</v>
      </c>
      <c r="C228" s="178" t="s">
        <v>43</v>
      </c>
      <c r="D228" s="187"/>
      <c r="E228" s="170"/>
      <c r="F228" s="171"/>
      <c r="G228" s="171"/>
      <c r="H228" s="171"/>
      <c r="I228" s="171"/>
      <c r="J228" s="172"/>
      <c r="K228" s="170"/>
      <c r="L228" s="199">
        <f>'PRECIOS UNITARIOS TECHO'!N107</f>
        <v>30023</v>
      </c>
      <c r="M228" s="200">
        <f t="shared" si="11"/>
        <v>0</v>
      </c>
    </row>
    <row r="229" spans="1:13" ht="14.4" customHeight="1">
      <c r="A229" s="3">
        <v>98</v>
      </c>
      <c r="B229" s="146" t="s">
        <v>113</v>
      </c>
      <c r="C229" s="178" t="s">
        <v>43</v>
      </c>
      <c r="D229" s="187"/>
      <c r="E229" s="170"/>
      <c r="F229" s="171"/>
      <c r="G229" s="171"/>
      <c r="H229" s="171"/>
      <c r="I229" s="171">
        <v>5</v>
      </c>
      <c r="J229" s="172">
        <v>4</v>
      </c>
      <c r="K229" s="170">
        <f t="shared" ref="K229" si="17">AVERAGE(D229:J229)</f>
        <v>4.5</v>
      </c>
      <c r="L229" s="212"/>
      <c r="M229" s="206"/>
    </row>
    <row r="230" spans="1:13" ht="14.4" hidden="1" customHeight="1">
      <c r="A230" s="3">
        <v>99</v>
      </c>
      <c r="B230" s="146" t="s">
        <v>114</v>
      </c>
      <c r="C230" s="178" t="s">
        <v>115</v>
      </c>
      <c r="D230" s="187"/>
      <c r="E230" s="170"/>
      <c r="F230" s="171"/>
      <c r="G230" s="171"/>
      <c r="H230" s="171"/>
      <c r="I230" s="171"/>
      <c r="J230" s="172"/>
      <c r="K230" s="170"/>
      <c r="L230" s="201">
        <f>'PRECIOS UNITARIOS TECHO'!N109</f>
        <v>17789</v>
      </c>
      <c r="M230" s="202">
        <f t="shared" si="11"/>
        <v>0</v>
      </c>
    </row>
    <row r="231" spans="1:13" ht="14.4" hidden="1" customHeight="1">
      <c r="A231" s="3">
        <v>100</v>
      </c>
      <c r="B231" s="146" t="s">
        <v>116</v>
      </c>
      <c r="C231" s="178" t="s">
        <v>115</v>
      </c>
      <c r="D231" s="187"/>
      <c r="E231" s="170"/>
      <c r="F231" s="171"/>
      <c r="G231" s="171"/>
      <c r="H231" s="171"/>
      <c r="I231" s="171"/>
      <c r="J231" s="172"/>
      <c r="K231" s="170"/>
      <c r="L231" s="197">
        <f>'PRECIOS UNITARIOS TECHO'!N110</f>
        <v>16139</v>
      </c>
      <c r="M231" s="198">
        <f t="shared" si="11"/>
        <v>0</v>
      </c>
    </row>
    <row r="232" spans="1:13" ht="14.4" customHeight="1">
      <c r="A232" s="3">
        <v>101</v>
      </c>
      <c r="B232" s="146" t="s">
        <v>117</v>
      </c>
      <c r="C232" s="178" t="s">
        <v>43</v>
      </c>
      <c r="D232" s="187"/>
      <c r="E232" s="170"/>
      <c r="F232" s="171"/>
      <c r="G232" s="171"/>
      <c r="H232" s="171"/>
      <c r="I232" s="171">
        <v>2</v>
      </c>
      <c r="J232" s="172">
        <v>4</v>
      </c>
      <c r="K232" s="170">
        <f t="shared" ref="K232:K233" si="18">AVERAGE(D232:J232)</f>
        <v>3</v>
      </c>
      <c r="L232" s="212"/>
      <c r="M232" s="206"/>
    </row>
    <row r="233" spans="1:13" ht="14.4" customHeight="1">
      <c r="A233" s="4">
        <v>102</v>
      </c>
      <c r="B233" s="146" t="s">
        <v>118</v>
      </c>
      <c r="C233" s="179" t="s">
        <v>19</v>
      </c>
      <c r="D233" s="187"/>
      <c r="E233" s="170">
        <v>10</v>
      </c>
      <c r="F233" s="171">
        <v>10</v>
      </c>
      <c r="G233" s="171"/>
      <c r="H233" s="171"/>
      <c r="I233" s="171">
        <v>20</v>
      </c>
      <c r="J233" s="172"/>
      <c r="K233" s="170">
        <f t="shared" si="18"/>
        <v>13.333333333333334</v>
      </c>
      <c r="L233" s="212"/>
      <c r="M233" s="206"/>
    </row>
    <row r="234" spans="1:13" ht="14.4" hidden="1" customHeight="1">
      <c r="A234" s="3">
        <v>103</v>
      </c>
      <c r="B234" s="146" t="s">
        <v>119</v>
      </c>
      <c r="C234" s="178" t="s">
        <v>19</v>
      </c>
      <c r="D234" s="187"/>
      <c r="E234" s="170"/>
      <c r="F234" s="171"/>
      <c r="G234" s="171"/>
      <c r="H234" s="171"/>
      <c r="I234" s="171"/>
      <c r="J234" s="172"/>
      <c r="K234" s="170"/>
      <c r="L234" s="201">
        <v>0</v>
      </c>
      <c r="M234" s="202">
        <v>0</v>
      </c>
    </row>
    <row r="235" spans="1:13" ht="14.4" hidden="1" customHeight="1">
      <c r="A235" s="3">
        <v>104</v>
      </c>
      <c r="B235" s="151" t="s">
        <v>156</v>
      </c>
      <c r="C235" s="178" t="s">
        <v>19</v>
      </c>
      <c r="D235" s="187"/>
      <c r="E235" s="170"/>
      <c r="F235" s="171"/>
      <c r="G235" s="171"/>
      <c r="H235" s="171"/>
      <c r="I235" s="171"/>
      <c r="J235" s="172"/>
      <c r="K235" s="170"/>
      <c r="L235" s="183">
        <f>'PRECIOS UNITARIOS TECHO'!N114</f>
        <v>310495</v>
      </c>
      <c r="M235" s="188">
        <f t="shared" si="11"/>
        <v>0</v>
      </c>
    </row>
    <row r="236" spans="1:13" ht="14.4" hidden="1" customHeight="1">
      <c r="A236" s="3">
        <v>105</v>
      </c>
      <c r="B236" s="151" t="s">
        <v>157</v>
      </c>
      <c r="C236" s="178" t="s">
        <v>19</v>
      </c>
      <c r="D236" s="187"/>
      <c r="E236" s="170"/>
      <c r="F236" s="171"/>
      <c r="G236" s="171"/>
      <c r="H236" s="171"/>
      <c r="I236" s="171"/>
      <c r="J236" s="172"/>
      <c r="K236" s="170"/>
      <c r="L236" s="183">
        <f>'PRECIOS UNITARIOS TECHO'!N115</f>
        <v>89392</v>
      </c>
      <c r="M236" s="188">
        <f t="shared" si="11"/>
        <v>0</v>
      </c>
    </row>
    <row r="237" spans="1:13" ht="14.4" hidden="1" customHeight="1">
      <c r="A237" s="3">
        <v>106</v>
      </c>
      <c r="B237" s="146" t="s">
        <v>120</v>
      </c>
      <c r="C237" s="178" t="s">
        <v>19</v>
      </c>
      <c r="D237" s="187"/>
      <c r="E237" s="170"/>
      <c r="F237" s="171"/>
      <c r="G237" s="171"/>
      <c r="H237" s="171"/>
      <c r="I237" s="171"/>
      <c r="J237" s="172"/>
      <c r="K237" s="170"/>
      <c r="L237" s="183">
        <f>'PRECIOS UNITARIOS TECHO'!N116</f>
        <v>124532</v>
      </c>
      <c r="M237" s="188">
        <f t="shared" si="11"/>
        <v>0</v>
      </c>
    </row>
    <row r="238" spans="1:13" ht="14.4" hidden="1" customHeight="1">
      <c r="A238" s="3">
        <v>107</v>
      </c>
      <c r="B238" s="151" t="s">
        <v>158</v>
      </c>
      <c r="C238" s="178" t="s">
        <v>31</v>
      </c>
      <c r="D238" s="187"/>
      <c r="E238" s="170"/>
      <c r="F238" s="171"/>
      <c r="G238" s="171"/>
      <c r="H238" s="171"/>
      <c r="I238" s="171"/>
      <c r="J238" s="172"/>
      <c r="K238" s="170"/>
      <c r="L238" s="197">
        <f>'PRECIOS UNITARIOS TECHO'!N117</f>
        <v>13542</v>
      </c>
      <c r="M238" s="198">
        <f t="shared" si="11"/>
        <v>0</v>
      </c>
    </row>
    <row r="239" spans="1:13" ht="14.4" hidden="1" customHeight="1">
      <c r="A239" s="3">
        <v>109</v>
      </c>
      <c r="B239" s="151" t="s">
        <v>159</v>
      </c>
      <c r="C239" s="178" t="s">
        <v>43</v>
      </c>
      <c r="D239" s="187"/>
      <c r="E239" s="170"/>
      <c r="F239" s="171"/>
      <c r="G239" s="171"/>
      <c r="H239" s="171"/>
      <c r="I239" s="171"/>
      <c r="J239" s="172"/>
      <c r="K239" s="170"/>
      <c r="L239" s="199">
        <f>'PRECIOS UNITARIOS TECHO'!N119</f>
        <v>61685</v>
      </c>
      <c r="M239" s="200">
        <f t="shared" si="11"/>
        <v>0</v>
      </c>
    </row>
    <row r="240" spans="1:13" ht="14.4" customHeight="1">
      <c r="A240" s="3">
        <v>110</v>
      </c>
      <c r="B240" s="146" t="s">
        <v>122</v>
      </c>
      <c r="C240" s="178" t="s">
        <v>19</v>
      </c>
      <c r="D240" s="187"/>
      <c r="E240" s="170">
        <v>15</v>
      </c>
      <c r="F240" s="171">
        <v>16</v>
      </c>
      <c r="G240" s="171">
        <v>18</v>
      </c>
      <c r="H240" s="171">
        <v>20</v>
      </c>
      <c r="I240" s="171">
        <v>20</v>
      </c>
      <c r="J240" s="172"/>
      <c r="K240" s="170">
        <f>AVERAGE(D240:J240)</f>
        <v>17.8</v>
      </c>
      <c r="L240" s="212"/>
      <c r="M240" s="206"/>
    </row>
    <row r="241" spans="1:13" ht="14.4" hidden="1" customHeight="1">
      <c r="A241" s="3">
        <v>111</v>
      </c>
      <c r="B241" s="146" t="s">
        <v>123</v>
      </c>
      <c r="C241" s="178" t="s">
        <v>19</v>
      </c>
      <c r="D241" s="187"/>
      <c r="E241" s="170"/>
      <c r="F241" s="171"/>
      <c r="G241" s="171"/>
      <c r="H241" s="171"/>
      <c r="I241" s="171"/>
      <c r="J241" s="172"/>
      <c r="K241" s="170"/>
      <c r="L241" s="201">
        <f>'PRECIOS UNITARIOS TECHO'!N121</f>
        <v>2213</v>
      </c>
      <c r="M241" s="202">
        <f t="shared" si="11"/>
        <v>0</v>
      </c>
    </row>
    <row r="242" spans="1:13" ht="14.4" hidden="1" customHeight="1">
      <c r="A242" s="3">
        <v>112</v>
      </c>
      <c r="B242" s="146" t="s">
        <v>124</v>
      </c>
      <c r="C242" s="178" t="s">
        <v>19</v>
      </c>
      <c r="D242" s="187"/>
      <c r="E242" s="170"/>
      <c r="F242" s="171"/>
      <c r="G242" s="171"/>
      <c r="H242" s="171"/>
      <c r="I242" s="171"/>
      <c r="J242" s="172"/>
      <c r="K242" s="170"/>
      <c r="L242" s="197">
        <f>'PRECIOS UNITARIOS TECHO'!N122</f>
        <v>898795</v>
      </c>
      <c r="M242" s="198">
        <f t="shared" si="11"/>
        <v>0</v>
      </c>
    </row>
    <row r="243" spans="1:13" ht="14.4" customHeight="1">
      <c r="A243" s="3">
        <v>113</v>
      </c>
      <c r="B243" s="146" t="s">
        <v>125</v>
      </c>
      <c r="C243" s="178" t="s">
        <v>19</v>
      </c>
      <c r="D243" s="187"/>
      <c r="E243" s="170"/>
      <c r="F243" s="171"/>
      <c r="G243" s="171"/>
      <c r="H243" s="171"/>
      <c r="I243" s="171">
        <v>1</v>
      </c>
      <c r="J243" s="172"/>
      <c r="K243" s="170">
        <f t="shared" ref="K243" si="19">AVERAGE(D243:J243)</f>
        <v>1</v>
      </c>
      <c r="L243" s="212"/>
      <c r="M243" s="206"/>
    </row>
    <row r="244" spans="1:13" ht="14.4" hidden="1" customHeight="1">
      <c r="A244" s="3">
        <v>114</v>
      </c>
      <c r="B244" s="146" t="s">
        <v>126</v>
      </c>
      <c r="C244" s="178" t="s">
        <v>19</v>
      </c>
      <c r="D244" s="187"/>
      <c r="E244" s="170"/>
      <c r="F244" s="171"/>
      <c r="G244" s="171"/>
      <c r="H244" s="171"/>
      <c r="I244" s="171"/>
      <c r="J244" s="172"/>
      <c r="K244" s="170"/>
      <c r="L244" s="201">
        <f>'PRECIOS UNITARIOS TECHO'!N124</f>
        <v>420269</v>
      </c>
      <c r="M244" s="202">
        <f t="shared" si="11"/>
        <v>0</v>
      </c>
    </row>
    <row r="245" spans="1:13" ht="14.4" hidden="1" customHeight="1">
      <c r="A245" s="3">
        <v>115</v>
      </c>
      <c r="B245" s="146" t="s">
        <v>127</v>
      </c>
      <c r="C245" s="178" t="s">
        <v>19</v>
      </c>
      <c r="D245" s="187"/>
      <c r="E245" s="170"/>
      <c r="F245" s="171"/>
      <c r="G245" s="171"/>
      <c r="H245" s="171"/>
      <c r="I245" s="171"/>
      <c r="J245" s="172"/>
      <c r="K245" s="170"/>
      <c r="L245" s="197">
        <f>'PRECIOS UNITARIOS TECHO'!N125</f>
        <v>776769</v>
      </c>
      <c r="M245" s="198">
        <f t="shared" si="11"/>
        <v>0</v>
      </c>
    </row>
    <row r="246" spans="1:13" ht="14.4" customHeight="1">
      <c r="A246" s="3">
        <v>116</v>
      </c>
      <c r="B246" s="146" t="s">
        <v>128</v>
      </c>
      <c r="C246" s="178" t="s">
        <v>19</v>
      </c>
      <c r="D246" s="187"/>
      <c r="E246" s="170"/>
      <c r="F246" s="171"/>
      <c r="G246" s="171"/>
      <c r="H246" s="171"/>
      <c r="I246" s="171"/>
      <c r="J246" s="172">
        <v>1</v>
      </c>
      <c r="K246" s="170">
        <f t="shared" ref="K246" si="20">AVERAGE(D246:J246)</f>
        <v>1</v>
      </c>
      <c r="L246" s="212"/>
      <c r="M246" s="206"/>
    </row>
    <row r="247" spans="1:13" ht="14.4" hidden="1" customHeight="1">
      <c r="A247" s="3">
        <v>117</v>
      </c>
      <c r="B247" s="146" t="s">
        <v>129</v>
      </c>
      <c r="C247" s="178" t="s">
        <v>19</v>
      </c>
      <c r="D247" s="187"/>
      <c r="E247" s="170"/>
      <c r="F247" s="171"/>
      <c r="G247" s="171"/>
      <c r="H247" s="171"/>
      <c r="I247" s="171"/>
      <c r="J247" s="172"/>
      <c r="K247" s="170"/>
      <c r="L247" s="201">
        <f>'PRECIOS UNITARIOS TECHO'!N127</f>
        <v>776769</v>
      </c>
      <c r="M247" s="202">
        <f t="shared" si="11"/>
        <v>0</v>
      </c>
    </row>
    <row r="248" spans="1:13" ht="14.4" hidden="1" customHeight="1">
      <c r="A248" s="3">
        <v>118</v>
      </c>
      <c r="B248" s="146" t="s">
        <v>130</v>
      </c>
      <c r="C248" s="178" t="s">
        <v>19</v>
      </c>
      <c r="D248" s="187"/>
      <c r="E248" s="170"/>
      <c r="F248" s="171"/>
      <c r="G248" s="171"/>
      <c r="H248" s="171"/>
      <c r="I248" s="171"/>
      <c r="J248" s="172"/>
      <c r="K248" s="170"/>
      <c r="L248" s="183">
        <f>'PRECIOS UNITARIOS TECHO'!N128</f>
        <v>3371</v>
      </c>
      <c r="M248" s="188">
        <f t="shared" si="11"/>
        <v>0</v>
      </c>
    </row>
    <row r="249" spans="1:13" ht="14.4" hidden="1" customHeight="1">
      <c r="A249" s="3">
        <v>119</v>
      </c>
      <c r="B249" s="146" t="s">
        <v>131</v>
      </c>
      <c r="C249" s="178" t="s">
        <v>19</v>
      </c>
      <c r="D249" s="187"/>
      <c r="E249" s="170"/>
      <c r="F249" s="171"/>
      <c r="G249" s="171"/>
      <c r="H249" s="171"/>
      <c r="I249" s="171"/>
      <c r="J249" s="172"/>
      <c r="K249" s="170"/>
      <c r="L249" s="183">
        <f>'PRECIOS UNITARIOS TECHO'!N129</f>
        <v>3564</v>
      </c>
      <c r="M249" s="188">
        <f t="shared" si="11"/>
        <v>0</v>
      </c>
    </row>
    <row r="250" spans="1:13" ht="14.4" hidden="1" customHeight="1">
      <c r="A250" s="3">
        <v>120</v>
      </c>
      <c r="B250" s="146" t="s">
        <v>132</v>
      </c>
      <c r="C250" s="178" t="s">
        <v>48</v>
      </c>
      <c r="D250" s="187"/>
      <c r="E250" s="170"/>
      <c r="F250" s="171"/>
      <c r="G250" s="171"/>
      <c r="H250" s="171"/>
      <c r="I250" s="171"/>
      <c r="J250" s="172"/>
      <c r="K250" s="170"/>
      <c r="L250" s="183">
        <f>'PRECIOS UNITARIOS TECHO'!N130</f>
        <v>54539</v>
      </c>
      <c r="M250" s="188">
        <f t="shared" si="11"/>
        <v>0</v>
      </c>
    </row>
    <row r="251" spans="1:13" ht="14.4" hidden="1" customHeight="1">
      <c r="A251" s="3">
        <v>121</v>
      </c>
      <c r="B251" s="146" t="s">
        <v>133</v>
      </c>
      <c r="C251" s="178" t="s">
        <v>19</v>
      </c>
      <c r="D251" s="187"/>
      <c r="E251" s="170"/>
      <c r="F251" s="171"/>
      <c r="G251" s="171"/>
      <c r="H251" s="171"/>
      <c r="I251" s="171"/>
      <c r="J251" s="172"/>
      <c r="K251" s="170"/>
      <c r="L251" s="197">
        <f>'PRECIOS UNITARIOS TECHO'!N131</f>
        <v>856603</v>
      </c>
      <c r="M251" s="198">
        <f t="shared" si="11"/>
        <v>0</v>
      </c>
    </row>
    <row r="252" spans="1:13" ht="14.4" customHeight="1">
      <c r="A252" s="4">
        <v>122</v>
      </c>
      <c r="B252" s="152" t="s">
        <v>599</v>
      </c>
      <c r="C252" s="179" t="s">
        <v>19</v>
      </c>
      <c r="D252" s="187"/>
      <c r="E252" s="170"/>
      <c r="F252" s="170">
        <v>365</v>
      </c>
      <c r="G252" s="171"/>
      <c r="H252" s="171"/>
      <c r="I252" s="171"/>
      <c r="J252" s="172"/>
      <c r="K252" s="170">
        <f t="shared" ref="K252:K253" si="21">AVERAGE(D252:J252)</f>
        <v>365</v>
      </c>
      <c r="L252" s="212"/>
      <c r="M252" s="206"/>
    </row>
    <row r="253" spans="1:13" ht="14.4" customHeight="1">
      <c r="A253" s="4">
        <v>123</v>
      </c>
      <c r="B253" s="146" t="s">
        <v>246</v>
      </c>
      <c r="C253" s="179" t="s">
        <v>134</v>
      </c>
      <c r="D253" s="187"/>
      <c r="E253" s="170"/>
      <c r="F253" s="170">
        <v>663</v>
      </c>
      <c r="G253" s="171"/>
      <c r="H253" s="171"/>
      <c r="I253" s="171"/>
      <c r="J253" s="172"/>
      <c r="K253" s="170">
        <f t="shared" si="21"/>
        <v>663</v>
      </c>
      <c r="L253" s="212"/>
      <c r="M253" s="206"/>
    </row>
    <row r="254" spans="1:13" hidden="1">
      <c r="A254" s="166">
        <v>124</v>
      </c>
      <c r="B254" s="167" t="s">
        <v>607</v>
      </c>
      <c r="D254" s="145"/>
      <c r="E254" s="168"/>
      <c r="F254" s="168"/>
      <c r="K254" s="170"/>
      <c r="L254" s="203"/>
      <c r="M254" s="202">
        <f t="shared" si="11"/>
        <v>0</v>
      </c>
    </row>
    <row r="255" spans="1:13" hidden="1">
      <c r="M255" s="182">
        <f>SUM(M137:M254)</f>
        <v>0</v>
      </c>
    </row>
    <row r="256" spans="1:13"/>
    <row r="257"/>
  </sheetData>
  <autoFilter ref="A136:M255" xr:uid="{732750BB-F17C-4798-AC61-3CCB41761562}">
    <filterColumn colId="10">
      <customFilters>
        <customFilter operator="notEqual" val=" "/>
      </customFilters>
    </filterColumn>
  </autoFilter>
  <mergeCells count="16">
    <mergeCell ref="Q1:R1"/>
    <mergeCell ref="B1:B2"/>
    <mergeCell ref="F1:F2"/>
    <mergeCell ref="E1:E2"/>
    <mergeCell ref="A1:A2"/>
    <mergeCell ref="J1:J2"/>
    <mergeCell ref="K1:K2"/>
    <mergeCell ref="L1:M1"/>
    <mergeCell ref="O1:O2"/>
    <mergeCell ref="P1:P2"/>
    <mergeCell ref="O118:Q118"/>
    <mergeCell ref="O119:Q119"/>
    <mergeCell ref="J118:L118"/>
    <mergeCell ref="J119:L119"/>
    <mergeCell ref="B112:C112"/>
    <mergeCell ref="B113:C1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44884-436C-4846-AF05-01247891A693}">
  <dimension ref="A1:K68"/>
  <sheetViews>
    <sheetView showGridLines="0" tabSelected="1" topLeftCell="A56" workbookViewId="0">
      <selection activeCell="G60" sqref="G60"/>
    </sheetView>
  </sheetViews>
  <sheetFormatPr baseColWidth="10" defaultColWidth="0" defaultRowHeight="14.4"/>
  <cols>
    <col min="1" max="1" width="6.33203125" customWidth="1"/>
    <col min="2" max="2" width="11.88671875" customWidth="1"/>
    <col min="3" max="3" width="48.33203125" customWidth="1"/>
    <col min="4" max="4" width="12.44140625" customWidth="1"/>
    <col min="5" max="5" width="14.109375" customWidth="1"/>
    <col min="6" max="6" width="15.6640625" customWidth="1"/>
    <col min="7" max="7" width="18.5546875" customWidth="1"/>
    <col min="8" max="8" width="16.109375" customWidth="1"/>
    <col min="9" max="9" width="11.6640625" bestFit="1" customWidth="1"/>
    <col min="10" max="10" width="11.5546875" hidden="1" customWidth="1"/>
    <col min="11" max="11" width="15.33203125" hidden="1" customWidth="1"/>
    <col min="12" max="16384" width="11.5546875" hidden="1"/>
  </cols>
  <sheetData>
    <row r="1" spans="1:8" ht="37.200000000000003" customHeight="1">
      <c r="A1" s="328" t="s">
        <v>625</v>
      </c>
      <c r="B1" s="329"/>
      <c r="C1" s="213">
        <v>6</v>
      </c>
      <c r="D1" s="213" t="s">
        <v>629</v>
      </c>
    </row>
    <row r="2" spans="1:8" ht="45.75" customHeight="1">
      <c r="A2" s="294" t="s">
        <v>751</v>
      </c>
      <c r="B2" s="294" t="s">
        <v>750</v>
      </c>
      <c r="C2" s="294" t="s">
        <v>15</v>
      </c>
      <c r="D2" s="294" t="s">
        <v>16</v>
      </c>
      <c r="E2" s="231" t="s">
        <v>624</v>
      </c>
      <c r="F2" s="231" t="str">
        <f>'PRECIOS UNITARIOS TECHO'!R9</f>
        <v>PRECIOS TECHO FINAL</v>
      </c>
      <c r="G2" s="231" t="s">
        <v>626</v>
      </c>
      <c r="H2" s="231" t="s">
        <v>795</v>
      </c>
    </row>
    <row r="3" spans="1:8" ht="30" customHeight="1">
      <c r="A3" s="303">
        <v>1</v>
      </c>
      <c r="B3" s="304">
        <v>2</v>
      </c>
      <c r="C3" s="305" t="s">
        <v>20</v>
      </c>
      <c r="D3" s="179" t="s">
        <v>19</v>
      </c>
      <c r="E3" s="306">
        <f>HISTORICOS!K138</f>
        <v>10</v>
      </c>
      <c r="F3" s="307">
        <f>_xlfn.XLOOKUP(B3,'PRECIOS UNITARIOS TECHO'!A:A,'PRECIOS UNITARIOS TECHO'!R:R,0)</f>
        <v>4430</v>
      </c>
      <c r="G3" s="302">
        <f>E3*F3*$C$1</f>
        <v>265800</v>
      </c>
      <c r="H3" s="302">
        <f>F3*E3</f>
        <v>44300</v>
      </c>
    </row>
    <row r="4" spans="1:8" ht="30" customHeight="1">
      <c r="A4" s="303">
        <v>2</v>
      </c>
      <c r="B4" s="304">
        <v>3</v>
      </c>
      <c r="C4" s="305" t="s">
        <v>21</v>
      </c>
      <c r="D4" s="179" t="s">
        <v>19</v>
      </c>
      <c r="E4" s="306">
        <f>HISTORICOS!K139</f>
        <v>16.666666666666668</v>
      </c>
      <c r="F4" s="307">
        <f>_xlfn.XLOOKUP(B4,'PRECIOS UNITARIOS TECHO'!A:A,'PRECIOS UNITARIOS TECHO'!R:R,0)</f>
        <v>4761</v>
      </c>
      <c r="G4" s="302">
        <f t="shared" ref="G4:G60" si="0">E4*F4*$C$1</f>
        <v>476100</v>
      </c>
      <c r="H4" s="302">
        <f t="shared" ref="H4:H60" si="1">F4*E4</f>
        <v>79350</v>
      </c>
    </row>
    <row r="5" spans="1:8" ht="30" customHeight="1">
      <c r="A5" s="303">
        <v>3</v>
      </c>
      <c r="B5" s="304">
        <v>4</v>
      </c>
      <c r="C5" s="305" t="s">
        <v>22</v>
      </c>
      <c r="D5" s="179" t="s">
        <v>23</v>
      </c>
      <c r="E5" s="306">
        <f>HISTORICOS!K140</f>
        <v>75.25</v>
      </c>
      <c r="F5" s="307">
        <f>_xlfn.XLOOKUP(B5,'PRECIOS UNITARIOS TECHO'!A:A,'PRECIOS UNITARIOS TECHO'!R:R,0)</f>
        <v>1251</v>
      </c>
      <c r="G5" s="302">
        <f t="shared" si="0"/>
        <v>564826.5</v>
      </c>
      <c r="H5" s="302">
        <f t="shared" si="1"/>
        <v>94137.75</v>
      </c>
    </row>
    <row r="6" spans="1:8" ht="53.4" customHeight="1">
      <c r="A6" s="303">
        <v>4</v>
      </c>
      <c r="B6" s="304">
        <v>5</v>
      </c>
      <c r="C6" s="305" t="s">
        <v>176</v>
      </c>
      <c r="D6" s="179" t="s">
        <v>24</v>
      </c>
      <c r="E6" s="306">
        <f>HISTORICOS!K141</f>
        <v>15</v>
      </c>
      <c r="F6" s="307">
        <f>_xlfn.XLOOKUP(B6,'PRECIOS UNITARIOS TECHO'!A:A,'PRECIOS UNITARIOS TECHO'!R:R,0)</f>
        <v>3831</v>
      </c>
      <c r="G6" s="302">
        <f t="shared" si="0"/>
        <v>344790</v>
      </c>
      <c r="H6" s="302">
        <f t="shared" si="1"/>
        <v>57465</v>
      </c>
    </row>
    <row r="7" spans="1:8" ht="30" customHeight="1">
      <c r="A7" s="303">
        <v>5</v>
      </c>
      <c r="B7" s="304">
        <v>6</v>
      </c>
      <c r="C7" s="305" t="s">
        <v>25</v>
      </c>
      <c r="D7" s="179" t="s">
        <v>19</v>
      </c>
      <c r="E7" s="306">
        <f>HISTORICOS!K142</f>
        <v>16.666666666666668</v>
      </c>
      <c r="F7" s="307">
        <f>_xlfn.XLOOKUP(B7,'PRECIOS UNITARIOS TECHO'!A:A,'PRECIOS UNITARIOS TECHO'!R:R,0)</f>
        <v>2687</v>
      </c>
      <c r="G7" s="302">
        <f t="shared" si="0"/>
        <v>268700</v>
      </c>
      <c r="H7" s="302">
        <f t="shared" si="1"/>
        <v>44783.333333333336</v>
      </c>
    </row>
    <row r="8" spans="1:8" ht="30" customHeight="1">
      <c r="A8" s="303">
        <v>6</v>
      </c>
      <c r="B8" s="304">
        <v>7</v>
      </c>
      <c r="C8" s="305" t="s">
        <v>26</v>
      </c>
      <c r="D8" s="179" t="s">
        <v>19</v>
      </c>
      <c r="E8" s="306">
        <f>HISTORICOS!K143</f>
        <v>20</v>
      </c>
      <c r="F8" s="307">
        <f>_xlfn.XLOOKUP(B8,'PRECIOS UNITARIOS TECHO'!A:A,'PRECIOS UNITARIOS TECHO'!R:R,0)</f>
        <v>5333</v>
      </c>
      <c r="G8" s="302">
        <f t="shared" si="0"/>
        <v>639960</v>
      </c>
      <c r="H8" s="302">
        <f t="shared" si="1"/>
        <v>106660</v>
      </c>
    </row>
    <row r="9" spans="1:8" ht="30" customHeight="1">
      <c r="A9" s="303">
        <v>7</v>
      </c>
      <c r="B9" s="304">
        <v>9</v>
      </c>
      <c r="C9" s="305" t="s">
        <v>28</v>
      </c>
      <c r="D9" s="179" t="s">
        <v>19</v>
      </c>
      <c r="E9" s="306">
        <f>HISTORICOS!K145</f>
        <v>200</v>
      </c>
      <c r="F9" s="307">
        <f>_xlfn.XLOOKUP(B9,'PRECIOS UNITARIOS TECHO'!A:A,'PRECIOS UNITARIOS TECHO'!R:R,0)</f>
        <v>1190</v>
      </c>
      <c r="G9" s="302">
        <f t="shared" si="0"/>
        <v>1428000</v>
      </c>
      <c r="H9" s="302">
        <f t="shared" si="1"/>
        <v>238000</v>
      </c>
    </row>
    <row r="10" spans="1:8" ht="30" customHeight="1">
      <c r="A10" s="303">
        <v>8</v>
      </c>
      <c r="B10" s="304">
        <v>10</v>
      </c>
      <c r="C10" s="305" t="s">
        <v>29</v>
      </c>
      <c r="D10" s="179" t="s">
        <v>19</v>
      </c>
      <c r="E10" s="306">
        <f>HISTORICOS!K146</f>
        <v>70</v>
      </c>
      <c r="F10" s="307">
        <f>_xlfn.XLOOKUP(B10,'PRECIOS UNITARIOS TECHO'!A:A,'PRECIOS UNITARIOS TECHO'!R:R,0)</f>
        <v>1279.25</v>
      </c>
      <c r="G10" s="302">
        <f t="shared" si="0"/>
        <v>537285</v>
      </c>
      <c r="H10" s="302">
        <f t="shared" si="1"/>
        <v>89547.5</v>
      </c>
    </row>
    <row r="11" spans="1:8" ht="30" customHeight="1">
      <c r="A11" s="303">
        <v>9</v>
      </c>
      <c r="B11" s="304">
        <v>11</v>
      </c>
      <c r="C11" s="305" t="s">
        <v>30</v>
      </c>
      <c r="D11" s="179" t="s">
        <v>31</v>
      </c>
      <c r="E11" s="306">
        <f>HISTORICOS!K147</f>
        <v>8</v>
      </c>
      <c r="F11" s="307">
        <f>_xlfn.XLOOKUP(B11,'PRECIOS UNITARIOS TECHO'!A:A,'PRECIOS UNITARIOS TECHO'!R:R,0)</f>
        <v>10538</v>
      </c>
      <c r="G11" s="302">
        <f t="shared" si="0"/>
        <v>505824</v>
      </c>
      <c r="H11" s="302">
        <f t="shared" si="1"/>
        <v>84304</v>
      </c>
    </row>
    <row r="12" spans="1:8" ht="30" customHeight="1">
      <c r="A12" s="303">
        <v>10</v>
      </c>
      <c r="B12" s="304">
        <v>12</v>
      </c>
      <c r="C12" s="305" t="s">
        <v>177</v>
      </c>
      <c r="D12" s="179" t="s">
        <v>19</v>
      </c>
      <c r="E12" s="306">
        <f>HISTORICOS!K148</f>
        <v>10</v>
      </c>
      <c r="F12" s="307">
        <f>_xlfn.XLOOKUP(B12,'PRECIOS UNITARIOS TECHO'!A:A,'PRECIOS UNITARIOS TECHO'!R:R,0)</f>
        <v>2731.05</v>
      </c>
      <c r="G12" s="302">
        <f t="shared" si="0"/>
        <v>163863</v>
      </c>
      <c r="H12" s="302">
        <f t="shared" si="1"/>
        <v>27310.5</v>
      </c>
    </row>
    <row r="13" spans="1:8" ht="30" customHeight="1">
      <c r="A13" s="303">
        <v>11</v>
      </c>
      <c r="B13" s="304">
        <v>13</v>
      </c>
      <c r="C13" s="305" t="s">
        <v>32</v>
      </c>
      <c r="D13" s="179" t="s">
        <v>33</v>
      </c>
      <c r="E13" s="306">
        <f>HISTORICOS!K149</f>
        <v>8</v>
      </c>
      <c r="F13" s="307">
        <f>_xlfn.XLOOKUP(B13,'PRECIOS UNITARIOS TECHO'!A:A,'PRECIOS UNITARIOS TECHO'!R:R,0)</f>
        <v>1865</v>
      </c>
      <c r="G13" s="302">
        <f t="shared" si="0"/>
        <v>89520</v>
      </c>
      <c r="H13" s="302">
        <f t="shared" si="1"/>
        <v>14920</v>
      </c>
    </row>
    <row r="14" spans="1:8" ht="30" customHeight="1">
      <c r="A14" s="303">
        <v>12</v>
      </c>
      <c r="B14" s="304">
        <v>14</v>
      </c>
      <c r="C14" s="305" t="s">
        <v>34</v>
      </c>
      <c r="D14" s="179" t="s">
        <v>19</v>
      </c>
      <c r="E14" s="306">
        <f>HISTORICOS!K150</f>
        <v>1</v>
      </c>
      <c r="F14" s="307">
        <f>_xlfn.XLOOKUP(B14,'PRECIOS UNITARIOS TECHO'!A:A,'PRECIOS UNITARIOS TECHO'!R:R,0)</f>
        <v>49955.55</v>
      </c>
      <c r="G14" s="302">
        <f t="shared" si="0"/>
        <v>299733.30000000005</v>
      </c>
      <c r="H14" s="302">
        <f t="shared" si="1"/>
        <v>49955.55</v>
      </c>
    </row>
    <row r="15" spans="1:8" ht="30" customHeight="1">
      <c r="A15" s="303">
        <v>13</v>
      </c>
      <c r="B15" s="304">
        <v>15</v>
      </c>
      <c r="C15" s="305" t="s">
        <v>35</v>
      </c>
      <c r="D15" s="179" t="s">
        <v>19</v>
      </c>
      <c r="E15" s="306">
        <f>HISTORICOS!K151</f>
        <v>2</v>
      </c>
      <c r="F15" s="307">
        <f>_xlfn.XLOOKUP(B15,'PRECIOS UNITARIOS TECHO'!A:A,'PRECIOS UNITARIOS TECHO'!R:R,0)</f>
        <v>49955.55</v>
      </c>
      <c r="G15" s="302">
        <f t="shared" si="0"/>
        <v>599466.60000000009</v>
      </c>
      <c r="H15" s="302">
        <f t="shared" si="1"/>
        <v>99911.1</v>
      </c>
    </row>
    <row r="16" spans="1:8" ht="30" customHeight="1">
      <c r="A16" s="303">
        <v>14</v>
      </c>
      <c r="B16" s="304">
        <v>22</v>
      </c>
      <c r="C16" s="305" t="s">
        <v>38</v>
      </c>
      <c r="D16" s="179" t="s">
        <v>39</v>
      </c>
      <c r="E16" s="306">
        <f>HISTORICOS!K158</f>
        <v>1</v>
      </c>
      <c r="F16" s="307">
        <f>_xlfn.XLOOKUP(B16,'PRECIOS UNITARIOS TECHO'!A:A,'PRECIOS UNITARIOS TECHO'!R:R,0)</f>
        <v>15717</v>
      </c>
      <c r="G16" s="302">
        <f t="shared" si="0"/>
        <v>94302</v>
      </c>
      <c r="H16" s="302">
        <f t="shared" si="1"/>
        <v>15717</v>
      </c>
    </row>
    <row r="17" spans="1:8" ht="30" customHeight="1">
      <c r="A17" s="303">
        <v>15</v>
      </c>
      <c r="B17" s="304">
        <v>23</v>
      </c>
      <c r="C17" s="305" t="s">
        <v>40</v>
      </c>
      <c r="D17" s="179" t="s">
        <v>39</v>
      </c>
      <c r="E17" s="306">
        <f>HISTORICOS!K159</f>
        <v>1</v>
      </c>
      <c r="F17" s="307">
        <f>_xlfn.XLOOKUP(B17,'PRECIOS UNITARIOS TECHO'!A:A,'PRECIOS UNITARIOS TECHO'!R:R,0)</f>
        <v>18926</v>
      </c>
      <c r="G17" s="302">
        <f t="shared" si="0"/>
        <v>113556</v>
      </c>
      <c r="H17" s="302">
        <f t="shared" si="1"/>
        <v>18926</v>
      </c>
    </row>
    <row r="18" spans="1:8" ht="30" customHeight="1">
      <c r="A18" s="303">
        <v>16</v>
      </c>
      <c r="B18" s="304">
        <v>24</v>
      </c>
      <c r="C18" s="305" t="s">
        <v>41</v>
      </c>
      <c r="D18" s="179" t="s">
        <v>19</v>
      </c>
      <c r="E18" s="306">
        <f>HISTORICOS!K160</f>
        <v>2.4</v>
      </c>
      <c r="F18" s="307">
        <f>_xlfn.XLOOKUP(B18,'PRECIOS UNITARIOS TECHO'!A:A,'PRECIOS UNITARIOS TECHO'!R:R,0)</f>
        <v>67235</v>
      </c>
      <c r="G18" s="302">
        <f t="shared" si="0"/>
        <v>968184</v>
      </c>
      <c r="H18" s="302">
        <f t="shared" si="1"/>
        <v>161364</v>
      </c>
    </row>
    <row r="19" spans="1:8" ht="30" customHeight="1">
      <c r="A19" s="303">
        <v>17</v>
      </c>
      <c r="B19" s="304">
        <v>25</v>
      </c>
      <c r="C19" s="305" t="s">
        <v>42</v>
      </c>
      <c r="D19" s="179" t="s">
        <v>43</v>
      </c>
      <c r="E19" s="306">
        <f>HISTORICOS!K161</f>
        <v>2</v>
      </c>
      <c r="F19" s="307">
        <f>_xlfn.XLOOKUP(B19,'PRECIOS UNITARIOS TECHO'!A:A,'PRECIOS UNITARIOS TECHO'!R:R,0)</f>
        <v>145180</v>
      </c>
      <c r="G19" s="302">
        <f t="shared" si="0"/>
        <v>1742160</v>
      </c>
      <c r="H19" s="302">
        <f t="shared" si="1"/>
        <v>290360</v>
      </c>
    </row>
    <row r="20" spans="1:8" ht="30" customHeight="1">
      <c r="A20" s="303">
        <v>18</v>
      </c>
      <c r="B20" s="304">
        <v>26</v>
      </c>
      <c r="C20" s="305" t="s">
        <v>44</v>
      </c>
      <c r="D20" s="179" t="s">
        <v>45</v>
      </c>
      <c r="E20" s="306">
        <f>HISTORICOS!K162</f>
        <v>2</v>
      </c>
      <c r="F20" s="307">
        <f>_xlfn.XLOOKUP(B20,'PRECIOS UNITARIOS TECHO'!A:A,'PRECIOS UNITARIOS TECHO'!R:R,0)</f>
        <v>95140.5</v>
      </c>
      <c r="G20" s="302">
        <f t="shared" si="0"/>
        <v>1141686</v>
      </c>
      <c r="H20" s="302">
        <f t="shared" si="1"/>
        <v>190281</v>
      </c>
    </row>
    <row r="21" spans="1:8" ht="66" customHeight="1">
      <c r="A21" s="303">
        <v>19</v>
      </c>
      <c r="B21" s="304">
        <v>27</v>
      </c>
      <c r="C21" s="308" t="s">
        <v>137</v>
      </c>
      <c r="D21" s="179" t="s">
        <v>19</v>
      </c>
      <c r="E21" s="306">
        <f>HISTORICOS!K163</f>
        <v>10</v>
      </c>
      <c r="F21" s="307">
        <f>_xlfn.XLOOKUP(B21,'PRECIOS UNITARIOS TECHO'!A:A,'PRECIOS UNITARIOS TECHO'!R:R,0)</f>
        <v>3451</v>
      </c>
      <c r="G21" s="302">
        <f t="shared" si="0"/>
        <v>207060</v>
      </c>
      <c r="H21" s="302">
        <f t="shared" si="1"/>
        <v>34510</v>
      </c>
    </row>
    <row r="22" spans="1:8" ht="30" customHeight="1">
      <c r="A22" s="303">
        <v>20</v>
      </c>
      <c r="B22" s="304">
        <v>29</v>
      </c>
      <c r="C22" s="305" t="s">
        <v>47</v>
      </c>
      <c r="D22" s="179" t="s">
        <v>48</v>
      </c>
      <c r="E22" s="306">
        <f>HISTORICOS!K165</f>
        <v>36.666666666666664</v>
      </c>
      <c r="F22" s="307">
        <f>_xlfn.XLOOKUP(B22,'PRECIOS UNITARIOS TECHO'!A:A,'PRECIOS UNITARIOS TECHO'!R:R,0)</f>
        <v>3895</v>
      </c>
      <c r="G22" s="302">
        <f t="shared" si="0"/>
        <v>856900</v>
      </c>
      <c r="H22" s="302">
        <f t="shared" si="1"/>
        <v>142816.66666666666</v>
      </c>
    </row>
    <row r="23" spans="1:8" ht="30" customHeight="1">
      <c r="A23" s="303">
        <v>21</v>
      </c>
      <c r="B23" s="304">
        <v>30</v>
      </c>
      <c r="C23" s="305" t="s">
        <v>49</v>
      </c>
      <c r="D23" s="179" t="s">
        <v>48</v>
      </c>
      <c r="E23" s="306">
        <f>HISTORICOS!K166</f>
        <v>15</v>
      </c>
      <c r="F23" s="307">
        <f>_xlfn.XLOOKUP(B23,'PRECIOS UNITARIOS TECHO'!A:A,'PRECIOS UNITARIOS TECHO'!R:R,0)</f>
        <v>4694.55</v>
      </c>
      <c r="G23" s="302">
        <f t="shared" si="0"/>
        <v>422509.5</v>
      </c>
      <c r="H23" s="302">
        <f t="shared" si="1"/>
        <v>70418.25</v>
      </c>
    </row>
    <row r="24" spans="1:8" ht="30" customHeight="1">
      <c r="A24" s="303">
        <v>22</v>
      </c>
      <c r="B24" s="304">
        <v>31</v>
      </c>
      <c r="C24" s="305" t="s">
        <v>50</v>
      </c>
      <c r="D24" s="179" t="s">
        <v>48</v>
      </c>
      <c r="E24" s="306">
        <f>HISTORICOS!K167</f>
        <v>22.5</v>
      </c>
      <c r="F24" s="307">
        <f>_xlfn.XLOOKUP(B24,'PRECIOS UNITARIOS TECHO'!A:A,'PRECIOS UNITARIOS TECHO'!R:R,0)</f>
        <v>9456</v>
      </c>
      <c r="G24" s="302">
        <f t="shared" si="0"/>
        <v>1276560</v>
      </c>
      <c r="H24" s="302">
        <f t="shared" si="1"/>
        <v>212760</v>
      </c>
    </row>
    <row r="25" spans="1:8" ht="30" customHeight="1">
      <c r="A25" s="303">
        <v>23</v>
      </c>
      <c r="B25" s="304">
        <v>32</v>
      </c>
      <c r="C25" s="305" t="s">
        <v>51</v>
      </c>
      <c r="D25" s="179" t="s">
        <v>48</v>
      </c>
      <c r="E25" s="306">
        <f>HISTORICOS!K168</f>
        <v>15</v>
      </c>
      <c r="F25" s="307">
        <f>_xlfn.XLOOKUP(B25,'PRECIOS UNITARIOS TECHO'!A:A,'PRECIOS UNITARIOS TECHO'!R:R,0)</f>
        <v>2201.5</v>
      </c>
      <c r="G25" s="302">
        <f t="shared" si="0"/>
        <v>198135</v>
      </c>
      <c r="H25" s="302">
        <f t="shared" si="1"/>
        <v>33022.5</v>
      </c>
    </row>
    <row r="26" spans="1:8" ht="30" customHeight="1">
      <c r="A26" s="303">
        <v>24</v>
      </c>
      <c r="B26" s="304">
        <v>33</v>
      </c>
      <c r="C26" s="305" t="s">
        <v>52</v>
      </c>
      <c r="D26" s="179" t="s">
        <v>48</v>
      </c>
      <c r="E26" s="306">
        <f>HISTORICOS!K169</f>
        <v>4.666666666666667</v>
      </c>
      <c r="F26" s="307">
        <f>_xlfn.XLOOKUP(B26,'PRECIOS UNITARIOS TECHO'!A:A,'PRECIOS UNITARIOS TECHO'!R:R,0)</f>
        <v>14451</v>
      </c>
      <c r="G26" s="302">
        <f t="shared" si="0"/>
        <v>404628</v>
      </c>
      <c r="H26" s="302">
        <f t="shared" si="1"/>
        <v>67438</v>
      </c>
    </row>
    <row r="27" spans="1:8" ht="30" customHeight="1">
      <c r="A27" s="303">
        <v>25</v>
      </c>
      <c r="B27" s="304">
        <v>35</v>
      </c>
      <c r="C27" s="305" t="s">
        <v>53</v>
      </c>
      <c r="D27" s="179" t="s">
        <v>54</v>
      </c>
      <c r="E27" s="306">
        <f>HISTORICOS!K171</f>
        <v>70</v>
      </c>
      <c r="F27" s="307">
        <f>_xlfn.XLOOKUP(B27,'PRECIOS UNITARIOS TECHO'!A:A,'PRECIOS UNITARIOS TECHO'!R:R,0)</f>
        <v>2618</v>
      </c>
      <c r="G27" s="302">
        <f t="shared" si="0"/>
        <v>1099560</v>
      </c>
      <c r="H27" s="302">
        <f t="shared" si="1"/>
        <v>183260</v>
      </c>
    </row>
    <row r="28" spans="1:8" ht="30" customHeight="1">
      <c r="A28" s="303">
        <v>26</v>
      </c>
      <c r="B28" s="304">
        <v>36</v>
      </c>
      <c r="C28" s="305" t="s">
        <v>55</v>
      </c>
      <c r="D28" s="179" t="s">
        <v>56</v>
      </c>
      <c r="E28" s="306">
        <f>HISTORICOS!K172</f>
        <v>16</v>
      </c>
      <c r="F28" s="307">
        <f>_xlfn.XLOOKUP(B28,'PRECIOS UNITARIOS TECHO'!A:A,'PRECIOS UNITARIOS TECHO'!R:R,0)</f>
        <v>5230.05</v>
      </c>
      <c r="G28" s="302">
        <f t="shared" si="0"/>
        <v>502084.80000000005</v>
      </c>
      <c r="H28" s="302">
        <f t="shared" si="1"/>
        <v>83680.800000000003</v>
      </c>
    </row>
    <row r="29" spans="1:8" ht="30" customHeight="1">
      <c r="A29" s="303">
        <v>27</v>
      </c>
      <c r="B29" s="304">
        <v>37</v>
      </c>
      <c r="C29" s="305" t="s">
        <v>57</v>
      </c>
      <c r="D29" s="179" t="s">
        <v>33</v>
      </c>
      <c r="E29" s="306">
        <f>HISTORICOS!K173</f>
        <v>5</v>
      </c>
      <c r="F29" s="307">
        <f>_xlfn.XLOOKUP(B29,'PRECIOS UNITARIOS TECHO'!A:A,'PRECIOS UNITARIOS TECHO'!R:R,0)</f>
        <v>5027.75</v>
      </c>
      <c r="G29" s="302">
        <f t="shared" si="0"/>
        <v>150832.5</v>
      </c>
      <c r="H29" s="302">
        <f t="shared" si="1"/>
        <v>25138.75</v>
      </c>
    </row>
    <row r="30" spans="1:8" ht="30" customHeight="1">
      <c r="A30" s="303">
        <v>28</v>
      </c>
      <c r="B30" s="304">
        <v>38</v>
      </c>
      <c r="C30" s="305" t="s">
        <v>58</v>
      </c>
      <c r="D30" s="179" t="s">
        <v>19</v>
      </c>
      <c r="E30" s="306">
        <f>HISTORICOS!K174</f>
        <v>5</v>
      </c>
      <c r="F30" s="307">
        <f>_xlfn.XLOOKUP(B30,'PRECIOS UNITARIOS TECHO'!A:A,'PRECIOS UNITARIOS TECHO'!R:R,0)</f>
        <v>4462.5</v>
      </c>
      <c r="G30" s="302">
        <f t="shared" si="0"/>
        <v>133875</v>
      </c>
      <c r="H30" s="302">
        <f t="shared" si="1"/>
        <v>22312.5</v>
      </c>
    </row>
    <row r="31" spans="1:8" ht="30" customHeight="1">
      <c r="A31" s="303">
        <v>29</v>
      </c>
      <c r="B31" s="304">
        <v>39</v>
      </c>
      <c r="C31" s="305" t="s">
        <v>59</v>
      </c>
      <c r="D31" s="179" t="s">
        <v>56</v>
      </c>
      <c r="E31" s="306">
        <f>HISTORICOS!K175</f>
        <v>5</v>
      </c>
      <c r="F31" s="307">
        <f>_xlfn.XLOOKUP(B31,'PRECIOS UNITARIOS TECHO'!A:A,'PRECIOS UNITARIOS TECHO'!R:R,0)</f>
        <v>13826</v>
      </c>
      <c r="G31" s="302">
        <f t="shared" si="0"/>
        <v>414780</v>
      </c>
      <c r="H31" s="302">
        <f t="shared" si="1"/>
        <v>69130</v>
      </c>
    </row>
    <row r="32" spans="1:8" ht="67.2" customHeight="1">
      <c r="A32" s="303">
        <v>30</v>
      </c>
      <c r="B32" s="304">
        <v>40</v>
      </c>
      <c r="C32" s="308" t="s">
        <v>139</v>
      </c>
      <c r="D32" s="179" t="s">
        <v>19</v>
      </c>
      <c r="E32" s="306">
        <f>HISTORICOS!K176</f>
        <v>10</v>
      </c>
      <c r="F32" s="307">
        <f>_xlfn.XLOOKUP(B32,'PRECIOS UNITARIOS TECHO'!A:A,'PRECIOS UNITARIOS TECHO'!R:R,0)</f>
        <v>19599</v>
      </c>
      <c r="G32" s="302">
        <f t="shared" si="0"/>
        <v>1175940</v>
      </c>
      <c r="H32" s="302">
        <f t="shared" si="1"/>
        <v>195990</v>
      </c>
    </row>
    <row r="33" spans="1:8" ht="30" customHeight="1">
      <c r="A33" s="303">
        <v>31</v>
      </c>
      <c r="B33" s="304">
        <v>44</v>
      </c>
      <c r="C33" s="305" t="s">
        <v>62</v>
      </c>
      <c r="D33" s="179" t="s">
        <v>63</v>
      </c>
      <c r="E33" s="306">
        <f>HISTORICOS!K180</f>
        <v>1</v>
      </c>
      <c r="F33" s="307">
        <f>_xlfn.XLOOKUP(B33,'PRECIOS UNITARIOS TECHO'!A:A,'PRECIOS UNITARIOS TECHO'!R:R,0)</f>
        <v>83300</v>
      </c>
      <c r="G33" s="302">
        <f t="shared" si="0"/>
        <v>499800</v>
      </c>
      <c r="H33" s="302">
        <f t="shared" si="1"/>
        <v>83300</v>
      </c>
    </row>
    <row r="34" spans="1:8" ht="30" customHeight="1">
      <c r="A34" s="303">
        <v>32</v>
      </c>
      <c r="B34" s="304">
        <v>46</v>
      </c>
      <c r="C34" s="305" t="s">
        <v>65</v>
      </c>
      <c r="D34" s="179" t="s">
        <v>43</v>
      </c>
      <c r="E34" s="306">
        <f>HISTORICOS!K182</f>
        <v>3.5</v>
      </c>
      <c r="F34" s="307">
        <f>_xlfn.XLOOKUP(B34,'PRECIOS UNITARIOS TECHO'!A:A,'PRECIOS UNITARIOS TECHO'!R:R,0)</f>
        <v>12999</v>
      </c>
      <c r="G34" s="302">
        <f t="shared" si="0"/>
        <v>272979</v>
      </c>
      <c r="H34" s="302">
        <f t="shared" si="1"/>
        <v>45496.5</v>
      </c>
    </row>
    <row r="35" spans="1:8" ht="30" customHeight="1">
      <c r="A35" s="303">
        <v>33</v>
      </c>
      <c r="B35" s="304">
        <v>47</v>
      </c>
      <c r="C35" s="305" t="s">
        <v>66</v>
      </c>
      <c r="D35" s="179" t="s">
        <v>39</v>
      </c>
      <c r="E35" s="306">
        <f>HISTORICOS!K183</f>
        <v>3</v>
      </c>
      <c r="F35" s="307">
        <f>_xlfn.XLOOKUP(B35,'PRECIOS UNITARIOS TECHO'!A:A,'PRECIOS UNITARIOS TECHO'!R:R,0)</f>
        <v>16195</v>
      </c>
      <c r="G35" s="302">
        <f t="shared" si="0"/>
        <v>291510</v>
      </c>
      <c r="H35" s="302">
        <f t="shared" si="1"/>
        <v>48585</v>
      </c>
    </row>
    <row r="36" spans="1:8" ht="30" customHeight="1">
      <c r="A36" s="303">
        <v>34</v>
      </c>
      <c r="B36" s="304">
        <v>48</v>
      </c>
      <c r="C36" s="305" t="s">
        <v>67</v>
      </c>
      <c r="D36" s="179" t="s">
        <v>39</v>
      </c>
      <c r="E36" s="306">
        <f>HISTORICOS!K184</f>
        <v>3</v>
      </c>
      <c r="F36" s="307">
        <f>_xlfn.XLOOKUP(B36,'PRECIOS UNITARIOS TECHO'!A:A,'PRECIOS UNITARIOS TECHO'!R:R,0)</f>
        <v>20706</v>
      </c>
      <c r="G36" s="302">
        <f t="shared" si="0"/>
        <v>372708</v>
      </c>
      <c r="H36" s="302">
        <f t="shared" si="1"/>
        <v>62118</v>
      </c>
    </row>
    <row r="37" spans="1:8" ht="30" customHeight="1">
      <c r="A37" s="303">
        <v>35</v>
      </c>
      <c r="B37" s="304">
        <v>50</v>
      </c>
      <c r="C37" s="305" t="s">
        <v>69</v>
      </c>
      <c r="D37" s="179" t="s">
        <v>70</v>
      </c>
      <c r="E37" s="306">
        <f>HISTORICOS!K185</f>
        <v>20</v>
      </c>
      <c r="F37" s="307">
        <f>_xlfn.XLOOKUP(B37,'PRECIOS UNITARIOS TECHO'!A:A,'PRECIOS UNITARIOS TECHO'!R:R,0)</f>
        <v>5483</v>
      </c>
      <c r="G37" s="302">
        <f t="shared" si="0"/>
        <v>657960</v>
      </c>
      <c r="H37" s="302">
        <f t="shared" si="1"/>
        <v>109660</v>
      </c>
    </row>
    <row r="38" spans="1:8" ht="30" customHeight="1">
      <c r="A38" s="303">
        <v>36</v>
      </c>
      <c r="B38" s="304">
        <v>53</v>
      </c>
      <c r="C38" s="305" t="s">
        <v>73</v>
      </c>
      <c r="D38" s="179" t="s">
        <v>19</v>
      </c>
      <c r="E38" s="306">
        <f>HISTORICOS!K187</f>
        <v>1.3333333333333333</v>
      </c>
      <c r="F38" s="307">
        <f>_xlfn.XLOOKUP(B38,'PRECIOS UNITARIOS TECHO'!A:A,'PRECIOS UNITARIOS TECHO'!R:R,0)</f>
        <v>94010</v>
      </c>
      <c r="G38" s="302">
        <f t="shared" si="0"/>
        <v>752080</v>
      </c>
      <c r="H38" s="302">
        <f t="shared" si="1"/>
        <v>125346.66666666666</v>
      </c>
    </row>
    <row r="39" spans="1:8" ht="103.95" customHeight="1">
      <c r="A39" s="303">
        <v>37</v>
      </c>
      <c r="B39" s="304">
        <v>54</v>
      </c>
      <c r="C39" s="305" t="s">
        <v>74</v>
      </c>
      <c r="D39" s="179" t="s">
        <v>56</v>
      </c>
      <c r="E39" s="306">
        <f>HISTORICOS!K188</f>
        <v>20</v>
      </c>
      <c r="F39" s="307">
        <f>_xlfn.XLOOKUP(B39,'PRECIOS UNITARIOS TECHO'!A:A,'PRECIOS UNITARIOS TECHO'!R:R,0)</f>
        <v>6730</v>
      </c>
      <c r="G39" s="302">
        <f t="shared" si="0"/>
        <v>807600</v>
      </c>
      <c r="H39" s="302">
        <f t="shared" si="1"/>
        <v>134600</v>
      </c>
    </row>
    <row r="40" spans="1:8" ht="30" customHeight="1">
      <c r="A40" s="303">
        <v>38</v>
      </c>
      <c r="B40" s="304">
        <v>56</v>
      </c>
      <c r="C40" s="305" t="s">
        <v>76</v>
      </c>
      <c r="D40" s="179" t="s">
        <v>77</v>
      </c>
      <c r="E40" s="306">
        <f>HISTORICOS!K190</f>
        <v>3.3333333333333335</v>
      </c>
      <c r="F40" s="307">
        <f>_xlfn.XLOOKUP(B40,'PRECIOS UNITARIOS TECHO'!A:A,'PRECIOS UNITARIOS TECHO'!R:R,0)</f>
        <v>19423</v>
      </c>
      <c r="G40" s="302">
        <f t="shared" si="0"/>
        <v>388460</v>
      </c>
      <c r="H40" s="302">
        <f t="shared" si="1"/>
        <v>64743.333333333336</v>
      </c>
    </row>
    <row r="41" spans="1:8" ht="30" customHeight="1">
      <c r="A41" s="303">
        <v>39</v>
      </c>
      <c r="B41" s="304">
        <v>57</v>
      </c>
      <c r="C41" s="305" t="s">
        <v>78</v>
      </c>
      <c r="D41" s="179" t="s">
        <v>77</v>
      </c>
      <c r="E41" s="306">
        <f>HISTORICOS!K191</f>
        <v>7</v>
      </c>
      <c r="F41" s="307">
        <f>_xlfn.XLOOKUP(B41,'PRECIOS UNITARIOS TECHO'!A:A,'PRECIOS UNITARIOS TECHO'!R:R,0)</f>
        <v>20357</v>
      </c>
      <c r="G41" s="302">
        <f t="shared" si="0"/>
        <v>854994</v>
      </c>
      <c r="H41" s="302">
        <f t="shared" si="1"/>
        <v>142499</v>
      </c>
    </row>
    <row r="42" spans="1:8" ht="30" customHeight="1">
      <c r="A42" s="303">
        <v>40</v>
      </c>
      <c r="B42" s="304">
        <v>58</v>
      </c>
      <c r="C42" s="305" t="s">
        <v>79</v>
      </c>
      <c r="D42" s="179" t="s">
        <v>77</v>
      </c>
      <c r="E42" s="306">
        <f>HISTORICOS!K192</f>
        <v>7.333333333333333</v>
      </c>
      <c r="F42" s="307">
        <f>_xlfn.XLOOKUP(B42,'PRECIOS UNITARIOS TECHO'!A:A,'PRECIOS UNITARIOS TECHO'!R:R,0)</f>
        <v>27267.5</v>
      </c>
      <c r="G42" s="302">
        <f t="shared" si="0"/>
        <v>1199770</v>
      </c>
      <c r="H42" s="302">
        <f t="shared" si="1"/>
        <v>199961.66666666666</v>
      </c>
    </row>
    <row r="43" spans="1:8" ht="30" customHeight="1">
      <c r="A43" s="303">
        <v>41</v>
      </c>
      <c r="B43" s="304">
        <v>61</v>
      </c>
      <c r="C43" s="305" t="s">
        <v>82</v>
      </c>
      <c r="D43" s="179" t="s">
        <v>19</v>
      </c>
      <c r="E43" s="306">
        <f>HISTORICOS!K195</f>
        <v>3.3333333333333335</v>
      </c>
      <c r="F43" s="307">
        <f>_xlfn.XLOOKUP(B43,'PRECIOS UNITARIOS TECHO'!A:A,'PRECIOS UNITARIOS TECHO'!R:R,0)</f>
        <v>36830.5</v>
      </c>
      <c r="G43" s="302">
        <f t="shared" si="0"/>
        <v>736610</v>
      </c>
      <c r="H43" s="302">
        <f t="shared" si="1"/>
        <v>122768.33333333334</v>
      </c>
    </row>
    <row r="44" spans="1:8" ht="30" customHeight="1">
      <c r="A44" s="303">
        <v>42</v>
      </c>
      <c r="B44" s="304">
        <v>63</v>
      </c>
      <c r="C44" s="305" t="s">
        <v>84</v>
      </c>
      <c r="D44" s="179" t="s">
        <v>19</v>
      </c>
      <c r="E44" s="306">
        <f>HISTORICOS!K197</f>
        <v>2.3333333333333335</v>
      </c>
      <c r="F44" s="307">
        <f>_xlfn.XLOOKUP(B44,'PRECIOS UNITARIOS TECHO'!A:A,'PRECIOS UNITARIOS TECHO'!R:R,0)</f>
        <v>69615</v>
      </c>
      <c r="G44" s="302">
        <f t="shared" si="0"/>
        <v>974610</v>
      </c>
      <c r="H44" s="302">
        <f t="shared" si="1"/>
        <v>162435</v>
      </c>
    </row>
    <row r="45" spans="1:8" ht="30" customHeight="1">
      <c r="A45" s="303">
        <v>43</v>
      </c>
      <c r="B45" s="304">
        <v>70</v>
      </c>
      <c r="C45" s="305" t="s">
        <v>88</v>
      </c>
      <c r="D45" s="179" t="s">
        <v>87</v>
      </c>
      <c r="E45" s="306">
        <f>HISTORICOS!K204</f>
        <v>35</v>
      </c>
      <c r="F45" s="307">
        <f>_xlfn.XLOOKUP(B45,'PRECIOS UNITARIOS TECHO'!A:A,'PRECIOS UNITARIOS TECHO'!R:R,0)</f>
        <v>4088</v>
      </c>
      <c r="G45" s="302">
        <f t="shared" si="0"/>
        <v>858480</v>
      </c>
      <c r="H45" s="302">
        <f t="shared" si="1"/>
        <v>143080</v>
      </c>
    </row>
    <row r="46" spans="1:8" ht="52.2" customHeight="1">
      <c r="A46" s="303">
        <v>44</v>
      </c>
      <c r="B46" s="304">
        <v>79</v>
      </c>
      <c r="C46" s="305" t="s">
        <v>96</v>
      </c>
      <c r="D46" s="179" t="s">
        <v>19</v>
      </c>
      <c r="E46" s="306">
        <f>HISTORICOS!K213</f>
        <v>30</v>
      </c>
      <c r="F46" s="307">
        <f>_xlfn.XLOOKUP(B46,'PRECIOS UNITARIOS TECHO'!A:A,'PRECIOS UNITARIOS TECHO'!R:R,0)</f>
        <v>4544</v>
      </c>
      <c r="G46" s="302">
        <f t="shared" si="0"/>
        <v>817920</v>
      </c>
      <c r="H46" s="302">
        <f t="shared" si="1"/>
        <v>136320</v>
      </c>
    </row>
    <row r="47" spans="1:8" ht="30" customHeight="1">
      <c r="A47" s="303">
        <v>45</v>
      </c>
      <c r="B47" s="304">
        <v>81</v>
      </c>
      <c r="C47" s="305" t="s">
        <v>98</v>
      </c>
      <c r="D47" s="179" t="s">
        <v>19</v>
      </c>
      <c r="E47" s="306">
        <f>HISTORICOS!K215</f>
        <v>9</v>
      </c>
      <c r="F47" s="307">
        <f>_xlfn.XLOOKUP(B47,'PRECIOS UNITARIOS TECHO'!A:A,'PRECIOS UNITARIOS TECHO'!R:R,0)</f>
        <v>15562</v>
      </c>
      <c r="G47" s="302">
        <f t="shared" si="0"/>
        <v>840348</v>
      </c>
      <c r="H47" s="302">
        <f t="shared" si="1"/>
        <v>140058</v>
      </c>
    </row>
    <row r="48" spans="1:8" ht="30" customHeight="1">
      <c r="A48" s="303">
        <v>46</v>
      </c>
      <c r="B48" s="304">
        <v>90</v>
      </c>
      <c r="C48" s="305" t="s">
        <v>108</v>
      </c>
      <c r="D48" s="179" t="s">
        <v>19</v>
      </c>
      <c r="E48" s="306">
        <f>HISTORICOS!K221</f>
        <v>5</v>
      </c>
      <c r="F48" s="307">
        <f>_xlfn.XLOOKUP(B48,'PRECIOS UNITARIOS TECHO'!A:A,'PRECIOS UNITARIOS TECHO'!R:R,0)</f>
        <v>1728</v>
      </c>
      <c r="G48" s="302">
        <f t="shared" si="0"/>
        <v>51840</v>
      </c>
      <c r="H48" s="302">
        <f t="shared" si="1"/>
        <v>8640</v>
      </c>
    </row>
    <row r="49" spans="1:9" ht="61.95" customHeight="1">
      <c r="A49" s="303">
        <v>47</v>
      </c>
      <c r="B49" s="304">
        <v>92</v>
      </c>
      <c r="C49" s="305" t="s">
        <v>109</v>
      </c>
      <c r="D49" s="179" t="s">
        <v>19</v>
      </c>
      <c r="E49" s="306">
        <f>HISTORICOS!K223</f>
        <v>21.666666666666668</v>
      </c>
      <c r="F49" s="307">
        <f>_xlfn.XLOOKUP(B49,'PRECIOS UNITARIOS TECHO'!A:A,'PRECIOS UNITARIOS TECHO'!R:R,0)</f>
        <v>1184.05</v>
      </c>
      <c r="G49" s="302">
        <f t="shared" si="0"/>
        <v>153926.5</v>
      </c>
      <c r="H49" s="302">
        <f t="shared" si="1"/>
        <v>25654.416666666668</v>
      </c>
    </row>
    <row r="50" spans="1:9" ht="30" customHeight="1">
      <c r="A50" s="303">
        <v>48</v>
      </c>
      <c r="B50" s="304">
        <v>93</v>
      </c>
      <c r="C50" s="305" t="s">
        <v>110</v>
      </c>
      <c r="D50" s="179" t="s">
        <v>77</v>
      </c>
      <c r="E50" s="306">
        <f>HISTORICOS!K224</f>
        <v>11.333333333333334</v>
      </c>
      <c r="F50" s="307">
        <f>_xlfn.XLOOKUP(B50,'PRECIOS UNITARIOS TECHO'!A:A,'PRECIOS UNITARIOS TECHO'!R:R,0)</f>
        <v>14516</v>
      </c>
      <c r="G50" s="302">
        <f t="shared" si="0"/>
        <v>987088.00000000012</v>
      </c>
      <c r="H50" s="302">
        <f t="shared" si="1"/>
        <v>164514.66666666669</v>
      </c>
    </row>
    <row r="51" spans="1:9" ht="30" customHeight="1">
      <c r="A51" s="303">
        <v>49</v>
      </c>
      <c r="B51" s="304">
        <v>94</v>
      </c>
      <c r="C51" s="305" t="s">
        <v>111</v>
      </c>
      <c r="D51" s="179" t="s">
        <v>19</v>
      </c>
      <c r="E51" s="306">
        <f>HISTORICOS!K225</f>
        <v>5</v>
      </c>
      <c r="F51" s="307">
        <f>_xlfn.XLOOKUP(B51,'PRECIOS UNITARIOS TECHO'!A:A,'PRECIOS UNITARIOS TECHO'!R:R,0)</f>
        <v>11974</v>
      </c>
      <c r="G51" s="302">
        <f t="shared" si="0"/>
        <v>359220</v>
      </c>
      <c r="H51" s="302">
        <f t="shared" si="1"/>
        <v>59870</v>
      </c>
    </row>
    <row r="52" spans="1:9" ht="30" customHeight="1">
      <c r="A52" s="303">
        <v>50</v>
      </c>
      <c r="B52" s="304">
        <v>96</v>
      </c>
      <c r="C52" s="305" t="s">
        <v>112</v>
      </c>
      <c r="D52" s="179" t="s">
        <v>43</v>
      </c>
      <c r="E52" s="306">
        <f>HISTORICOS!K227</f>
        <v>4</v>
      </c>
      <c r="F52" s="307">
        <f>_xlfn.XLOOKUP(B52,'PRECIOS UNITARIOS TECHO'!A:A,'PRECIOS UNITARIOS TECHO'!R:R,0)</f>
        <v>26728</v>
      </c>
      <c r="G52" s="302">
        <f t="shared" si="0"/>
        <v>641472</v>
      </c>
      <c r="H52" s="302">
        <f t="shared" si="1"/>
        <v>106912</v>
      </c>
    </row>
    <row r="53" spans="1:9" ht="30" customHeight="1">
      <c r="A53" s="303">
        <v>51</v>
      </c>
      <c r="B53" s="304">
        <v>98</v>
      </c>
      <c r="C53" s="305" t="s">
        <v>113</v>
      </c>
      <c r="D53" s="179" t="s">
        <v>43</v>
      </c>
      <c r="E53" s="306">
        <f>HISTORICOS!K229</f>
        <v>4.5</v>
      </c>
      <c r="F53" s="307">
        <f>_xlfn.XLOOKUP(B53,'PRECIOS UNITARIOS TECHO'!A:A,'PRECIOS UNITARIOS TECHO'!R:R,0)</f>
        <v>18394.5</v>
      </c>
      <c r="G53" s="302">
        <f t="shared" si="0"/>
        <v>496651.5</v>
      </c>
      <c r="H53" s="302">
        <f t="shared" si="1"/>
        <v>82775.25</v>
      </c>
    </row>
    <row r="54" spans="1:9" ht="30" customHeight="1">
      <c r="A54" s="303">
        <v>52</v>
      </c>
      <c r="B54" s="304">
        <v>101</v>
      </c>
      <c r="C54" s="305" t="s">
        <v>117</v>
      </c>
      <c r="D54" s="179" t="s">
        <v>43</v>
      </c>
      <c r="E54" s="306">
        <f>HISTORICOS!K232</f>
        <v>3</v>
      </c>
      <c r="F54" s="307">
        <f>_xlfn.XLOOKUP(B54,'PRECIOS UNITARIOS TECHO'!A:A,'PRECIOS UNITARIOS TECHO'!R:R,0)</f>
        <v>20676.5</v>
      </c>
      <c r="G54" s="302">
        <f t="shared" si="0"/>
        <v>372177</v>
      </c>
      <c r="H54" s="302">
        <f t="shared" si="1"/>
        <v>62029.5</v>
      </c>
    </row>
    <row r="55" spans="1:9" ht="66" customHeight="1">
      <c r="A55" s="303">
        <v>53</v>
      </c>
      <c r="B55" s="304">
        <v>102</v>
      </c>
      <c r="C55" s="305" t="s">
        <v>118</v>
      </c>
      <c r="D55" s="179" t="s">
        <v>19</v>
      </c>
      <c r="E55" s="306">
        <f>HISTORICOS!K233</f>
        <v>13.333333333333334</v>
      </c>
      <c r="F55" s="307">
        <f>_xlfn.XLOOKUP(B55,'PRECIOS UNITARIOS TECHO'!A:A,'PRECIOS UNITARIOS TECHO'!R:R,0)</f>
        <v>8621.5499999999993</v>
      </c>
      <c r="G55" s="302">
        <f t="shared" si="0"/>
        <v>689724</v>
      </c>
      <c r="H55" s="302">
        <f t="shared" si="1"/>
        <v>114954</v>
      </c>
    </row>
    <row r="56" spans="1:9" ht="30" customHeight="1">
      <c r="A56" s="303">
        <v>54</v>
      </c>
      <c r="B56" s="304">
        <v>110</v>
      </c>
      <c r="C56" s="305" t="s">
        <v>122</v>
      </c>
      <c r="D56" s="179" t="s">
        <v>19</v>
      </c>
      <c r="E56" s="306">
        <f>HISTORICOS!K240</f>
        <v>17.8</v>
      </c>
      <c r="F56" s="307">
        <f>_xlfn.XLOOKUP(B56,'PRECIOS UNITARIOS TECHO'!A:A,'PRECIOS UNITARIOS TECHO'!R:R,0)</f>
        <v>8032.5</v>
      </c>
      <c r="G56" s="302">
        <f t="shared" si="0"/>
        <v>857871</v>
      </c>
      <c r="H56" s="302">
        <f t="shared" si="1"/>
        <v>142978.5</v>
      </c>
    </row>
    <row r="57" spans="1:9" ht="30" customHeight="1">
      <c r="A57" s="303">
        <v>55</v>
      </c>
      <c r="B57" s="304">
        <v>113</v>
      </c>
      <c r="C57" s="305" t="s">
        <v>125</v>
      </c>
      <c r="D57" s="179" t="s">
        <v>19</v>
      </c>
      <c r="E57" s="306">
        <f>HISTORICOS!K243</f>
        <v>1</v>
      </c>
      <c r="F57" s="307">
        <f>_xlfn.XLOOKUP(B57,'PRECIOS UNITARIOS TECHO'!A:A,'PRECIOS UNITARIOS TECHO'!R:R,0)</f>
        <v>1055530</v>
      </c>
      <c r="G57" s="302">
        <f t="shared" si="0"/>
        <v>6333180</v>
      </c>
      <c r="H57" s="302">
        <f t="shared" si="1"/>
        <v>1055530</v>
      </c>
    </row>
    <row r="58" spans="1:9" ht="30" customHeight="1">
      <c r="A58" s="303">
        <v>56</v>
      </c>
      <c r="B58" s="304">
        <v>116</v>
      </c>
      <c r="C58" s="305" t="s">
        <v>128</v>
      </c>
      <c r="D58" s="179" t="s">
        <v>19</v>
      </c>
      <c r="E58" s="306">
        <f>HISTORICOS!K246</f>
        <v>1</v>
      </c>
      <c r="F58" s="307">
        <f>_xlfn.XLOOKUP(B58,'PRECIOS UNITARIOS TECHO'!A:A,'PRECIOS UNITARIOS TECHO'!R:R,0)</f>
        <v>952000</v>
      </c>
      <c r="G58" s="302">
        <f t="shared" si="0"/>
        <v>5712000</v>
      </c>
      <c r="H58" s="302">
        <f t="shared" si="1"/>
        <v>952000</v>
      </c>
    </row>
    <row r="59" spans="1:9" ht="30" customHeight="1">
      <c r="A59" s="303">
        <v>57</v>
      </c>
      <c r="B59" s="304">
        <v>122</v>
      </c>
      <c r="C59" s="309" t="s">
        <v>599</v>
      </c>
      <c r="D59" s="179" t="s">
        <v>19</v>
      </c>
      <c r="E59" s="306">
        <f>HISTORICOS!K252</f>
        <v>365</v>
      </c>
      <c r="F59" s="307">
        <f>_xlfn.XLOOKUP(B59,'PRECIOS UNITARIOS TECHO'!A:A,'PRECIOS UNITARIOS TECHO'!R:R,0)</f>
        <v>8359.75</v>
      </c>
      <c r="G59" s="302">
        <f t="shared" si="0"/>
        <v>18307852.5</v>
      </c>
      <c r="H59" s="302">
        <f t="shared" si="1"/>
        <v>3051308.75</v>
      </c>
    </row>
    <row r="60" spans="1:9" ht="109.95" customHeight="1" thickBot="1">
      <c r="A60" s="303">
        <v>58</v>
      </c>
      <c r="B60" s="304">
        <v>123</v>
      </c>
      <c r="C60" s="305" t="s">
        <v>246</v>
      </c>
      <c r="D60" s="179" t="s">
        <v>134</v>
      </c>
      <c r="E60" s="306">
        <f>HISTORICOS!K253</f>
        <v>663</v>
      </c>
      <c r="F60" s="307">
        <f>_xlfn.XLOOKUP(B60,'PRECIOS UNITARIOS TECHO'!A:A,'PRECIOS UNITARIOS TECHO'!R:R,0)</f>
        <v>7318.5</v>
      </c>
      <c r="G60" s="302">
        <f t="shared" si="0"/>
        <v>29112993</v>
      </c>
      <c r="H60" s="302">
        <f t="shared" si="1"/>
        <v>4852165.5</v>
      </c>
    </row>
    <row r="61" spans="1:9" ht="30" customHeight="1" thickBot="1">
      <c r="G61" s="232">
        <f>SUM(G3:G60)</f>
        <v>91488445.700000003</v>
      </c>
      <c r="H61" s="301" t="s">
        <v>627</v>
      </c>
      <c r="I61" s="193"/>
    </row>
    <row r="62" spans="1:9" ht="30" customHeight="1">
      <c r="B62" s="295"/>
      <c r="C62" s="295"/>
      <c r="E62" s="195"/>
      <c r="G62" s="182"/>
    </row>
    <row r="63" spans="1:9" ht="30" customHeight="1">
      <c r="C63" s="295"/>
      <c r="E63" s="195"/>
    </row>
    <row r="64" spans="1:9" ht="30" customHeight="1">
      <c r="C64" s="295"/>
      <c r="E64" s="156"/>
      <c r="G64" s="182"/>
    </row>
    <row r="65" spans="5:11" ht="14.25" customHeight="1">
      <c r="E65" s="196"/>
      <c r="G65" s="193"/>
      <c r="J65" s="194"/>
      <c r="K65" s="194"/>
    </row>
    <row r="66" spans="5:11">
      <c r="E66" s="196"/>
      <c r="J66" s="194"/>
      <c r="K66" s="194"/>
    </row>
    <row r="67" spans="5:11">
      <c r="J67" s="194"/>
      <c r="K67" s="194"/>
    </row>
    <row r="68" spans="5:11">
      <c r="K68" s="192"/>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0D99F-E514-4EB6-ACC3-C1B0450DC2AF}">
  <sheetPr>
    <tabColor rgb="FF7030A0"/>
  </sheetPr>
  <dimension ref="A1:AF141"/>
  <sheetViews>
    <sheetView showGridLines="0" topLeftCell="B7" workbookViewId="0">
      <selection activeCell="H9" sqref="H9"/>
    </sheetView>
  </sheetViews>
  <sheetFormatPr baseColWidth="10" defaultColWidth="8" defaultRowHeight="13.8" zeroHeight="1"/>
  <cols>
    <col min="1" max="1" width="7.33203125" style="1" customWidth="1"/>
    <col min="2" max="2" width="8" style="1"/>
    <col min="3" max="3" width="17.33203125" style="1" customWidth="1"/>
    <col min="4" max="4" width="18.44140625" style="1" customWidth="1"/>
    <col min="5" max="5" width="15.6640625" style="1" customWidth="1"/>
    <col min="6" max="6" width="14.88671875" style="1" customWidth="1"/>
    <col min="7" max="7" width="13.33203125" style="47" customWidth="1"/>
    <col min="8" max="11" width="15.88671875" style="1" customWidth="1"/>
    <col min="12" max="12" width="7.88671875" style="1" customWidth="1"/>
    <col min="13" max="13" width="11.44140625" style="1" customWidth="1"/>
    <col min="14" max="14" width="13.109375" style="1" customWidth="1"/>
    <col min="15" max="15" width="1.6640625" style="1" customWidth="1"/>
    <col min="16" max="16" width="13.5546875" style="108" customWidth="1"/>
    <col min="17" max="17" width="13.33203125" style="108" customWidth="1"/>
    <col min="18" max="19" width="12.33203125" style="108" customWidth="1"/>
    <col min="20" max="23" width="12.5546875" style="1" customWidth="1"/>
    <col min="24" max="27" width="12.6640625" style="1" customWidth="1"/>
    <col min="28" max="28" width="5.88671875" style="1" bestFit="1" customWidth="1"/>
    <col min="29" max="29" width="25.33203125" style="1" bestFit="1" customWidth="1"/>
    <col min="30" max="30" width="12.6640625" style="1" customWidth="1"/>
    <col min="31" max="16384" width="8" style="1"/>
  </cols>
  <sheetData>
    <row r="1" spans="1:32" ht="45.75" customHeight="1">
      <c r="A1" s="361" t="s">
        <v>2</v>
      </c>
      <c r="B1" s="362"/>
      <c r="C1" s="362"/>
      <c r="D1" s="362"/>
      <c r="E1" s="362"/>
      <c r="F1" s="362"/>
      <c r="G1" s="362"/>
      <c r="H1" s="363"/>
      <c r="Q1" s="383" t="s">
        <v>581</v>
      </c>
      <c r="R1" s="384"/>
      <c r="S1" s="384"/>
      <c r="T1" s="385"/>
    </row>
    <row r="2" spans="1:32" ht="18" customHeight="1">
      <c r="A2" s="364" t="s">
        <v>160</v>
      </c>
      <c r="B2" s="364"/>
      <c r="C2" s="364"/>
      <c r="D2" s="364"/>
      <c r="E2" s="364"/>
      <c r="F2" s="364"/>
      <c r="G2" s="364"/>
      <c r="H2" s="364"/>
      <c r="Q2" s="386" t="s">
        <v>582</v>
      </c>
      <c r="R2" s="387"/>
      <c r="S2" s="387"/>
      <c r="T2" s="388"/>
    </row>
    <row r="3" spans="1:32" ht="17.25" customHeight="1">
      <c r="A3" s="5"/>
      <c r="B3" s="5"/>
      <c r="C3" s="5"/>
      <c r="D3" s="5"/>
      <c r="E3" s="5"/>
      <c r="F3" s="5"/>
      <c r="G3" s="9"/>
      <c r="H3" s="5"/>
      <c r="P3" s="228"/>
      <c r="Q3" s="115">
        <v>2023</v>
      </c>
      <c r="R3" s="115">
        <v>2024</v>
      </c>
      <c r="S3" s="115">
        <v>2025</v>
      </c>
      <c r="T3" s="115">
        <v>2026</v>
      </c>
    </row>
    <row r="4" spans="1:32" ht="42.75" customHeight="1">
      <c r="A4" s="365" t="s">
        <v>136</v>
      </c>
      <c r="B4" s="365"/>
      <c r="C4" s="365"/>
      <c r="D4" s="366" t="s">
        <v>3</v>
      </c>
      <c r="E4" s="366"/>
      <c r="F4" s="366"/>
      <c r="G4" s="366"/>
      <c r="H4" s="366"/>
      <c r="P4" s="227"/>
      <c r="Q4" s="116">
        <v>9.2799999999999994E-2</v>
      </c>
      <c r="R4" s="116">
        <v>5.1999999999999998E-2</v>
      </c>
      <c r="S4" s="116">
        <v>5.0999999999999997E-2</v>
      </c>
      <c r="T4" s="116">
        <v>6.2399999999999997E-2</v>
      </c>
    </row>
    <row r="5" spans="1:32" ht="9.9" customHeight="1">
      <c r="A5" s="5"/>
      <c r="B5" s="5"/>
      <c r="C5" s="5"/>
      <c r="D5" s="5"/>
      <c r="E5" s="5"/>
      <c r="F5" s="5"/>
      <c r="G5" s="9"/>
      <c r="H5" s="5"/>
    </row>
    <row r="6" spans="1:32" ht="9" customHeight="1">
      <c r="A6" s="5"/>
      <c r="B6" s="5"/>
      <c r="C6" s="5"/>
      <c r="D6" s="5"/>
      <c r="E6" s="5"/>
      <c r="F6" s="5"/>
      <c r="G6" s="9"/>
      <c r="H6" s="5"/>
      <c r="T6" s="112"/>
      <c r="W6" s="1" t="s">
        <v>583</v>
      </c>
    </row>
    <row r="7" spans="1:32" ht="15.9" customHeight="1">
      <c r="A7" s="367" t="s">
        <v>13</v>
      </c>
      <c r="B7" s="367"/>
      <c r="C7" s="367"/>
      <c r="D7" s="368" t="s">
        <v>628</v>
      </c>
      <c r="E7" s="368"/>
      <c r="F7" s="368"/>
      <c r="G7" s="11"/>
      <c r="H7" s="6"/>
      <c r="Y7" s="114"/>
      <c r="Z7" s="111"/>
      <c r="AA7" s="111"/>
      <c r="AB7" s="111"/>
      <c r="AC7" s="111"/>
      <c r="AD7" s="111"/>
      <c r="AE7" s="110"/>
      <c r="AF7" s="110"/>
    </row>
    <row r="8" spans="1:32" s="138" customFormat="1" ht="18.75" customHeight="1">
      <c r="A8" s="136"/>
      <c r="B8" s="136"/>
      <c r="C8" s="136"/>
      <c r="D8" s="137"/>
      <c r="E8" s="137"/>
      <c r="F8" s="137"/>
      <c r="G8" s="137"/>
      <c r="H8" s="369" t="s">
        <v>586</v>
      </c>
      <c r="I8" s="369"/>
      <c r="J8" s="369"/>
      <c r="K8" s="369"/>
      <c r="L8" s="369"/>
      <c r="M8" s="369"/>
      <c r="N8" s="369"/>
      <c r="P8" s="370" t="s">
        <v>591</v>
      </c>
      <c r="Q8" s="371"/>
      <c r="R8" s="371"/>
      <c r="S8" s="371"/>
      <c r="T8" s="371"/>
      <c r="U8" s="371"/>
      <c r="V8" s="371"/>
      <c r="W8" s="371"/>
      <c r="X8" s="371"/>
      <c r="Y8" s="371"/>
      <c r="Z8" s="371"/>
      <c r="AA8" s="372"/>
      <c r="AB8" s="139"/>
      <c r="AC8" s="373"/>
      <c r="AD8" s="139"/>
      <c r="AE8" s="139"/>
      <c r="AF8" s="139"/>
    </row>
    <row r="9" spans="1:32" ht="25.5" customHeight="1">
      <c r="A9" s="374" t="s">
        <v>14</v>
      </c>
      <c r="B9" s="374" t="s">
        <v>15</v>
      </c>
      <c r="C9" s="374"/>
      <c r="D9" s="374"/>
      <c r="E9" s="374"/>
      <c r="F9" s="374"/>
      <c r="G9" s="374" t="s">
        <v>16</v>
      </c>
      <c r="H9" s="14" t="s">
        <v>0</v>
      </c>
      <c r="I9" s="39" t="s">
        <v>165</v>
      </c>
      <c r="J9" s="40" t="s">
        <v>211</v>
      </c>
      <c r="K9" s="42" t="s">
        <v>219</v>
      </c>
      <c r="L9" s="375" t="s">
        <v>247</v>
      </c>
      <c r="M9" s="376" t="s">
        <v>248</v>
      </c>
      <c r="N9" s="356" t="s">
        <v>249</v>
      </c>
      <c r="P9" s="357" t="s">
        <v>587</v>
      </c>
      <c r="Q9" s="357" t="s">
        <v>590</v>
      </c>
      <c r="R9" s="357" t="s">
        <v>589</v>
      </c>
      <c r="S9" s="357" t="s">
        <v>588</v>
      </c>
      <c r="T9" s="359" t="s">
        <v>577</v>
      </c>
      <c r="U9" s="348" t="s">
        <v>578</v>
      </c>
      <c r="V9" s="350" t="s">
        <v>579</v>
      </c>
      <c r="W9" s="352" t="s">
        <v>580</v>
      </c>
      <c r="X9" s="354" t="s">
        <v>592</v>
      </c>
      <c r="Y9" s="379" t="s">
        <v>584</v>
      </c>
      <c r="Z9" s="381" t="s">
        <v>249</v>
      </c>
      <c r="AA9" s="377" t="s">
        <v>585</v>
      </c>
      <c r="AB9" s="111"/>
      <c r="AC9" s="373"/>
      <c r="AD9" s="110"/>
      <c r="AE9" s="110"/>
      <c r="AF9" s="110"/>
    </row>
    <row r="10" spans="1:32" ht="29.1" customHeight="1">
      <c r="A10" s="374"/>
      <c r="B10" s="374"/>
      <c r="C10" s="374"/>
      <c r="D10" s="374"/>
      <c r="E10" s="374"/>
      <c r="F10" s="374"/>
      <c r="G10" s="374"/>
      <c r="H10" s="15" t="s">
        <v>18</v>
      </c>
      <c r="I10" s="12" t="s">
        <v>18</v>
      </c>
      <c r="J10" s="13" t="s">
        <v>18</v>
      </c>
      <c r="K10" s="43" t="s">
        <v>18</v>
      </c>
      <c r="L10" s="375"/>
      <c r="M10" s="376"/>
      <c r="N10" s="356"/>
      <c r="P10" s="358"/>
      <c r="Q10" s="358"/>
      <c r="R10" s="358"/>
      <c r="S10" s="358"/>
      <c r="T10" s="360"/>
      <c r="U10" s="349"/>
      <c r="V10" s="351"/>
      <c r="W10" s="353"/>
      <c r="X10" s="355"/>
      <c r="Y10" s="380"/>
      <c r="Z10" s="382"/>
      <c r="AA10" s="378"/>
      <c r="AB10" s="110"/>
      <c r="AC10" s="373"/>
      <c r="AD10" s="110"/>
      <c r="AE10" s="110"/>
      <c r="AF10" s="110"/>
    </row>
    <row r="11" spans="1:32" ht="26.25" customHeight="1">
      <c r="A11" s="7">
        <v>1</v>
      </c>
      <c r="B11" s="345" t="s">
        <v>175</v>
      </c>
      <c r="C11" s="346"/>
      <c r="D11" s="346"/>
      <c r="E11" s="346"/>
      <c r="F11" s="347"/>
      <c r="G11" s="177" t="s">
        <v>19</v>
      </c>
      <c r="H11" s="44">
        <f>'BELPAPEL (2a COTIZACION) '!J15</f>
        <v>22866</v>
      </c>
      <c r="I11" s="181">
        <f>'GRUPO LOS LAGOS SAS'!J15</f>
        <v>23800</v>
      </c>
      <c r="J11" s="16">
        <f>'SUMICORP LTDA'!J15</f>
        <v>65450</v>
      </c>
      <c r="K11" s="16">
        <f>'TELEAMARKETER (2a COTIZACION)'!J15</f>
        <v>6545</v>
      </c>
      <c r="L11" s="49">
        <f t="shared" ref="L11:L42" si="0">_xlfn.STDEV.S(H11:K11)/AVERAGE(H11:K11)</f>
        <v>0.84738165443520508</v>
      </c>
      <c r="M11" s="50" t="str">
        <f>IF(L11&lt;=15%,"Bajo",IF(L11&lt;=20%,"Moderado",IF(L11&lt;=25%,"Alto","Muy alto")))</f>
        <v>Muy alto</v>
      </c>
      <c r="N11" s="51">
        <f t="shared" ref="N11:N42" si="1">MEDIAN(H11:K11)</f>
        <v>23333</v>
      </c>
      <c r="P11" s="109">
        <f>HISTORICOS!D3</f>
        <v>36212</v>
      </c>
      <c r="Q11" s="109">
        <f>HISTORICOS!H3</f>
        <v>28917</v>
      </c>
      <c r="R11" s="109">
        <f>HISTORICOS!M3</f>
        <v>29750</v>
      </c>
      <c r="S11" s="109">
        <f>HISTORICOS!R3</f>
        <v>29750</v>
      </c>
      <c r="T11" s="109">
        <f>P11*(1+$Q$4)*(1+$R$4)*(1+$S$4)*1+($T$4)</f>
        <v>43753.446980787194</v>
      </c>
      <c r="U11" s="109">
        <f t="shared" ref="U11:U17" si="2">Q11*(1+$R$4)*(1+$S$4)*1+($T$4)</f>
        <v>31972.201283999999</v>
      </c>
      <c r="V11" s="109">
        <f t="shared" ref="V11:V30" si="3">R11*(1+$S$4)*1+($T$4)</f>
        <v>31267.312399999995</v>
      </c>
      <c r="W11" s="109">
        <f t="shared" ref="W11:W30" si="4">S11*(1+($T$4))</f>
        <v>31606.400000000001</v>
      </c>
      <c r="X11" s="123">
        <f>_xlfn.STDEV.S(T11:W11)/AVERAGE(T11:W11)</f>
        <v>0.17535125770428048</v>
      </c>
      <c r="Y11" s="124" t="str">
        <f>IF(X11&lt;=15%,"Bajo",IF(X11&lt;=20%,"Moderado",IF(X11&lt;=25%,"Alto","Muy alto")))</f>
        <v>Moderado</v>
      </c>
      <c r="Z11" s="109">
        <f>MEDIAN(T11:W11)</f>
        <v>31789.300642000002</v>
      </c>
      <c r="AA11" s="109">
        <f>GEOMEAN(T11:W11)</f>
        <v>34289.614227883758</v>
      </c>
      <c r="AB11" s="111"/>
      <c r="AC11" s="229"/>
      <c r="AD11"/>
      <c r="AE11" s="110"/>
      <c r="AF11" s="110"/>
    </row>
    <row r="12" spans="1:32" ht="18" customHeight="1">
      <c r="A12" s="3">
        <v>2</v>
      </c>
      <c r="B12" s="330" t="s">
        <v>20</v>
      </c>
      <c r="C12" s="331"/>
      <c r="D12" s="331"/>
      <c r="E12" s="331"/>
      <c r="F12" s="332"/>
      <c r="G12" s="178" t="s">
        <v>19</v>
      </c>
      <c r="H12" s="44">
        <f>'BELPAPEL (2a COTIZACION) '!J16</f>
        <v>1874</v>
      </c>
      <c r="I12" s="181">
        <f>'GRUPO LOS LAGOS SAS'!J16</f>
        <v>4224.5</v>
      </c>
      <c r="J12" s="16">
        <f>'SUMICORP LTDA'!J16</f>
        <v>4998</v>
      </c>
      <c r="K12" s="16">
        <f>'TELEAMARKETER (2a COTIZACION)'!J16</f>
        <v>10591</v>
      </c>
      <c r="L12" s="49">
        <f t="shared" si="0"/>
        <v>0.68117879301565942</v>
      </c>
      <c r="M12" s="50" t="str">
        <f t="shared" ref="M12:M75" si="5">IF(L12&lt;=15%,"Bajo",IF(L12&lt;=20%,"Moderado",IF(L12&lt;=25%,"Alto","Muy alto")))</f>
        <v>Muy alto</v>
      </c>
      <c r="N12" s="51">
        <f t="shared" si="1"/>
        <v>4611.25</v>
      </c>
      <c r="P12" s="109">
        <f>HISTORICOS!D4</f>
        <v>5379</v>
      </c>
      <c r="Q12" s="109">
        <f>HISTORICOS!H4</f>
        <v>2490.0749999999998</v>
      </c>
      <c r="R12" s="109">
        <f>HISTORICOS!M4</f>
        <v>4105.5</v>
      </c>
      <c r="S12" s="109">
        <f>HISTORICOS!R4</f>
        <v>4105.5</v>
      </c>
      <c r="T12" s="109">
        <f>P12*(1+$Q$4)*(1+$R$4)*(1+$S$4)*1+($T$4)</f>
        <v>6499.2741436223987</v>
      </c>
      <c r="U12" s="109">
        <f t="shared" si="2"/>
        <v>2753.2188038999998</v>
      </c>
      <c r="V12" s="109">
        <f t="shared" si="3"/>
        <v>4314.9428999999991</v>
      </c>
      <c r="W12" s="109">
        <f t="shared" si="4"/>
        <v>4361.6832000000004</v>
      </c>
      <c r="X12" s="123">
        <f>_xlfn.STDEV.S(T12:W12)/AVERAGE(T12:W12)</f>
        <v>0.34322882710327396</v>
      </c>
      <c r="Y12" s="124" t="str">
        <f t="shared" ref="Y12:Y75" si="6">IF(X12&lt;=15%,"Bajo",IF(X12&lt;=20%,"Moderado",IF(X12&lt;=25%,"Alto","Muy alto")))</f>
        <v>Muy alto</v>
      </c>
      <c r="Z12" s="109">
        <f t="shared" ref="Z12:Z75" si="7">MEDIAN(T12:W12)</f>
        <v>4338.3130499999997</v>
      </c>
      <c r="AA12" s="109">
        <f t="shared" ref="AA12:AA75" si="8">GEOMEAN(T12:W12)</f>
        <v>4283.8444089215354</v>
      </c>
      <c r="AB12" s="110"/>
      <c r="AC12" s="229"/>
      <c r="AD12"/>
      <c r="AE12" s="110"/>
      <c r="AF12" s="113"/>
    </row>
    <row r="13" spans="1:32" ht="18" customHeight="1">
      <c r="A13" s="3">
        <v>3</v>
      </c>
      <c r="B13" s="330" t="s">
        <v>21</v>
      </c>
      <c r="C13" s="331"/>
      <c r="D13" s="331"/>
      <c r="E13" s="331"/>
      <c r="F13" s="332"/>
      <c r="G13" s="178" t="s">
        <v>19</v>
      </c>
      <c r="H13" s="44">
        <f>'BELPAPEL (2a COTIZACION) '!J17</f>
        <v>3049</v>
      </c>
      <c r="I13" s="181">
        <f>'GRUPO LOS LAGOS SAS'!J17</f>
        <v>3986.5</v>
      </c>
      <c r="J13" s="16">
        <f>'SUMICORP LTDA'!J17</f>
        <v>7973</v>
      </c>
      <c r="K13" s="16">
        <f>'TELEAMARKETER (2a COTIZACION)'!J17</f>
        <v>11876.2</v>
      </c>
      <c r="L13" s="49">
        <f t="shared" si="0"/>
        <v>0.60194324662060206</v>
      </c>
      <c r="M13" s="50" t="str">
        <f t="shared" si="5"/>
        <v>Muy alto</v>
      </c>
      <c r="N13" s="51">
        <f t="shared" si="1"/>
        <v>5979.75</v>
      </c>
      <c r="P13" s="109" t="s">
        <v>576</v>
      </c>
      <c r="Q13" s="109">
        <f>HISTORICOS!H5</f>
        <v>7357.77</v>
      </c>
      <c r="R13" s="109">
        <f>HISTORICOS!M5</f>
        <v>3558.1</v>
      </c>
      <c r="S13" s="109">
        <f>HISTORICOS!R5</f>
        <v>3558.1</v>
      </c>
      <c r="T13" s="109" t="s">
        <v>576</v>
      </c>
      <c r="U13" s="109">
        <f t="shared" si="2"/>
        <v>8135.1955160400003</v>
      </c>
      <c r="V13" s="109">
        <f t="shared" si="3"/>
        <v>3739.6254999999996</v>
      </c>
      <c r="W13" s="109">
        <f t="shared" si="4"/>
        <v>3780.1254399999998</v>
      </c>
      <c r="X13" s="123">
        <f t="shared" ref="X13:X76" si="9">_xlfn.STDEV.S(T13:W13)/AVERAGE(T13:W13)</f>
        <v>0.48409747883346688</v>
      </c>
      <c r="Y13" s="124" t="str">
        <f t="shared" si="6"/>
        <v>Muy alto</v>
      </c>
      <c r="Z13" s="109">
        <f t="shared" si="7"/>
        <v>3780.1254399999998</v>
      </c>
      <c r="AA13" s="109">
        <f t="shared" si="8"/>
        <v>4862.960848207159</v>
      </c>
      <c r="AB13" s="111"/>
      <c r="AC13" s="229"/>
      <c r="AD13"/>
      <c r="AE13" s="110"/>
      <c r="AF13" s="110"/>
    </row>
    <row r="14" spans="1:32" ht="18" customHeight="1">
      <c r="A14" s="3">
        <v>4</v>
      </c>
      <c r="B14" s="330" t="s">
        <v>22</v>
      </c>
      <c r="C14" s="331"/>
      <c r="D14" s="331"/>
      <c r="E14" s="331"/>
      <c r="F14" s="332"/>
      <c r="G14" s="178" t="s">
        <v>23</v>
      </c>
      <c r="H14" s="44">
        <f>'BELPAPEL (2a COTIZACION) '!J18</f>
        <v>837</v>
      </c>
      <c r="I14" s="181">
        <f>'GRUPO LOS LAGOS SAS'!J18</f>
        <v>1190</v>
      </c>
      <c r="J14" s="16">
        <f>'SUMICORP LTDA'!J18</f>
        <v>1666</v>
      </c>
      <c r="K14" s="16">
        <f>'TELEAMARKETER (2a COTIZACION)'!J18</f>
        <v>6902</v>
      </c>
      <c r="L14" s="49">
        <f t="shared" si="0"/>
        <v>1.0781588525621837</v>
      </c>
      <c r="M14" s="50" t="str">
        <f t="shared" si="5"/>
        <v>Muy alto</v>
      </c>
      <c r="N14" s="51">
        <f t="shared" si="1"/>
        <v>1428</v>
      </c>
      <c r="P14" s="109">
        <f>HISTORICOS!D5</f>
        <v>805</v>
      </c>
      <c r="Q14" s="109">
        <f>HISTORICOS!H6</f>
        <v>963.9</v>
      </c>
      <c r="R14" s="109">
        <f>HISTORICOS!M6</f>
        <v>1309</v>
      </c>
      <c r="S14" s="109">
        <f>HISTORICOS!R6</f>
        <v>1309</v>
      </c>
      <c r="T14" s="109">
        <f>P14*(1+$Q$4)*(1+$R$4)*(1+$S$4)*1+($T$4)</f>
        <v>972.70888700800003</v>
      </c>
      <c r="U14" s="109">
        <f t="shared" si="2"/>
        <v>1065.8003628000001</v>
      </c>
      <c r="V14" s="109">
        <f t="shared" si="3"/>
        <v>1375.8214</v>
      </c>
      <c r="W14" s="109">
        <f t="shared" si="4"/>
        <v>1390.6816000000001</v>
      </c>
      <c r="X14" s="123">
        <f t="shared" si="9"/>
        <v>0.17785476540932241</v>
      </c>
      <c r="Y14" s="124" t="str">
        <f t="shared" si="6"/>
        <v>Moderado</v>
      </c>
      <c r="Z14" s="109">
        <f t="shared" si="7"/>
        <v>1220.8108814000002</v>
      </c>
      <c r="AA14" s="109">
        <f t="shared" si="8"/>
        <v>1186.7578936974544</v>
      </c>
      <c r="AB14" s="110"/>
      <c r="AC14" s="229"/>
      <c r="AD14"/>
      <c r="AE14" s="110"/>
      <c r="AF14" s="110"/>
    </row>
    <row r="15" spans="1:32" ht="29.25" customHeight="1">
      <c r="A15" s="3">
        <v>5</v>
      </c>
      <c r="B15" s="330" t="s">
        <v>176</v>
      </c>
      <c r="C15" s="334"/>
      <c r="D15" s="334"/>
      <c r="E15" s="334"/>
      <c r="F15" s="335"/>
      <c r="G15" s="178" t="s">
        <v>24</v>
      </c>
      <c r="H15" s="44">
        <f>'BELPAPEL (2a COTIZACION) '!J19</f>
        <v>1781</v>
      </c>
      <c r="I15" s="181">
        <f>'GRUPO LOS LAGOS SAS'!J19</f>
        <v>3570</v>
      </c>
      <c r="J15" s="16">
        <f>'SUMICORP LTDA'!J19</f>
        <v>4522</v>
      </c>
      <c r="K15" s="16">
        <f>'TELEAMARKETER (2a COTIZACION)'!J19</f>
        <v>17255</v>
      </c>
      <c r="L15" s="49">
        <f t="shared" si="0"/>
        <v>1.0430337669517915</v>
      </c>
      <c r="M15" s="50" t="str">
        <f t="shared" si="5"/>
        <v>Muy alto</v>
      </c>
      <c r="N15" s="51">
        <f t="shared" si="1"/>
        <v>4046</v>
      </c>
      <c r="P15" s="109" t="s">
        <v>576</v>
      </c>
      <c r="Q15" s="109">
        <f>HISTORICOS!H7</f>
        <v>4605.3</v>
      </c>
      <c r="R15" s="109">
        <f>HISTORICOS!M7</f>
        <v>3570</v>
      </c>
      <c r="S15" s="109">
        <f>HISTORICOS!R7</f>
        <v>3570</v>
      </c>
      <c r="T15" s="109" t="s">
        <v>576</v>
      </c>
      <c r="U15" s="109">
        <f t="shared" si="2"/>
        <v>5091.9215555999999</v>
      </c>
      <c r="V15" s="109">
        <f t="shared" si="3"/>
        <v>3752.1323999999995</v>
      </c>
      <c r="W15" s="109">
        <f t="shared" si="4"/>
        <v>3792.768</v>
      </c>
      <c r="X15" s="123">
        <f t="shared" si="9"/>
        <v>0.1809160666317994</v>
      </c>
      <c r="Y15" s="124" t="str">
        <f t="shared" si="6"/>
        <v>Moderado</v>
      </c>
      <c r="Z15" s="109">
        <f t="shared" si="7"/>
        <v>3792.768</v>
      </c>
      <c r="AA15" s="109">
        <f t="shared" si="8"/>
        <v>4169.0654431961566</v>
      </c>
      <c r="AB15" s="111"/>
      <c r="AC15" s="229"/>
      <c r="AD15"/>
      <c r="AE15" s="110"/>
      <c r="AF15" s="110"/>
    </row>
    <row r="16" spans="1:32" ht="18" customHeight="1">
      <c r="A16" s="3">
        <v>6</v>
      </c>
      <c r="B16" s="330" t="s">
        <v>25</v>
      </c>
      <c r="C16" s="331"/>
      <c r="D16" s="331"/>
      <c r="E16" s="331"/>
      <c r="F16" s="332"/>
      <c r="G16" s="178" t="s">
        <v>19</v>
      </c>
      <c r="H16" s="44">
        <f>'BELPAPEL (2a COTIZACION) '!J20</f>
        <v>625</v>
      </c>
      <c r="I16" s="181">
        <f>'GRUPO LOS LAGOS SAS'!J20</f>
        <v>1844.5</v>
      </c>
      <c r="J16" s="16">
        <f>'SUMICORP LTDA'!J20</f>
        <v>4165</v>
      </c>
      <c r="K16" s="16">
        <f>'TELEAMARKETER (2a COTIZACION)'!J20</f>
        <v>8211</v>
      </c>
      <c r="L16" s="49">
        <f t="shared" si="0"/>
        <v>0.89988940105360415</v>
      </c>
      <c r="M16" s="50" t="str">
        <f t="shared" si="5"/>
        <v>Muy alto</v>
      </c>
      <c r="N16" s="51">
        <f t="shared" si="1"/>
        <v>3004.75</v>
      </c>
      <c r="P16" s="109">
        <f>HISTORICOS!D7</f>
        <v>1143</v>
      </c>
      <c r="Q16" s="109">
        <f>HISTORICOS!H8</f>
        <v>4158.3360000000002</v>
      </c>
      <c r="R16" s="109">
        <f>HISTORICOS!M8</f>
        <v>2378.81</v>
      </c>
      <c r="S16" s="109">
        <f>HISTORICOS!R8</f>
        <v>2378.81</v>
      </c>
      <c r="T16" s="109">
        <f>P16*(1+$Q$4)*(1+$R$4)*(1+$S$4)*1+($T$4)</f>
        <v>1381.0995859008001</v>
      </c>
      <c r="U16" s="109">
        <f t="shared" si="2"/>
        <v>4597.7349150719992</v>
      </c>
      <c r="V16" s="109">
        <f t="shared" si="3"/>
        <v>2500.1917099999996</v>
      </c>
      <c r="W16" s="109">
        <f t="shared" si="4"/>
        <v>2527.2477439999998</v>
      </c>
      <c r="X16" s="123">
        <f t="shared" si="9"/>
        <v>0.48759242893334265</v>
      </c>
      <c r="Y16" s="124" t="str">
        <f t="shared" si="6"/>
        <v>Muy alto</v>
      </c>
      <c r="Z16" s="109">
        <f t="shared" si="7"/>
        <v>2513.7197269999997</v>
      </c>
      <c r="AA16" s="109">
        <f t="shared" si="8"/>
        <v>2516.7930899788685</v>
      </c>
      <c r="AB16" s="110"/>
      <c r="AC16" s="229"/>
      <c r="AD16"/>
      <c r="AE16" s="110"/>
      <c r="AF16" s="110"/>
    </row>
    <row r="17" spans="1:32" ht="18" customHeight="1">
      <c r="A17" s="3">
        <v>7</v>
      </c>
      <c r="B17" s="330" t="s">
        <v>26</v>
      </c>
      <c r="C17" s="331"/>
      <c r="D17" s="331"/>
      <c r="E17" s="331"/>
      <c r="F17" s="332"/>
      <c r="G17" s="178" t="s">
        <v>19</v>
      </c>
      <c r="H17" s="44">
        <f>'BELPAPEL (2a COTIZACION) '!J21</f>
        <v>4061</v>
      </c>
      <c r="I17" s="181">
        <f>'GRUPO LOS LAGOS SAS'!J21</f>
        <v>4879</v>
      </c>
      <c r="J17" s="16">
        <f>'SUMICORP LTDA'!J21</f>
        <v>7021</v>
      </c>
      <c r="K17" s="16">
        <f>'TELEAMARKETER (2a COTIZACION)'!J21</f>
        <v>8151.5</v>
      </c>
      <c r="L17" s="49">
        <f t="shared" si="0"/>
        <v>0.31306612535736389</v>
      </c>
      <c r="M17" s="50" t="str">
        <f t="shared" si="5"/>
        <v>Muy alto</v>
      </c>
      <c r="N17" s="51">
        <f t="shared" si="1"/>
        <v>5950</v>
      </c>
      <c r="P17" s="109" t="s">
        <v>576</v>
      </c>
      <c r="Q17" s="109">
        <f>HISTORICOS!H9</f>
        <v>6211.8</v>
      </c>
      <c r="R17" s="109">
        <f>HISTORICOS!M9</f>
        <v>4641</v>
      </c>
      <c r="S17" s="109">
        <f>HISTORICOS!R9</f>
        <v>4641</v>
      </c>
      <c r="T17" s="109" t="s">
        <v>576</v>
      </c>
      <c r="U17" s="109">
        <f t="shared" si="2"/>
        <v>6868.1514935999994</v>
      </c>
      <c r="V17" s="109">
        <f t="shared" si="3"/>
        <v>4877.7533999999996</v>
      </c>
      <c r="W17" s="109">
        <f t="shared" si="4"/>
        <v>4930.5983999999999</v>
      </c>
      <c r="X17" s="123">
        <f t="shared" si="9"/>
        <v>0.20403731432801087</v>
      </c>
      <c r="Y17" s="124" t="str">
        <f t="shared" si="6"/>
        <v>Alto</v>
      </c>
      <c r="Z17" s="109">
        <f t="shared" si="7"/>
        <v>4930.5983999999999</v>
      </c>
      <c r="AA17" s="109">
        <f t="shared" si="8"/>
        <v>5486.8081987972628</v>
      </c>
      <c r="AB17" s="111"/>
      <c r="AC17" s="229"/>
      <c r="AD17"/>
      <c r="AE17" s="110"/>
      <c r="AF17" s="113"/>
    </row>
    <row r="18" spans="1:32" ht="18" customHeight="1">
      <c r="A18" s="3">
        <v>8</v>
      </c>
      <c r="B18" s="330" t="s">
        <v>27</v>
      </c>
      <c r="C18" s="331"/>
      <c r="D18" s="331"/>
      <c r="E18" s="331"/>
      <c r="F18" s="332"/>
      <c r="G18" s="178" t="s">
        <v>19</v>
      </c>
      <c r="H18" s="44">
        <f>'BELPAPEL (2a COTIZACION) '!J22</f>
        <v>2499</v>
      </c>
      <c r="I18" s="181">
        <f>'GRUPO LOS LAGOS SAS'!J22</f>
        <v>4760</v>
      </c>
      <c r="J18" s="16">
        <f>'SUMICORP LTDA'!J22</f>
        <v>6902</v>
      </c>
      <c r="K18" s="16">
        <f>'TELEAMARKETER (2a COTIZACION)'!J22</f>
        <v>8270.5</v>
      </c>
      <c r="L18" s="49">
        <f t="shared" si="0"/>
        <v>0.45051210826973959</v>
      </c>
      <c r="M18" s="50" t="str">
        <f t="shared" si="5"/>
        <v>Muy alto</v>
      </c>
      <c r="N18" s="51">
        <f t="shared" si="1"/>
        <v>5831</v>
      </c>
      <c r="P18" s="109" t="s">
        <v>576</v>
      </c>
      <c r="Q18" s="109" t="s">
        <v>576</v>
      </c>
      <c r="R18" s="109">
        <f>HISTORICOS!M10</f>
        <v>4522</v>
      </c>
      <c r="S18" s="109">
        <f>HISTORICOS!R10</f>
        <v>4522</v>
      </c>
      <c r="T18" s="109" t="s">
        <v>576</v>
      </c>
      <c r="U18" s="109" t="s">
        <v>576</v>
      </c>
      <c r="V18" s="109">
        <f t="shared" si="3"/>
        <v>4752.6843999999992</v>
      </c>
      <c r="W18" s="109">
        <f t="shared" si="4"/>
        <v>4804.1728000000003</v>
      </c>
      <c r="X18" s="123">
        <f t="shared" si="9"/>
        <v>7.6191986613436498E-3</v>
      </c>
      <c r="Y18" s="124" t="str">
        <f t="shared" si="6"/>
        <v>Bajo</v>
      </c>
      <c r="Z18" s="109">
        <f t="shared" si="7"/>
        <v>4778.4285999999993</v>
      </c>
      <c r="AA18" s="109">
        <f t="shared" si="8"/>
        <v>4778.35924993761</v>
      </c>
      <c r="AC18" s="229"/>
      <c r="AD18"/>
    </row>
    <row r="19" spans="1:32" ht="18" customHeight="1">
      <c r="A19" s="3">
        <v>9</v>
      </c>
      <c r="B19" s="330" t="s">
        <v>28</v>
      </c>
      <c r="C19" s="331"/>
      <c r="D19" s="331"/>
      <c r="E19" s="331"/>
      <c r="F19" s="332"/>
      <c r="G19" s="178" t="s">
        <v>19</v>
      </c>
      <c r="H19" s="44">
        <f>'BELPAPEL (2a COTIZACION) '!J23</f>
        <v>619</v>
      </c>
      <c r="I19" s="181">
        <f>'GRUPO LOS LAGOS SAS'!J23</f>
        <v>1190</v>
      </c>
      <c r="J19" s="16">
        <f>'SUMICORP LTDA'!J23</f>
        <v>1190</v>
      </c>
      <c r="K19" s="16">
        <f>'TELEAMARKETER (2a COTIZACION)'!J23</f>
        <v>7104.3</v>
      </c>
      <c r="L19" s="49">
        <f t="shared" si="0"/>
        <v>1.2131332527436742</v>
      </c>
      <c r="M19" s="50" t="str">
        <f t="shared" si="5"/>
        <v>Muy alto</v>
      </c>
      <c r="N19" s="51">
        <f t="shared" si="1"/>
        <v>1190</v>
      </c>
      <c r="P19" s="109" t="s">
        <v>576</v>
      </c>
      <c r="Q19" s="109" t="s">
        <v>576</v>
      </c>
      <c r="R19" s="109">
        <f>HISTORICOS!M11</f>
        <v>1029.3499999999999</v>
      </c>
      <c r="S19" s="109">
        <f>HISTORICOS!R11</f>
        <v>1029.3499999999999</v>
      </c>
      <c r="T19" s="109" t="s">
        <v>576</v>
      </c>
      <c r="U19" s="109" t="s">
        <v>576</v>
      </c>
      <c r="V19" s="109">
        <f t="shared" si="3"/>
        <v>1081.9092499999999</v>
      </c>
      <c r="W19" s="109">
        <f t="shared" si="4"/>
        <v>1093.5814399999999</v>
      </c>
      <c r="X19" s="123">
        <f t="shared" si="9"/>
        <v>7.5876993987943116E-3</v>
      </c>
      <c r="Y19" s="124" t="str">
        <f t="shared" si="6"/>
        <v>Bajo</v>
      </c>
      <c r="Z19" s="109">
        <f t="shared" si="7"/>
        <v>1087.7453449999998</v>
      </c>
      <c r="AA19" s="109">
        <f t="shared" si="8"/>
        <v>1087.7296886471013</v>
      </c>
      <c r="AC19" s="229"/>
      <c r="AD19"/>
    </row>
    <row r="20" spans="1:32" ht="18" customHeight="1">
      <c r="A20" s="3">
        <v>10</v>
      </c>
      <c r="B20" s="330" t="s">
        <v>29</v>
      </c>
      <c r="C20" s="331"/>
      <c r="D20" s="331"/>
      <c r="E20" s="331"/>
      <c r="F20" s="332"/>
      <c r="G20" s="178" t="s">
        <v>19</v>
      </c>
      <c r="H20" s="44">
        <f>'BELPAPEL (2a COTIZACION) '!J24</f>
        <v>619</v>
      </c>
      <c r="I20" s="181">
        <f>'GRUPO LOS LAGOS SAS'!J24</f>
        <v>1249.5</v>
      </c>
      <c r="J20" s="16">
        <f>'SUMICORP LTDA'!J24</f>
        <v>1309</v>
      </c>
      <c r="K20" s="16">
        <f>'TELEAMARKETER (2a COTIZACION)'!J24</f>
        <v>9341.5</v>
      </c>
      <c r="L20" s="49">
        <f t="shared" si="0"/>
        <v>1.3269167246508011</v>
      </c>
      <c r="M20" s="50" t="str">
        <f t="shared" si="5"/>
        <v>Muy alto</v>
      </c>
      <c r="N20" s="51">
        <f t="shared" si="1"/>
        <v>1279.25</v>
      </c>
      <c r="P20" s="109" t="s">
        <v>576</v>
      </c>
      <c r="Q20" s="109" t="s">
        <v>576</v>
      </c>
      <c r="R20" s="109">
        <f>HISTORICOS!M12</f>
        <v>1124.55</v>
      </c>
      <c r="S20" s="109">
        <f>HISTORICOS!R12</f>
        <v>1124.55</v>
      </c>
      <c r="T20" s="109" t="s">
        <v>576</v>
      </c>
      <c r="U20" s="109" t="s">
        <v>576</v>
      </c>
      <c r="V20" s="109">
        <f t="shared" si="3"/>
        <v>1181.9644499999999</v>
      </c>
      <c r="W20" s="109">
        <f t="shared" si="4"/>
        <v>1194.72192</v>
      </c>
      <c r="X20" s="123">
        <f t="shared" si="9"/>
        <v>7.5911518336211547E-3</v>
      </c>
      <c r="Y20" s="124" t="str">
        <f t="shared" si="6"/>
        <v>Bajo</v>
      </c>
      <c r="Z20" s="109">
        <f t="shared" si="7"/>
        <v>1188.3431849999999</v>
      </c>
      <c r="AA20" s="109">
        <f t="shared" si="8"/>
        <v>1188.3260651335322</v>
      </c>
      <c r="AC20" s="229"/>
      <c r="AD20"/>
    </row>
    <row r="21" spans="1:32" ht="18" customHeight="1">
      <c r="A21" s="3">
        <v>11</v>
      </c>
      <c r="B21" s="330" t="s">
        <v>30</v>
      </c>
      <c r="C21" s="331"/>
      <c r="D21" s="331"/>
      <c r="E21" s="331"/>
      <c r="F21" s="332"/>
      <c r="G21" s="178" t="s">
        <v>31</v>
      </c>
      <c r="H21" s="44">
        <f>'BELPAPEL (2a COTIZACION) '!J25</f>
        <v>3449</v>
      </c>
      <c r="I21" s="181">
        <f>'GRUPO LOS LAGOS SAS'!J25</f>
        <v>11900</v>
      </c>
      <c r="J21" s="16">
        <f>'SUMICORP LTDA'!J25</f>
        <v>17255</v>
      </c>
      <c r="K21" s="16">
        <f>'TELEAMARKETER (2a COTIZACION)'!J25</f>
        <v>1487.5</v>
      </c>
      <c r="L21" s="49">
        <f t="shared" si="0"/>
        <v>0.8645857025215663</v>
      </c>
      <c r="M21" s="50" t="str">
        <f t="shared" si="5"/>
        <v>Muy alto</v>
      </c>
      <c r="N21" s="51">
        <f t="shared" si="1"/>
        <v>7674.5</v>
      </c>
      <c r="P21" s="109" t="s">
        <v>576</v>
      </c>
      <c r="Q21" s="109" t="s">
        <v>576</v>
      </c>
      <c r="R21" s="109">
        <f>HISTORICOS!M13</f>
        <v>9996</v>
      </c>
      <c r="S21" s="109">
        <f>HISTORICOS!R13</f>
        <v>9996</v>
      </c>
      <c r="T21" s="109" t="s">
        <v>576</v>
      </c>
      <c r="U21" s="109" t="s">
        <v>576</v>
      </c>
      <c r="V21" s="109">
        <f t="shared" si="3"/>
        <v>10505.858399999999</v>
      </c>
      <c r="W21" s="109">
        <f t="shared" si="4"/>
        <v>10619.750400000001</v>
      </c>
      <c r="X21" s="123">
        <f t="shared" si="9"/>
        <v>7.6242825743227261E-3</v>
      </c>
      <c r="Y21" s="124" t="str">
        <f t="shared" si="6"/>
        <v>Bajo</v>
      </c>
      <c r="Z21" s="109">
        <f t="shared" si="7"/>
        <v>10562.804400000001</v>
      </c>
      <c r="AA21" s="109">
        <f t="shared" si="8"/>
        <v>10562.650895762075</v>
      </c>
      <c r="AC21" s="229"/>
      <c r="AD21"/>
    </row>
    <row r="22" spans="1:32" ht="30" customHeight="1">
      <c r="A22" s="3">
        <v>12</v>
      </c>
      <c r="B22" s="330" t="s">
        <v>177</v>
      </c>
      <c r="C22" s="334"/>
      <c r="D22" s="334"/>
      <c r="E22" s="334"/>
      <c r="F22" s="335"/>
      <c r="G22" s="178" t="s">
        <v>19</v>
      </c>
      <c r="H22" s="44">
        <f>'BELPAPEL (2a COTIZACION) '!J26</f>
        <v>1406</v>
      </c>
      <c r="I22" s="181">
        <f>'GRUPO LOS LAGOS SAS'!J26</f>
        <v>2368.1</v>
      </c>
      <c r="J22" s="16">
        <f>'SUMICORP LTDA'!J26</f>
        <v>3094</v>
      </c>
      <c r="K22" s="16">
        <f>'TELEAMARKETER (2a COTIZACION)'!J26</f>
        <v>8151.5</v>
      </c>
      <c r="L22" s="49">
        <f t="shared" si="0"/>
        <v>0.80201912403323061</v>
      </c>
      <c r="M22" s="50" t="str">
        <f t="shared" si="5"/>
        <v>Muy alto</v>
      </c>
      <c r="N22" s="51">
        <f t="shared" si="1"/>
        <v>2731.05</v>
      </c>
      <c r="P22" s="109">
        <f>HISTORICOS!D11</f>
        <v>1876</v>
      </c>
      <c r="Q22" s="109">
        <f>HISTORICOS!H13</f>
        <v>1904</v>
      </c>
      <c r="R22" s="109">
        <f>HISTORICOS!M14</f>
        <v>2142</v>
      </c>
      <c r="S22" s="109">
        <f>HISTORICOS!R14</f>
        <v>2142</v>
      </c>
      <c r="T22" s="109">
        <f t="shared" ref="T22:T30" si="10">P22*(1+$Q$4)*(1+$R$4)*(1+$S$4)*1+($T$4)</f>
        <v>2266.7516045055995</v>
      </c>
      <c r="U22" s="109">
        <f t="shared" ref="U22:U30" si="11">Q22*(1+$R$4)*(1+$S$4)*1+($T$4)</f>
        <v>2105.2238079999997</v>
      </c>
      <c r="V22" s="109">
        <f t="shared" si="3"/>
        <v>2251.3043999999995</v>
      </c>
      <c r="W22" s="109">
        <f t="shared" si="4"/>
        <v>2275.6608000000001</v>
      </c>
      <c r="X22" s="123">
        <f t="shared" si="9"/>
        <v>3.6097374713329904E-2</v>
      </c>
      <c r="Y22" s="124" t="str">
        <f t="shared" si="6"/>
        <v>Bajo</v>
      </c>
      <c r="Z22" s="109">
        <f t="shared" si="7"/>
        <v>2259.0280022527995</v>
      </c>
      <c r="AA22" s="109">
        <f t="shared" si="8"/>
        <v>2223.622133772737</v>
      </c>
      <c r="AC22" s="229"/>
      <c r="AD22"/>
    </row>
    <row r="23" spans="1:32" ht="18" customHeight="1">
      <c r="A23" s="3">
        <v>13</v>
      </c>
      <c r="B23" s="330" t="s">
        <v>32</v>
      </c>
      <c r="C23" s="331"/>
      <c r="D23" s="331"/>
      <c r="E23" s="331"/>
      <c r="F23" s="332"/>
      <c r="G23" s="178" t="s">
        <v>33</v>
      </c>
      <c r="H23" s="44">
        <f>'BELPAPEL (2a COTIZACION) '!J27</f>
        <v>1093</v>
      </c>
      <c r="I23" s="181">
        <f>'GRUPO LOS LAGOS SAS'!J27</f>
        <v>1785</v>
      </c>
      <c r="J23" s="16">
        <f>'SUMICORP LTDA'!J27</f>
        <v>3808</v>
      </c>
      <c r="K23" s="16">
        <f>'TELEAMARKETER (2a COTIZACION)'!J27</f>
        <v>5712</v>
      </c>
      <c r="L23" s="49">
        <f t="shared" si="0"/>
        <v>0.67370465693949544</v>
      </c>
      <c r="M23" s="50" t="str">
        <f t="shared" si="5"/>
        <v>Muy alto</v>
      </c>
      <c r="N23" s="51">
        <f t="shared" si="1"/>
        <v>2796.5</v>
      </c>
      <c r="P23" s="109">
        <f>HISTORICOS!D12</f>
        <v>1788</v>
      </c>
      <c r="Q23" s="109">
        <f>HISTORICOS!H14</f>
        <v>1370.88</v>
      </c>
      <c r="R23" s="109">
        <f>HISTORICOS!M15</f>
        <v>1547</v>
      </c>
      <c r="S23" s="109">
        <f>HISTORICOS!R15</f>
        <v>1547</v>
      </c>
      <c r="T23" s="109">
        <f t="shared" si="10"/>
        <v>2160.4250320127999</v>
      </c>
      <c r="U23" s="109">
        <f t="shared" si="11"/>
        <v>1515.7786137600001</v>
      </c>
      <c r="V23" s="109">
        <f t="shared" si="3"/>
        <v>1625.9594</v>
      </c>
      <c r="W23" s="109">
        <f t="shared" si="4"/>
        <v>1643.5328</v>
      </c>
      <c r="X23" s="123">
        <f t="shared" si="9"/>
        <v>0.16601150165722098</v>
      </c>
      <c r="Y23" s="124" t="str">
        <f t="shared" si="6"/>
        <v>Moderado</v>
      </c>
      <c r="Z23" s="109">
        <f t="shared" si="7"/>
        <v>1634.7460999999998</v>
      </c>
      <c r="AA23" s="109">
        <f t="shared" si="8"/>
        <v>1719.9497635880134</v>
      </c>
      <c r="AC23" s="229"/>
      <c r="AD23"/>
    </row>
    <row r="24" spans="1:32" ht="18" customHeight="1">
      <c r="A24" s="3">
        <v>14</v>
      </c>
      <c r="B24" s="330" t="s">
        <v>34</v>
      </c>
      <c r="C24" s="331"/>
      <c r="D24" s="331"/>
      <c r="E24" s="331"/>
      <c r="F24" s="332"/>
      <c r="G24" s="178" t="s">
        <v>19</v>
      </c>
      <c r="H24" s="44">
        <f>'BELPAPEL (2a COTIZACION) '!J28</f>
        <v>52323</v>
      </c>
      <c r="I24" s="181">
        <f>'GRUPO LOS LAGOS SAS'!J28</f>
        <v>47588.1</v>
      </c>
      <c r="J24" s="16">
        <f>'SUMICORP LTDA'!J28</f>
        <v>71162</v>
      </c>
      <c r="K24" s="16">
        <f>'TELEAMARKETER (2a COTIZACION)'!J28</f>
        <v>19992</v>
      </c>
      <c r="L24" s="49">
        <f t="shared" si="0"/>
        <v>0.44238462205209372</v>
      </c>
      <c r="M24" s="50" t="str">
        <f t="shared" si="5"/>
        <v>Muy alto</v>
      </c>
      <c r="N24" s="51">
        <f t="shared" si="1"/>
        <v>49955.55</v>
      </c>
      <c r="P24" s="109">
        <f>HISTORICOS!D15</f>
        <v>41770</v>
      </c>
      <c r="Q24" s="109">
        <f>HISTORICOS!H16</f>
        <v>17136</v>
      </c>
      <c r="R24" s="109">
        <f>HISTORICOS!M16</f>
        <v>30940</v>
      </c>
      <c r="S24" s="109">
        <f>HISTORICOS!R16</f>
        <v>30940</v>
      </c>
      <c r="T24" s="109">
        <f t="shared" si="10"/>
        <v>50468.936638911997</v>
      </c>
      <c r="U24" s="109">
        <f t="shared" si="11"/>
        <v>18946.515071999998</v>
      </c>
      <c r="V24" s="109">
        <f t="shared" si="3"/>
        <v>32518.002399999998</v>
      </c>
      <c r="W24" s="109">
        <f t="shared" si="4"/>
        <v>32870.656000000003</v>
      </c>
      <c r="X24" s="123">
        <f t="shared" si="9"/>
        <v>0.38343550771504842</v>
      </c>
      <c r="Y24" s="124" t="str">
        <f t="shared" si="6"/>
        <v>Muy alto</v>
      </c>
      <c r="Z24" s="109">
        <f t="shared" si="7"/>
        <v>32694.3292</v>
      </c>
      <c r="AA24" s="109">
        <f t="shared" si="8"/>
        <v>31795.922595765587</v>
      </c>
      <c r="AC24" s="229"/>
      <c r="AD24"/>
    </row>
    <row r="25" spans="1:32" ht="18" customHeight="1">
      <c r="A25" s="3">
        <v>15</v>
      </c>
      <c r="B25" s="330" t="s">
        <v>35</v>
      </c>
      <c r="C25" s="331"/>
      <c r="D25" s="331"/>
      <c r="E25" s="331"/>
      <c r="F25" s="332"/>
      <c r="G25" s="178" t="s">
        <v>19</v>
      </c>
      <c r="H25" s="44">
        <f>'BELPAPEL (2a COTIZACION) '!J29</f>
        <v>52323</v>
      </c>
      <c r="I25" s="181">
        <f>'GRUPO LOS LAGOS SAS'!J29</f>
        <v>47588.1</v>
      </c>
      <c r="J25" s="16">
        <f>'SUMICORP LTDA'!J29</f>
        <v>71162</v>
      </c>
      <c r="K25" s="16">
        <f>'TELEAMARKETER (2a COTIZACION)'!J29</f>
        <v>23621.5</v>
      </c>
      <c r="L25" s="49">
        <f t="shared" si="0"/>
        <v>0.40186915593394862</v>
      </c>
      <c r="M25" s="50" t="str">
        <f t="shared" si="5"/>
        <v>Muy alto</v>
      </c>
      <c r="N25" s="51">
        <f t="shared" si="1"/>
        <v>49955.55</v>
      </c>
      <c r="P25" s="109">
        <f>HISTORICOS!D16</f>
        <v>41770</v>
      </c>
      <c r="Q25" s="109">
        <f>HISTORICOS!H17</f>
        <v>16065</v>
      </c>
      <c r="R25" s="109">
        <f>HISTORICOS!M17</f>
        <v>30940</v>
      </c>
      <c r="S25" s="109">
        <f>HISTORICOS!R17</f>
        <v>30940</v>
      </c>
      <c r="T25" s="109">
        <f t="shared" si="10"/>
        <v>50468.936638911997</v>
      </c>
      <c r="U25" s="109">
        <f t="shared" si="11"/>
        <v>17762.361779999999</v>
      </c>
      <c r="V25" s="109">
        <f t="shared" si="3"/>
        <v>32518.002399999998</v>
      </c>
      <c r="W25" s="109">
        <f t="shared" si="4"/>
        <v>32870.656000000003</v>
      </c>
      <c r="X25" s="123">
        <f t="shared" si="9"/>
        <v>0.40049017611494864</v>
      </c>
      <c r="Y25" s="124" t="str">
        <f t="shared" si="6"/>
        <v>Muy alto</v>
      </c>
      <c r="Z25" s="109">
        <f t="shared" si="7"/>
        <v>32694.3292</v>
      </c>
      <c r="AA25" s="109">
        <f t="shared" si="8"/>
        <v>31287.025345798065</v>
      </c>
      <c r="AC25" s="229"/>
      <c r="AD25"/>
    </row>
    <row r="26" spans="1:32" ht="19.5" customHeight="1">
      <c r="A26" s="3">
        <v>16</v>
      </c>
      <c r="B26" s="330" t="s">
        <v>179</v>
      </c>
      <c r="C26" s="334"/>
      <c r="D26" s="334"/>
      <c r="E26" s="334"/>
      <c r="F26" s="335"/>
      <c r="G26" s="178" t="s">
        <v>19</v>
      </c>
      <c r="H26" s="44">
        <f>'BELPAPEL (2a COTIZACION) '!J30</f>
        <v>6972</v>
      </c>
      <c r="I26" s="181">
        <f>'GRUPO LOS LAGOS SAS'!J30</f>
        <v>8330</v>
      </c>
      <c r="J26" s="16">
        <f>'SUMICORP LTDA'!J30</f>
        <v>13566</v>
      </c>
      <c r="K26" s="16">
        <f>'TELEAMARKETER (2a COTIZACION)'!J30</f>
        <v>15351</v>
      </c>
      <c r="L26" s="49">
        <f t="shared" si="0"/>
        <v>0.36505219120572907</v>
      </c>
      <c r="M26" s="50" t="str">
        <f t="shared" si="5"/>
        <v>Muy alto</v>
      </c>
      <c r="N26" s="51">
        <f t="shared" si="1"/>
        <v>10948</v>
      </c>
      <c r="P26" s="109">
        <f>HISTORICOS!D18</f>
        <v>8413</v>
      </c>
      <c r="Q26" s="109">
        <f>HISTORICOS!H19</f>
        <v>7463.68</v>
      </c>
      <c r="R26" s="109">
        <f>HISTORICOS!M18</f>
        <v>7140</v>
      </c>
      <c r="S26" s="109">
        <f>HISTORICOS!R18</f>
        <v>7140</v>
      </c>
      <c r="T26" s="109">
        <f t="shared" si="10"/>
        <v>10165.124381612801</v>
      </c>
      <c r="U26" s="109">
        <f t="shared" si="11"/>
        <v>8252.295119360002</v>
      </c>
      <c r="V26" s="109">
        <f t="shared" si="3"/>
        <v>7504.2023999999992</v>
      </c>
      <c r="W26" s="109">
        <f t="shared" si="4"/>
        <v>7585.5360000000001</v>
      </c>
      <c r="X26" s="123">
        <f t="shared" si="9"/>
        <v>0.14784071822007777</v>
      </c>
      <c r="Y26" s="124" t="str">
        <f t="shared" si="6"/>
        <v>Bajo</v>
      </c>
      <c r="Z26" s="109">
        <f t="shared" si="7"/>
        <v>7918.915559680001</v>
      </c>
      <c r="AA26" s="109">
        <f t="shared" si="8"/>
        <v>8312.7470449301418</v>
      </c>
      <c r="AC26" s="229"/>
      <c r="AD26"/>
    </row>
    <row r="27" spans="1:32" ht="19.5" customHeight="1">
      <c r="A27" s="3">
        <v>17</v>
      </c>
      <c r="B27" s="330" t="s">
        <v>180</v>
      </c>
      <c r="C27" s="334"/>
      <c r="D27" s="334"/>
      <c r="E27" s="334"/>
      <c r="F27" s="335"/>
      <c r="G27" s="178" t="s">
        <v>19</v>
      </c>
      <c r="H27" s="44">
        <f>'BELPAPEL (2a COTIZACION) '!J31</f>
        <v>8459</v>
      </c>
      <c r="I27" s="181">
        <f>'GRUPO LOS LAGOS SAS'!J31</f>
        <v>8211</v>
      </c>
      <c r="J27" s="16">
        <f>'SUMICORP LTDA'!J31</f>
        <v>12495</v>
      </c>
      <c r="K27" s="16">
        <f>'TELEAMARKETER (2a COTIZACION)'!J31</f>
        <v>19040</v>
      </c>
      <c r="L27" s="49">
        <f t="shared" si="0"/>
        <v>0.41954677330203194</v>
      </c>
      <c r="M27" s="50" t="str">
        <f t="shared" si="5"/>
        <v>Muy alto</v>
      </c>
      <c r="N27" s="51">
        <f t="shared" si="1"/>
        <v>10477</v>
      </c>
      <c r="P27" s="109">
        <f>HISTORICOS!D19</f>
        <v>6967</v>
      </c>
      <c r="Q27" s="109">
        <f>HISTORICOS!H20</f>
        <v>7311.3600000000006</v>
      </c>
      <c r="R27" s="109">
        <f>HISTORICOS!M19</f>
        <v>6545</v>
      </c>
      <c r="S27" s="109">
        <f>HISTORICOS!R19</f>
        <v>6545</v>
      </c>
      <c r="T27" s="109">
        <f t="shared" si="10"/>
        <v>8417.9854745152006</v>
      </c>
      <c r="U27" s="109">
        <f t="shared" si="11"/>
        <v>8083.8822067200008</v>
      </c>
      <c r="V27" s="109">
        <f t="shared" si="3"/>
        <v>6878.857399999999</v>
      </c>
      <c r="W27" s="109">
        <f t="shared" si="4"/>
        <v>6953.4080000000004</v>
      </c>
      <c r="X27" s="123">
        <f t="shared" si="9"/>
        <v>0.10327860796865695</v>
      </c>
      <c r="Y27" s="124" t="str">
        <f t="shared" si="6"/>
        <v>Bajo</v>
      </c>
      <c r="Z27" s="109">
        <f t="shared" si="7"/>
        <v>7518.6451033600006</v>
      </c>
      <c r="AA27" s="109">
        <f t="shared" si="8"/>
        <v>7553.2792649524727</v>
      </c>
      <c r="AC27" s="229"/>
      <c r="AD27"/>
    </row>
    <row r="28" spans="1:32" ht="19.5" customHeight="1">
      <c r="A28" s="3">
        <v>18</v>
      </c>
      <c r="B28" s="330" t="s">
        <v>181</v>
      </c>
      <c r="C28" s="334"/>
      <c r="D28" s="334"/>
      <c r="E28" s="334"/>
      <c r="F28" s="335"/>
      <c r="G28" s="178" t="s">
        <v>19</v>
      </c>
      <c r="H28" s="44">
        <f>'BELPAPEL (2a COTIZACION) '!J32</f>
        <v>9221</v>
      </c>
      <c r="I28" s="181">
        <f>'GRUPO LOS LAGOS SAS'!J32</f>
        <v>10710</v>
      </c>
      <c r="J28" s="16">
        <f>'SUMICORP LTDA'!J32</f>
        <v>17731</v>
      </c>
      <c r="K28" s="16">
        <f>'TELEAMARKETER (2a COTIZACION)'!J32</f>
        <v>23205</v>
      </c>
      <c r="L28" s="49">
        <f t="shared" si="0"/>
        <v>0.42655955391187111</v>
      </c>
      <c r="M28" s="50" t="str">
        <f t="shared" si="5"/>
        <v>Muy alto</v>
      </c>
      <c r="N28" s="51">
        <f t="shared" si="1"/>
        <v>14220.5</v>
      </c>
      <c r="P28" s="109">
        <f>HISTORICOS!D20</f>
        <v>10836</v>
      </c>
      <c r="Q28" s="109">
        <f>HISTORICOS!H21</f>
        <v>8846.4599999999991</v>
      </c>
      <c r="R28" s="109">
        <f>HISTORICOS!M20</f>
        <v>8330</v>
      </c>
      <c r="S28" s="109">
        <f>HISTORICOS!R20</f>
        <v>8330</v>
      </c>
      <c r="T28" s="109">
        <f t="shared" si="10"/>
        <v>13092.729894681601</v>
      </c>
      <c r="U28" s="109">
        <f t="shared" si="11"/>
        <v>9781.168591919999</v>
      </c>
      <c r="V28" s="109">
        <f t="shared" si="3"/>
        <v>8754.8924000000006</v>
      </c>
      <c r="W28" s="109">
        <f t="shared" si="4"/>
        <v>8849.7919999999995</v>
      </c>
      <c r="X28" s="123">
        <f t="shared" si="9"/>
        <v>0.20113608757543874</v>
      </c>
      <c r="Y28" s="124" t="str">
        <f t="shared" si="6"/>
        <v>Alto</v>
      </c>
      <c r="Z28" s="109">
        <f t="shared" si="7"/>
        <v>9315.4802959599983</v>
      </c>
      <c r="AA28" s="109">
        <f t="shared" si="8"/>
        <v>9980.4749128062722</v>
      </c>
      <c r="AC28" s="229"/>
      <c r="AD28"/>
    </row>
    <row r="29" spans="1:32" ht="18" customHeight="1">
      <c r="A29" s="3">
        <v>19</v>
      </c>
      <c r="B29" s="330" t="s">
        <v>182</v>
      </c>
      <c r="C29" s="334"/>
      <c r="D29" s="334"/>
      <c r="E29" s="334"/>
      <c r="F29" s="335"/>
      <c r="G29" s="178" t="s">
        <v>19</v>
      </c>
      <c r="H29" s="44">
        <f>'BELPAPEL (2a COTIZACION) '!J33</f>
        <v>13432</v>
      </c>
      <c r="I29" s="181">
        <f>'GRUPO LOS LAGOS SAS'!J33</f>
        <v>14280</v>
      </c>
      <c r="J29" s="16">
        <f>'SUMICORP LTDA'!J33</f>
        <v>18326</v>
      </c>
      <c r="K29" s="16">
        <f>'TELEAMARKETER (2a COTIZACION)'!J33</f>
        <v>26775</v>
      </c>
      <c r="L29" s="49">
        <f t="shared" si="0"/>
        <v>0.33513003424184451</v>
      </c>
      <c r="M29" s="50" t="str">
        <f t="shared" si="5"/>
        <v>Muy alto</v>
      </c>
      <c r="N29" s="51">
        <f t="shared" si="1"/>
        <v>16303</v>
      </c>
      <c r="P29" s="109">
        <f>HISTORICOS!D21</f>
        <v>13068</v>
      </c>
      <c r="Q29" s="109">
        <f>HISTORICOS!H22</f>
        <v>7411.32</v>
      </c>
      <c r="R29" s="109">
        <f>HISTORICOS!M21</f>
        <v>13090</v>
      </c>
      <c r="S29" s="109">
        <f>HISTORICOS!R21</f>
        <v>13090</v>
      </c>
      <c r="T29" s="109">
        <f t="shared" si="10"/>
        <v>15789.5584151808</v>
      </c>
      <c r="U29" s="109">
        <f t="shared" si="11"/>
        <v>8194.4031806399998</v>
      </c>
      <c r="V29" s="109">
        <f t="shared" si="3"/>
        <v>13757.652399999999</v>
      </c>
      <c r="W29" s="109">
        <f t="shared" si="4"/>
        <v>13906.816000000001</v>
      </c>
      <c r="X29" s="123">
        <f t="shared" si="9"/>
        <v>0.25388992908692676</v>
      </c>
      <c r="Y29" s="124" t="str">
        <f t="shared" si="6"/>
        <v>Muy alto</v>
      </c>
      <c r="Z29" s="109">
        <f t="shared" si="7"/>
        <v>13832.234199999999</v>
      </c>
      <c r="AA29" s="109">
        <f t="shared" si="8"/>
        <v>12543.387481313119</v>
      </c>
      <c r="AC29" s="229"/>
      <c r="AD29"/>
    </row>
    <row r="30" spans="1:32" ht="18" customHeight="1">
      <c r="A30" s="3">
        <v>20</v>
      </c>
      <c r="B30" s="330" t="s">
        <v>36</v>
      </c>
      <c r="C30" s="331"/>
      <c r="D30" s="331"/>
      <c r="E30" s="331"/>
      <c r="F30" s="332"/>
      <c r="G30" s="178" t="s">
        <v>19</v>
      </c>
      <c r="H30" s="44">
        <f>'BELPAPEL (2a COTIZACION) '!J34</f>
        <v>1445453</v>
      </c>
      <c r="I30" s="181">
        <f>'GRUPO LOS LAGOS SAS'!J34</f>
        <v>858581.42999999993</v>
      </c>
      <c r="J30" s="16">
        <f>'SUMICORP LTDA'!J34</f>
        <v>1606500</v>
      </c>
      <c r="K30" s="16">
        <f>'TELEAMARKETER (2a COTIZACION)'!J34</f>
        <v>1303050</v>
      </c>
      <c r="L30" s="49">
        <f t="shared" si="0"/>
        <v>0.24659393608884017</v>
      </c>
      <c r="M30" s="50" t="str">
        <f t="shared" si="5"/>
        <v>Alto</v>
      </c>
      <c r="N30" s="51">
        <f t="shared" si="1"/>
        <v>1374251.5</v>
      </c>
      <c r="P30" s="109">
        <f>HISTORICOS!D22</f>
        <v>148812</v>
      </c>
      <c r="Q30" s="109">
        <f>HISTORICOS!H23</f>
        <v>497420</v>
      </c>
      <c r="R30" s="109">
        <f>HISTORICOS!M22</f>
        <v>737681</v>
      </c>
      <c r="S30" s="109">
        <f>HISTORICOS!R22</f>
        <v>737681</v>
      </c>
      <c r="T30" s="109">
        <f t="shared" si="10"/>
        <v>179803.12951134719</v>
      </c>
      <c r="U30" s="109">
        <f t="shared" si="11"/>
        <v>549973.48024000006</v>
      </c>
      <c r="V30" s="109">
        <f t="shared" si="3"/>
        <v>775302.79339999997</v>
      </c>
      <c r="W30" s="109">
        <f t="shared" si="4"/>
        <v>783712.29440000001</v>
      </c>
      <c r="X30" s="123">
        <f t="shared" si="9"/>
        <v>0.49478015704022515</v>
      </c>
      <c r="Y30" s="124" t="str">
        <f t="shared" si="6"/>
        <v>Muy alto</v>
      </c>
      <c r="Z30" s="109">
        <f t="shared" si="7"/>
        <v>662638.13682000001</v>
      </c>
      <c r="AA30" s="109">
        <f t="shared" si="8"/>
        <v>495098.65989370749</v>
      </c>
      <c r="AC30" s="229"/>
      <c r="AD30"/>
    </row>
    <row r="31" spans="1:32" ht="18" customHeight="1">
      <c r="A31" s="3">
        <v>21</v>
      </c>
      <c r="B31" s="330" t="s">
        <v>37</v>
      </c>
      <c r="C31" s="331"/>
      <c r="D31" s="331"/>
      <c r="E31" s="331"/>
      <c r="F31" s="332"/>
      <c r="G31" s="178" t="s">
        <v>19</v>
      </c>
      <c r="H31" s="44">
        <f>'BELPAPEL (2a COTIZACION) '!J35</f>
        <v>11246</v>
      </c>
      <c r="I31" s="181">
        <f>'GRUPO LOS LAGOS SAS'!J35</f>
        <v>30345</v>
      </c>
      <c r="J31" s="16">
        <f>'SUMICORP LTDA'!J35</f>
        <v>34510</v>
      </c>
      <c r="K31" s="16">
        <f>'TELEAMARKETER (2a COTIZACION)'!J35</f>
        <v>25585</v>
      </c>
      <c r="L31" s="49">
        <f t="shared" si="0"/>
        <v>0.39845734050527093</v>
      </c>
      <c r="M31" s="50" t="str">
        <f t="shared" si="5"/>
        <v>Muy alto</v>
      </c>
      <c r="N31" s="51">
        <f t="shared" si="1"/>
        <v>27965</v>
      </c>
      <c r="P31" s="109" t="s">
        <v>576</v>
      </c>
      <c r="Q31" s="109" t="s">
        <v>576</v>
      </c>
      <c r="R31" s="109" t="s">
        <v>576</v>
      </c>
      <c r="S31" s="109" t="s">
        <v>576</v>
      </c>
      <c r="T31" s="109" t="s">
        <v>576</v>
      </c>
      <c r="U31" s="109" t="s">
        <v>576</v>
      </c>
      <c r="V31" s="109" t="s">
        <v>576</v>
      </c>
      <c r="W31" s="109" t="s">
        <v>576</v>
      </c>
      <c r="X31" s="211" t="s">
        <v>576</v>
      </c>
      <c r="Y31" s="211" t="s">
        <v>576</v>
      </c>
      <c r="Z31" s="109" t="s">
        <v>576</v>
      </c>
      <c r="AA31" s="109" t="s">
        <v>576</v>
      </c>
      <c r="AC31" s="229"/>
      <c r="AD31"/>
    </row>
    <row r="32" spans="1:32" ht="18" customHeight="1">
      <c r="A32" s="3">
        <v>22</v>
      </c>
      <c r="B32" s="330" t="s">
        <v>38</v>
      </c>
      <c r="C32" s="331"/>
      <c r="D32" s="331"/>
      <c r="E32" s="331"/>
      <c r="F32" s="332"/>
      <c r="G32" s="178" t="s">
        <v>39</v>
      </c>
      <c r="H32" s="44">
        <f>'BELPAPEL (2a COTIZACION) '!J36</f>
        <v>12089</v>
      </c>
      <c r="I32" s="181">
        <f>'GRUPO LOS LAGOS SAS'!J36</f>
        <v>21420</v>
      </c>
      <c r="J32" s="16">
        <f>'SUMICORP LTDA'!J36</f>
        <v>26180</v>
      </c>
      <c r="K32" s="16">
        <f>'TELEAMARKETER (2a COTIZACION)'!J36</f>
        <v>2975</v>
      </c>
      <c r="L32" s="49">
        <f t="shared" si="0"/>
        <v>0.65668841382620025</v>
      </c>
      <c r="M32" s="50" t="str">
        <f t="shared" si="5"/>
        <v>Muy alto</v>
      </c>
      <c r="N32" s="51">
        <f t="shared" si="1"/>
        <v>16754.5</v>
      </c>
      <c r="P32" s="109">
        <f>HISTORICOS!D23</f>
        <v>12606</v>
      </c>
      <c r="Q32" s="109">
        <f>HISTORICOS!H24</f>
        <v>24371.200000000001</v>
      </c>
      <c r="R32" s="109">
        <f>HISTORICOS!M23</f>
        <v>14280</v>
      </c>
      <c r="S32" s="109">
        <f>HISTORICOS!R23</f>
        <v>14280</v>
      </c>
      <c r="T32" s="109">
        <f>P32*(1+$Q$4)*(1+$R$4)*(1+$S$4)*1+($T$4)</f>
        <v>15231.343909593599</v>
      </c>
      <c r="U32" s="109">
        <f t="shared" ref="U32:U37" si="12">Q32*(1+$R$4)*(1+$S$4)*1+($T$4)</f>
        <v>26946.128422399997</v>
      </c>
      <c r="V32" s="109">
        <f t="shared" ref="V32:V37" si="13">R32*(1+$S$4)*1+($T$4)</f>
        <v>15008.3424</v>
      </c>
      <c r="W32" s="109">
        <f t="shared" ref="W32:W37" si="14">S32*(1+($T$4))</f>
        <v>15171.072</v>
      </c>
      <c r="X32" s="123">
        <f t="shared" si="9"/>
        <v>0.32645714572472712</v>
      </c>
      <c r="Y32" s="124" t="str">
        <f t="shared" si="6"/>
        <v>Muy alto</v>
      </c>
      <c r="Z32" s="109">
        <f t="shared" si="7"/>
        <v>15201.207954796799</v>
      </c>
      <c r="AA32" s="109">
        <f t="shared" si="8"/>
        <v>17484.205387276426</v>
      </c>
      <c r="AC32" s="229"/>
      <c r="AD32"/>
    </row>
    <row r="33" spans="1:30" ht="18" customHeight="1">
      <c r="A33" s="3">
        <v>23</v>
      </c>
      <c r="B33" s="330" t="s">
        <v>40</v>
      </c>
      <c r="C33" s="331"/>
      <c r="D33" s="331"/>
      <c r="E33" s="331"/>
      <c r="F33" s="332"/>
      <c r="G33" s="178" t="s">
        <v>39</v>
      </c>
      <c r="H33" s="44">
        <f>'BELPAPEL (2a COTIZACION) '!J37</f>
        <v>12089</v>
      </c>
      <c r="I33" s="181">
        <f>'GRUPO LOS LAGOS SAS'!J37</f>
        <v>21420</v>
      </c>
      <c r="J33" s="16">
        <f>'SUMICORP LTDA'!J37</f>
        <v>26180</v>
      </c>
      <c r="K33" s="16">
        <f>'TELEAMARKETER (2a COTIZACION)'!J37</f>
        <v>5355</v>
      </c>
      <c r="L33" s="49">
        <f t="shared" si="0"/>
        <v>0.57398683431889996</v>
      </c>
      <c r="M33" s="50" t="str">
        <f t="shared" si="5"/>
        <v>Muy alto</v>
      </c>
      <c r="N33" s="51">
        <f t="shared" si="1"/>
        <v>16754.5</v>
      </c>
      <c r="P33" s="109" t="s">
        <v>576</v>
      </c>
      <c r="Q33" s="109">
        <f>HISTORICOS!H25</f>
        <v>24371.200000000001</v>
      </c>
      <c r="R33" s="109">
        <f>HISTORICOS!M24</f>
        <v>18504.5</v>
      </c>
      <c r="S33" s="109">
        <f>HISTORICOS!R24</f>
        <v>18504.5</v>
      </c>
      <c r="T33" s="109" t="s">
        <v>576</v>
      </c>
      <c r="U33" s="109">
        <f t="shared" si="12"/>
        <v>26946.128422399997</v>
      </c>
      <c r="V33" s="109">
        <f t="shared" si="13"/>
        <v>19448.291899999997</v>
      </c>
      <c r="W33" s="109">
        <f t="shared" si="14"/>
        <v>19659.180800000002</v>
      </c>
      <c r="X33" s="123">
        <f t="shared" si="9"/>
        <v>0.19390170230419398</v>
      </c>
      <c r="Y33" s="124" t="str">
        <f t="shared" si="6"/>
        <v>Moderado</v>
      </c>
      <c r="Z33" s="109">
        <f t="shared" si="7"/>
        <v>19659.180800000002</v>
      </c>
      <c r="AA33" s="109">
        <f t="shared" si="8"/>
        <v>21759.441898854071</v>
      </c>
      <c r="AC33" s="229"/>
      <c r="AD33"/>
    </row>
    <row r="34" spans="1:30" ht="18" customHeight="1">
      <c r="A34" s="3">
        <v>24</v>
      </c>
      <c r="B34" s="330" t="s">
        <v>41</v>
      </c>
      <c r="C34" s="331"/>
      <c r="D34" s="331"/>
      <c r="E34" s="331"/>
      <c r="F34" s="332"/>
      <c r="G34" s="178" t="s">
        <v>19</v>
      </c>
      <c r="H34" s="44">
        <f>'BELPAPEL (2a COTIZACION) '!J38</f>
        <v>97461</v>
      </c>
      <c r="I34" s="181">
        <f>'GRUPO LOS LAGOS SAS'!J38</f>
        <v>47588.1</v>
      </c>
      <c r="J34" s="16">
        <f>'SUMICORP LTDA'!J38</f>
        <v>80920</v>
      </c>
      <c r="K34" s="16">
        <f>'TELEAMARKETER (2a COTIZACION)'!J38</f>
        <v>53550</v>
      </c>
      <c r="L34" s="49">
        <f t="shared" si="0"/>
        <v>0.33521849238865442</v>
      </c>
      <c r="M34" s="50" t="str">
        <f t="shared" si="5"/>
        <v>Muy alto</v>
      </c>
      <c r="N34" s="51">
        <f t="shared" si="1"/>
        <v>67235</v>
      </c>
      <c r="P34" s="109" t="s">
        <v>576</v>
      </c>
      <c r="Q34" s="109">
        <f>HISTORICOS!H26</f>
        <v>37318.400000000001</v>
      </c>
      <c r="R34" s="109">
        <f>HISTORICOS!M25</f>
        <v>11888.1</v>
      </c>
      <c r="S34" s="109">
        <f>HISTORICOS!R25</f>
        <v>11888.1</v>
      </c>
      <c r="T34" s="109" t="s">
        <v>576</v>
      </c>
      <c r="U34" s="109">
        <f t="shared" si="12"/>
        <v>41261.2259968</v>
      </c>
      <c r="V34" s="109">
        <f t="shared" si="13"/>
        <v>12494.4555</v>
      </c>
      <c r="W34" s="109">
        <f t="shared" si="14"/>
        <v>12629.917440000001</v>
      </c>
      <c r="X34" s="123">
        <f t="shared" si="9"/>
        <v>0.74878604216164857</v>
      </c>
      <c r="Y34" s="124" t="str">
        <f t="shared" si="6"/>
        <v>Muy alto</v>
      </c>
      <c r="Z34" s="109">
        <f t="shared" si="7"/>
        <v>12629.917440000001</v>
      </c>
      <c r="AA34" s="109">
        <f t="shared" si="8"/>
        <v>18673.253430756729</v>
      </c>
      <c r="AC34" s="229"/>
      <c r="AD34"/>
    </row>
    <row r="35" spans="1:30" ht="18" customHeight="1">
      <c r="A35" s="3">
        <v>25</v>
      </c>
      <c r="B35" s="330" t="s">
        <v>42</v>
      </c>
      <c r="C35" s="331"/>
      <c r="D35" s="331"/>
      <c r="E35" s="331"/>
      <c r="F35" s="332"/>
      <c r="G35" s="178" t="s">
        <v>43</v>
      </c>
      <c r="H35" s="44">
        <f>'BELPAPEL (2a COTIZACION) '!J39</f>
        <v>93713</v>
      </c>
      <c r="I35" s="181">
        <f>'GRUPO LOS LAGOS SAS'!J39</f>
        <v>117810</v>
      </c>
      <c r="J35" s="16">
        <f>'SUMICORP LTDA'!J39</f>
        <v>172550</v>
      </c>
      <c r="K35" s="16">
        <f>'TELEAMARKETER (2a COTIZACION)'!J39</f>
        <v>184450</v>
      </c>
      <c r="L35" s="49">
        <f t="shared" si="0"/>
        <v>0.30538903675613244</v>
      </c>
      <c r="M35" s="50" t="str">
        <f t="shared" si="5"/>
        <v>Muy alto</v>
      </c>
      <c r="N35" s="51">
        <f t="shared" si="1"/>
        <v>145180</v>
      </c>
      <c r="P35" s="109">
        <f>HISTORICOS!D24</f>
        <v>86274</v>
      </c>
      <c r="Q35" s="109">
        <f>HISTORICOS!H27</f>
        <v>60928</v>
      </c>
      <c r="R35" s="109">
        <f>HISTORICOS!M26</f>
        <v>82110</v>
      </c>
      <c r="S35" s="109">
        <f>HISTORICOS!R26</f>
        <v>82110</v>
      </c>
      <c r="T35" s="109">
        <f>P35*(1+$Q$4)*(1+$R$4)*(1+$S$4)*1+($T$4)</f>
        <v>104241.18416413438</v>
      </c>
      <c r="U35" s="109">
        <f t="shared" si="12"/>
        <v>67365.227455999993</v>
      </c>
      <c r="V35" s="109">
        <f t="shared" si="13"/>
        <v>86297.672399999996</v>
      </c>
      <c r="W35" s="109">
        <f t="shared" si="14"/>
        <v>87233.664000000004</v>
      </c>
      <c r="X35" s="123">
        <f t="shared" si="9"/>
        <v>0.17465077158826395</v>
      </c>
      <c r="Y35" s="124" t="str">
        <f t="shared" si="6"/>
        <v>Moderado</v>
      </c>
      <c r="Z35" s="109">
        <f t="shared" si="7"/>
        <v>86765.6682</v>
      </c>
      <c r="AA35" s="109">
        <f t="shared" si="8"/>
        <v>85268.687524522466</v>
      </c>
      <c r="AC35" s="229"/>
      <c r="AD35"/>
    </row>
    <row r="36" spans="1:30" ht="18" customHeight="1">
      <c r="A36" s="3">
        <v>26</v>
      </c>
      <c r="B36" s="330" t="s">
        <v>44</v>
      </c>
      <c r="C36" s="331"/>
      <c r="D36" s="331"/>
      <c r="E36" s="331"/>
      <c r="F36" s="332"/>
      <c r="G36" s="178" t="s">
        <v>45</v>
      </c>
      <c r="H36" s="44">
        <f>'BELPAPEL (2a COTIZACION) '!J40</f>
        <v>57477</v>
      </c>
      <c r="I36" s="181">
        <f>'GRUPO LOS LAGOS SAS'!J40</f>
        <v>83181</v>
      </c>
      <c r="J36" s="16">
        <f>'SUMICORP LTDA'!J40</f>
        <v>117810</v>
      </c>
      <c r="K36" s="16">
        <f>'TELEAMARKETER (2a COTIZACION)'!J40</f>
        <v>107100</v>
      </c>
      <c r="L36" s="49">
        <f t="shared" si="0"/>
        <v>0.29375761847390164</v>
      </c>
      <c r="M36" s="50" t="str">
        <f t="shared" si="5"/>
        <v>Muy alto</v>
      </c>
      <c r="N36" s="51">
        <f t="shared" si="1"/>
        <v>95140.5</v>
      </c>
      <c r="P36" s="109">
        <f>HISTORICOS!D25</f>
        <v>51402</v>
      </c>
      <c r="Q36" s="109">
        <f>HISTORICOS!H28</f>
        <v>47600</v>
      </c>
      <c r="R36" s="109">
        <f>HISTORICOS!M27</f>
        <v>49980</v>
      </c>
      <c r="S36" s="109">
        <f>HISTORICOS!R27</f>
        <v>49980</v>
      </c>
      <c r="T36" s="109">
        <f>P36*(1+$Q$4)*(1+$R$4)*(1+$S$4)*1+($T$4)</f>
        <v>62106.863300851204</v>
      </c>
      <c r="U36" s="109">
        <f t="shared" si="12"/>
        <v>52629.097600000001</v>
      </c>
      <c r="V36" s="109">
        <f t="shared" si="13"/>
        <v>52529.042399999998</v>
      </c>
      <c r="W36" s="109">
        <f t="shared" si="14"/>
        <v>53098.752</v>
      </c>
      <c r="X36" s="123">
        <f t="shared" si="9"/>
        <v>8.5020739040884807E-2</v>
      </c>
      <c r="Y36" s="124" t="str">
        <f t="shared" si="6"/>
        <v>Bajo</v>
      </c>
      <c r="Z36" s="109">
        <f t="shared" si="7"/>
        <v>52863.924800000001</v>
      </c>
      <c r="AA36" s="109">
        <f t="shared" si="8"/>
        <v>54949.320864017915</v>
      </c>
      <c r="AC36" s="229"/>
      <c r="AD36"/>
    </row>
    <row r="37" spans="1:30" ht="30.75" customHeight="1">
      <c r="A37" s="3">
        <v>27</v>
      </c>
      <c r="B37" s="341" t="s">
        <v>137</v>
      </c>
      <c r="C37" s="334"/>
      <c r="D37" s="334"/>
      <c r="E37" s="334"/>
      <c r="F37" s="335"/>
      <c r="G37" s="178" t="s">
        <v>19</v>
      </c>
      <c r="H37" s="44">
        <f>'BELPAPEL (2a COTIZACION) '!J41</f>
        <v>1643</v>
      </c>
      <c r="I37" s="181">
        <f>'GRUPO LOS LAGOS SAS'!J41</f>
        <v>3451</v>
      </c>
      <c r="J37" s="16">
        <f>'SUMICORP LTDA'!J41</f>
        <v>3451</v>
      </c>
      <c r="K37" s="16">
        <f>'TELEAMARKETER (2a COTIZACION)'!J41</f>
        <v>12268.9</v>
      </c>
      <c r="L37" s="49">
        <f t="shared" si="0"/>
        <v>0.91991826604985361</v>
      </c>
      <c r="M37" s="50" t="str">
        <f t="shared" si="5"/>
        <v>Muy alto</v>
      </c>
      <c r="N37" s="51">
        <f t="shared" si="1"/>
        <v>3451</v>
      </c>
      <c r="P37" s="109">
        <f>HISTORICOS!D26</f>
        <v>2976</v>
      </c>
      <c r="Q37" s="109">
        <f>HISTORICOS!H29</f>
        <v>2741.76</v>
      </c>
      <c r="R37" s="109">
        <f>HISTORICOS!M28</f>
        <v>2380</v>
      </c>
      <c r="S37" s="109">
        <f>HISTORICOS!R28</f>
        <v>2380</v>
      </c>
      <c r="T37" s="109">
        <f>P37*(1+$Q$4)*(1+$R$4)*(1+$S$4)*1+($T$4)</f>
        <v>3595.8337606655996</v>
      </c>
      <c r="U37" s="109">
        <f t="shared" si="12"/>
        <v>3031.4948275199999</v>
      </c>
      <c r="V37" s="109">
        <f t="shared" si="13"/>
        <v>2501.4423999999995</v>
      </c>
      <c r="W37" s="109">
        <f t="shared" si="14"/>
        <v>2528.5120000000002</v>
      </c>
      <c r="X37" s="123">
        <f t="shared" si="9"/>
        <v>0.17691684546271402</v>
      </c>
      <c r="Y37" s="124" t="str">
        <f t="shared" si="6"/>
        <v>Moderado</v>
      </c>
      <c r="Z37" s="109">
        <f t="shared" si="7"/>
        <v>2780.0034137600001</v>
      </c>
      <c r="AA37" s="109">
        <f t="shared" si="8"/>
        <v>2881.5621490120161</v>
      </c>
      <c r="AC37" s="229"/>
      <c r="AD37"/>
    </row>
    <row r="38" spans="1:30" ht="18" customHeight="1">
      <c r="A38" s="3">
        <v>28</v>
      </c>
      <c r="B38" s="330" t="s">
        <v>46</v>
      </c>
      <c r="C38" s="331"/>
      <c r="D38" s="331"/>
      <c r="E38" s="331"/>
      <c r="F38" s="332"/>
      <c r="G38" s="178" t="s">
        <v>19</v>
      </c>
      <c r="H38" s="44">
        <f>'BELPAPEL (2a COTIZACION) '!J42</f>
        <v>10671</v>
      </c>
      <c r="I38" s="181">
        <f>'GRUPO LOS LAGOS SAS'!J42</f>
        <v>4284</v>
      </c>
      <c r="J38" s="16">
        <f>'SUMICORP LTDA'!J42</f>
        <v>14875</v>
      </c>
      <c r="K38" s="16">
        <f>'TELEAMARKETER (2a COTIZACION)'!J42</f>
        <v>15470</v>
      </c>
      <c r="L38" s="49">
        <f t="shared" si="0"/>
        <v>0.45537272818850111</v>
      </c>
      <c r="M38" s="50" t="str">
        <f t="shared" si="5"/>
        <v>Muy alto</v>
      </c>
      <c r="N38" s="51">
        <f t="shared" si="1"/>
        <v>12773</v>
      </c>
      <c r="P38" s="109" t="s">
        <v>576</v>
      </c>
      <c r="Q38" s="109" t="s">
        <v>576</v>
      </c>
      <c r="R38" s="109" t="s">
        <v>576</v>
      </c>
      <c r="S38" s="109" t="s">
        <v>576</v>
      </c>
      <c r="T38" s="109" t="s">
        <v>576</v>
      </c>
      <c r="U38" s="109" t="s">
        <v>576</v>
      </c>
      <c r="V38" s="109" t="s">
        <v>576</v>
      </c>
      <c r="W38" s="109" t="s">
        <v>576</v>
      </c>
      <c r="X38" s="211" t="s">
        <v>576</v>
      </c>
      <c r="Y38" s="211" t="s">
        <v>576</v>
      </c>
      <c r="Z38" s="109" t="s">
        <v>576</v>
      </c>
      <c r="AA38" s="109" t="s">
        <v>576</v>
      </c>
      <c r="AC38" s="229"/>
      <c r="AD38"/>
    </row>
    <row r="39" spans="1:30" ht="18" customHeight="1">
      <c r="A39" s="3">
        <v>29</v>
      </c>
      <c r="B39" s="330" t="s">
        <v>47</v>
      </c>
      <c r="C39" s="331"/>
      <c r="D39" s="331"/>
      <c r="E39" s="331"/>
      <c r="F39" s="332"/>
      <c r="G39" s="178" t="s">
        <v>48</v>
      </c>
      <c r="H39" s="44">
        <f>'BELPAPEL (2a COTIZACION) '!J43</f>
        <v>2287</v>
      </c>
      <c r="I39" s="181">
        <f>'GRUPO LOS LAGOS SAS'!J43</f>
        <v>2499</v>
      </c>
      <c r="J39" s="16">
        <f>'SUMICORP LTDA'!J43</f>
        <v>6545</v>
      </c>
      <c r="K39" s="16">
        <f>'TELEAMARKETER (2a COTIZACION)'!J43</f>
        <v>6545</v>
      </c>
      <c r="L39" s="49">
        <f t="shared" si="0"/>
        <v>0.53674652368237319</v>
      </c>
      <c r="M39" s="50" t="str">
        <f t="shared" si="5"/>
        <v>Muy alto</v>
      </c>
      <c r="N39" s="51">
        <f t="shared" si="1"/>
        <v>4522</v>
      </c>
      <c r="P39" s="109">
        <f>HISTORICOS!D27</f>
        <v>3129</v>
      </c>
      <c r="Q39" s="109">
        <f>HISTORICOS!H30</f>
        <v>2665.6</v>
      </c>
      <c r="R39" s="109">
        <f>HISTORICOS!M29</f>
        <v>3558.1</v>
      </c>
      <c r="S39" s="109">
        <f>HISTORICOS!R29</f>
        <v>3558.1</v>
      </c>
      <c r="T39" s="109">
        <f t="shared" ref="T39:T54" si="15">P39*(1+$Q$4)*(1+$R$4)*(1+$S$4)*1+($T$4)</f>
        <v>3780.6970060223998</v>
      </c>
      <c r="U39" s="109">
        <f t="shared" ref="U39:U71" si="16">Q39*(1+$R$4)*(1+$S$4)*1+($T$4)</f>
        <v>2947.2883711999998</v>
      </c>
      <c r="V39" s="109">
        <f t="shared" ref="V39:V71" si="17">R39*(1+$S$4)*1+($T$4)</f>
        <v>3739.6254999999996</v>
      </c>
      <c r="W39" s="109">
        <f t="shared" ref="W39:W71" si="18">S39*(1+($T$4))</f>
        <v>3780.1254399999998</v>
      </c>
      <c r="X39" s="123">
        <f t="shared" si="9"/>
        <v>0.11516627786550024</v>
      </c>
      <c r="Y39" s="124" t="str">
        <f t="shared" si="6"/>
        <v>Bajo</v>
      </c>
      <c r="Z39" s="109">
        <f t="shared" si="7"/>
        <v>3759.87547</v>
      </c>
      <c r="AA39" s="109">
        <f t="shared" si="8"/>
        <v>3542.6822962914057</v>
      </c>
      <c r="AC39" s="229"/>
      <c r="AD39"/>
    </row>
    <row r="40" spans="1:30" ht="18" customHeight="1">
      <c r="A40" s="3">
        <v>30</v>
      </c>
      <c r="B40" s="330" t="s">
        <v>49</v>
      </c>
      <c r="C40" s="331"/>
      <c r="D40" s="331"/>
      <c r="E40" s="331"/>
      <c r="F40" s="332"/>
      <c r="G40" s="178" t="s">
        <v>48</v>
      </c>
      <c r="H40" s="44">
        <f>'BELPAPEL (2a COTIZACION) '!J44</f>
        <v>1562</v>
      </c>
      <c r="I40" s="181">
        <f>'GRUPO LOS LAGOS SAS'!J44</f>
        <v>3558.1</v>
      </c>
      <c r="J40" s="16">
        <f>'SUMICORP LTDA'!J44</f>
        <v>5831</v>
      </c>
      <c r="K40" s="16">
        <f>'TELEAMARKETER (2a COTIZACION)'!J44</f>
        <v>9282</v>
      </c>
      <c r="L40" s="49">
        <f t="shared" si="0"/>
        <v>0.6548023827009013</v>
      </c>
      <c r="M40" s="50" t="str">
        <f t="shared" si="5"/>
        <v>Muy alto</v>
      </c>
      <c r="N40" s="51">
        <f t="shared" si="1"/>
        <v>4694.55</v>
      </c>
      <c r="P40" s="109">
        <f>HISTORICOS!D28</f>
        <v>2695</v>
      </c>
      <c r="Q40" s="109">
        <f>HISTORICOS!H31</f>
        <v>3105.9</v>
      </c>
      <c r="R40" s="109">
        <f>HISTORICOS!M30</f>
        <v>2975</v>
      </c>
      <c r="S40" s="109">
        <f>HISTORICOS!R30</f>
        <v>2975</v>
      </c>
      <c r="T40" s="109">
        <f t="shared" si="15"/>
        <v>3256.3136825919996</v>
      </c>
      <c r="U40" s="109">
        <f t="shared" si="16"/>
        <v>3434.1069467999996</v>
      </c>
      <c r="V40" s="109">
        <f t="shared" si="17"/>
        <v>3126.7873999999997</v>
      </c>
      <c r="W40" s="109">
        <f t="shared" si="18"/>
        <v>3160.64</v>
      </c>
      <c r="X40" s="123">
        <f t="shared" si="9"/>
        <v>4.2477064943403614E-2</v>
      </c>
      <c r="Y40" s="124" t="str">
        <f t="shared" si="6"/>
        <v>Bajo</v>
      </c>
      <c r="Z40" s="109">
        <f t="shared" si="7"/>
        <v>3208.4768412959997</v>
      </c>
      <c r="AA40" s="109">
        <f t="shared" si="8"/>
        <v>3242.3012136387642</v>
      </c>
      <c r="AC40" s="229"/>
      <c r="AD40"/>
    </row>
    <row r="41" spans="1:30" ht="18" customHeight="1">
      <c r="A41" s="3">
        <v>31</v>
      </c>
      <c r="B41" s="330" t="s">
        <v>50</v>
      </c>
      <c r="C41" s="331"/>
      <c r="D41" s="331"/>
      <c r="E41" s="331"/>
      <c r="F41" s="332"/>
      <c r="G41" s="178" t="s">
        <v>48</v>
      </c>
      <c r="H41" s="44">
        <f>'BELPAPEL (2a COTIZACION) '!J45</f>
        <v>7297</v>
      </c>
      <c r="I41" s="181">
        <f>'GRUPO LOS LAGOS SAS'!J45</f>
        <v>8449</v>
      </c>
      <c r="J41" s="16">
        <f>'SUMICORP LTDA'!J45</f>
        <v>11424</v>
      </c>
      <c r="K41" s="16">
        <f>'TELEAMARKETER (2a COTIZACION)'!J45</f>
        <v>11662</v>
      </c>
      <c r="L41" s="49">
        <f t="shared" si="0"/>
        <v>0.22379640239920859</v>
      </c>
      <c r="M41" s="50" t="str">
        <f t="shared" si="5"/>
        <v>Alto</v>
      </c>
      <c r="N41" s="51">
        <f t="shared" si="1"/>
        <v>9936.5</v>
      </c>
      <c r="P41" s="109">
        <f>HISTORICOS!D29</f>
        <v>7788</v>
      </c>
      <c r="Q41" s="109">
        <f>HISTORICOS!H32</f>
        <v>6361.74</v>
      </c>
      <c r="R41" s="109">
        <f>HISTORICOS!M31</f>
        <v>8687</v>
      </c>
      <c r="S41" s="109">
        <f>HISTORICOS!R31</f>
        <v>8687</v>
      </c>
      <c r="T41" s="109">
        <f t="shared" si="15"/>
        <v>9409.9640656128013</v>
      </c>
      <c r="U41" s="109">
        <f t="shared" si="16"/>
        <v>7033.9329544799994</v>
      </c>
      <c r="V41" s="109">
        <f t="shared" si="17"/>
        <v>9130.099400000001</v>
      </c>
      <c r="W41" s="109">
        <f t="shared" si="18"/>
        <v>9229.0688000000009</v>
      </c>
      <c r="X41" s="123">
        <f t="shared" si="9"/>
        <v>0.12840793204133794</v>
      </c>
      <c r="Y41" s="124" t="str">
        <f t="shared" si="6"/>
        <v>Bajo</v>
      </c>
      <c r="Z41" s="109">
        <f t="shared" si="7"/>
        <v>9179.5841</v>
      </c>
      <c r="AA41" s="109">
        <f t="shared" si="8"/>
        <v>8641.8136025574277</v>
      </c>
      <c r="AC41" s="229"/>
      <c r="AD41"/>
    </row>
    <row r="42" spans="1:30" ht="18" customHeight="1">
      <c r="A42" s="3">
        <v>32</v>
      </c>
      <c r="B42" s="330" t="s">
        <v>51</v>
      </c>
      <c r="C42" s="331"/>
      <c r="D42" s="331"/>
      <c r="E42" s="331"/>
      <c r="F42" s="332"/>
      <c r="G42" s="178" t="s">
        <v>48</v>
      </c>
      <c r="H42" s="44">
        <f>'BELPAPEL (2a COTIZACION) '!J46</f>
        <v>750</v>
      </c>
      <c r="I42" s="181">
        <f>'GRUPO LOS LAGOS SAS'!J46</f>
        <v>1785</v>
      </c>
      <c r="J42" s="16">
        <f>'SUMICORP LTDA'!J46</f>
        <v>2618</v>
      </c>
      <c r="K42" s="16">
        <f>'TELEAMARKETER (2a COTIZACION)'!J46</f>
        <v>3153.5</v>
      </c>
      <c r="L42" s="49">
        <f t="shared" si="0"/>
        <v>0.50488045453457742</v>
      </c>
      <c r="M42" s="50" t="str">
        <f t="shared" si="5"/>
        <v>Muy alto</v>
      </c>
      <c r="N42" s="51">
        <f t="shared" si="1"/>
        <v>2201.5</v>
      </c>
      <c r="P42" s="109">
        <f>HISTORICOS!D30</f>
        <v>1027</v>
      </c>
      <c r="Q42" s="109">
        <f>HISTORICOS!H33</f>
        <v>1523.2</v>
      </c>
      <c r="R42" s="109">
        <f>HISTORICOS!M32</f>
        <v>1309</v>
      </c>
      <c r="S42" s="109">
        <f>HISTORICOS!R32</f>
        <v>1309</v>
      </c>
      <c r="T42" s="109">
        <f t="shared" si="15"/>
        <v>1240.9418312511998</v>
      </c>
      <c r="U42" s="109">
        <f t="shared" si="16"/>
        <v>1684.1915263999999</v>
      </c>
      <c r="V42" s="109">
        <f t="shared" si="17"/>
        <v>1375.8214</v>
      </c>
      <c r="W42" s="109">
        <f t="shared" si="18"/>
        <v>1390.6816000000001</v>
      </c>
      <c r="X42" s="123">
        <f t="shared" si="9"/>
        <v>0.13125133545456999</v>
      </c>
      <c r="Y42" s="124" t="str">
        <f t="shared" si="6"/>
        <v>Bajo</v>
      </c>
      <c r="Z42" s="109">
        <f t="shared" si="7"/>
        <v>1383.2515000000001</v>
      </c>
      <c r="AA42" s="109">
        <f t="shared" si="8"/>
        <v>1414.1099167395594</v>
      </c>
      <c r="AC42" s="229"/>
      <c r="AD42"/>
    </row>
    <row r="43" spans="1:30" ht="18" customHeight="1">
      <c r="A43" s="3">
        <v>33</v>
      </c>
      <c r="B43" s="330" t="s">
        <v>52</v>
      </c>
      <c r="C43" s="331"/>
      <c r="D43" s="331"/>
      <c r="E43" s="331"/>
      <c r="F43" s="332"/>
      <c r="G43" s="178" t="s">
        <v>48</v>
      </c>
      <c r="H43" s="44">
        <f>'BELPAPEL (2a COTIZACION) '!J47</f>
        <v>2305</v>
      </c>
      <c r="I43" s="181">
        <f>'GRUPO LOS LAGOS SAS'!J47</f>
        <v>9389.1</v>
      </c>
      <c r="J43" s="16">
        <f>'SUMICORP LTDA'!J47</f>
        <v>36295</v>
      </c>
      <c r="K43" s="16">
        <f>'TELEAMARKETER (2a COTIZACION)'!J47</f>
        <v>35700</v>
      </c>
      <c r="L43" s="49">
        <f t="shared" ref="L43:L74" si="19">_xlfn.STDEV.S(H43:K43)/AVERAGE(H43:K43)</f>
        <v>0.84348629372940553</v>
      </c>
      <c r="M43" s="50" t="str">
        <f t="shared" si="5"/>
        <v>Muy alto</v>
      </c>
      <c r="N43" s="51">
        <f t="shared" ref="N43:N74" si="20">MEDIAN(H43:K43)</f>
        <v>22544.550000000003</v>
      </c>
      <c r="P43" s="109">
        <f>HISTORICOS!D31</f>
        <v>10763</v>
      </c>
      <c r="Q43" s="109">
        <f>HISTORICOS!H34</f>
        <v>6854.4</v>
      </c>
      <c r="R43" s="109">
        <f>HISTORICOS!M33</f>
        <v>11662</v>
      </c>
      <c r="S43" s="109">
        <f>HISTORICOS!R33</f>
        <v>11662</v>
      </c>
      <c r="T43" s="109">
        <f t="shared" si="15"/>
        <v>13004.5271697728</v>
      </c>
      <c r="U43" s="109">
        <f t="shared" si="16"/>
        <v>7578.6434687999999</v>
      </c>
      <c r="V43" s="109">
        <f t="shared" si="17"/>
        <v>12256.8244</v>
      </c>
      <c r="W43" s="109">
        <f t="shared" si="18"/>
        <v>12389.7088</v>
      </c>
      <c r="X43" s="123">
        <f t="shared" si="9"/>
        <v>0.22172162961434402</v>
      </c>
      <c r="Y43" s="124" t="str">
        <f t="shared" si="6"/>
        <v>Alto</v>
      </c>
      <c r="Z43" s="109">
        <f t="shared" si="7"/>
        <v>12323.266599999999</v>
      </c>
      <c r="AA43" s="109">
        <f t="shared" si="8"/>
        <v>11060.665960120261</v>
      </c>
      <c r="AC43" s="229"/>
      <c r="AD43"/>
    </row>
    <row r="44" spans="1:30" ht="16.2" customHeight="1">
      <c r="A44" s="3">
        <v>34</v>
      </c>
      <c r="B44" s="330" t="s">
        <v>184</v>
      </c>
      <c r="C44" s="334"/>
      <c r="D44" s="334"/>
      <c r="E44" s="334"/>
      <c r="F44" s="335"/>
      <c r="G44" s="178" t="s">
        <v>19</v>
      </c>
      <c r="H44" s="44">
        <f>'BELPAPEL (2a COTIZACION) '!J48</f>
        <v>962115</v>
      </c>
      <c r="I44" s="181">
        <f>'GRUPO LOS LAGOS SAS'!J48</f>
        <v>497942.41000000003</v>
      </c>
      <c r="J44" s="16">
        <f>'SUMICORP LTDA'!J48</f>
        <v>892500</v>
      </c>
      <c r="K44" s="16">
        <f>'TELEAMARKETER (2a COTIZACION)'!J48</f>
        <v>473620</v>
      </c>
      <c r="L44" s="49">
        <f t="shared" si="19"/>
        <v>0.36329895944208851</v>
      </c>
      <c r="M44" s="50" t="str">
        <f t="shared" si="5"/>
        <v>Muy alto</v>
      </c>
      <c r="N44" s="51">
        <f t="shared" si="20"/>
        <v>695221.20500000007</v>
      </c>
      <c r="P44" s="109">
        <f>_xlfn.LET(
_xlpm.resultado,IFERROR(
_xlfn.XLOOKUP(
"*"&amp;LEFT(B44,FIND("@",SUBSTITUTE(B71&amp;" "," ","@",4))-1)&amp;"*",
HISTORICOS!B:B,
HISTORICOS!D:D,
0,
2
),
0
),
IF(_xlpm.resultado=0,"No encontrado",_xlpm.resultado)
)</f>
        <v>251257</v>
      </c>
      <c r="Q44" s="109">
        <f>_xlfn.LET(
_xlpm.resultado,IFERROR(
_xlfn.XLOOKUP(
"*"&amp;LEFT(B44,FIND("@",SUBSTITUTE(B44&amp;" "," ","@",4))-1)&amp;"*",
HISTORICOS!F:F,
HISTORICOS!H:H,
0,
2
),
0
),
IF(_xlpm.resultado=0,"No encontrado",_xlpm.resultado)
)</f>
        <v>299880</v>
      </c>
      <c r="R44" s="109">
        <f>_xlfn.LET(
_xlpm.resultado,IFERROR(
_xlfn.XLOOKUP(
"*"&amp;LEFT(B44,FIND("@",SUBSTITUTE(B44&amp;" "," ","@",4))-1)&amp;"*",
HISTORICOS!K:K,
HISTORICOS!M:M,
0,
2
),
0
),
IF(_xlpm.resultado=0,"No encontrado",_xlpm.resultado)
)</f>
        <v>404481</v>
      </c>
      <c r="S44" s="109">
        <f>_xlfn.LET(
_xlpm.resultado,IFERROR(
_xlfn.XLOOKUP(
"*"&amp;LEFT(B44,FIND("@",SUBSTITUTE(B44&amp;" "," ","@",4))-1)&amp;"*",
HISTORICOS!P:P,
HISTORICOS!R:R,
0,
2
),
0
),
IF(_xlpm.resultado=0,"No encontrado",_xlpm.resultado)
)</f>
        <v>404481</v>
      </c>
      <c r="T44" s="109">
        <f t="shared" si="15"/>
        <v>303582.96722753922</v>
      </c>
      <c r="U44" s="109">
        <f t="shared" si="16"/>
        <v>331562.98415999999</v>
      </c>
      <c r="V44" s="109">
        <f t="shared" si="17"/>
        <v>425109.59339999995</v>
      </c>
      <c r="W44" s="109">
        <f t="shared" si="18"/>
        <v>429720.61440000002</v>
      </c>
      <c r="X44" s="123">
        <f t="shared" si="9"/>
        <v>0.17306425374253126</v>
      </c>
      <c r="Y44" s="124" t="str">
        <f t="shared" si="6"/>
        <v>Moderado</v>
      </c>
      <c r="Z44" s="109">
        <f t="shared" si="7"/>
        <v>378336.28877999994</v>
      </c>
      <c r="AA44" s="109">
        <f>GEOMEAN(T44:W44)</f>
        <v>368241.41757500696</v>
      </c>
      <c r="AC44" s="229"/>
      <c r="AD44"/>
    </row>
    <row r="45" spans="1:30" ht="18" customHeight="1">
      <c r="A45" s="3">
        <v>35</v>
      </c>
      <c r="B45" s="330" t="s">
        <v>53</v>
      </c>
      <c r="C45" s="331"/>
      <c r="D45" s="331"/>
      <c r="E45" s="331"/>
      <c r="F45" s="332"/>
      <c r="G45" s="178" t="s">
        <v>54</v>
      </c>
      <c r="H45" s="44">
        <f>'BELPAPEL (2a COTIZACION) '!J49</f>
        <v>1018</v>
      </c>
      <c r="I45" s="181">
        <f>'GRUPO LOS LAGOS SAS'!J49</f>
        <v>2261</v>
      </c>
      <c r="J45" s="16">
        <f>'SUMICORP LTDA'!J49</f>
        <v>2975</v>
      </c>
      <c r="K45" s="16">
        <f>'TELEAMARKETER (2a COTIZACION)'!J49</f>
        <v>4522</v>
      </c>
      <c r="L45" s="49">
        <f t="shared" si="19"/>
        <v>0.54288537138328596</v>
      </c>
      <c r="M45" s="50" t="str">
        <f t="shared" si="5"/>
        <v>Muy alto</v>
      </c>
      <c r="N45" s="51">
        <f t="shared" si="20"/>
        <v>2618</v>
      </c>
      <c r="P45" s="109">
        <f>_xlfn.LET(
_xlpm.resultado,IFERROR(
_xlfn.XLOOKUP(
"*"&amp;LEFT(B45,FIND("@",SUBSTITUTE(B72&amp;" "," ","@",4))-1)&amp;"*",
HISTORICOS!B:B,
HISTORICOS!D:D,
0,
2
),
0
),
IF(_xlpm.resultado=0,"No encontrado",_xlpm.resultado)
)</f>
        <v>1059</v>
      </c>
      <c r="Q45" s="109">
        <f>_xlfn.LET(
_xlpm.resultado,IFERROR(
_xlfn.XLOOKUP(
"*"&amp;LEFT(B45,FIND("@",SUBSTITUTE(B45&amp;" "," ","@",4))-1)&amp;"*",
HISTORICOS!F:F,
HISTORICOS!H:H,
0,
2
),
0
),
IF(_xlpm.resultado=0,"No encontrado",_xlpm.resultado)
)</f>
        <v>1220.94</v>
      </c>
      <c r="R45" s="109">
        <f>IFERROR(
_xlfn.XLOOKUP(
"*"&amp;LEFT(TRIM(CLEAN(B45)),100)&amp;"*",
HISTORICOS!K:K,
HISTORICOS!M:M,
"No encontrado",
2
),
"No encontrado"
)</f>
        <v>1190</v>
      </c>
      <c r="S45" s="109">
        <f>IFERROR(
_xlfn.XLOOKUP("*"&amp;LEFT(TRIM(CLEAN(B45)),100)&amp;"*",HISTORICOS!P:P,HISTORICOS!R:R,"No encontrado",2),
IFERROR(
_xlfn.XLOOKUP("*"&amp;LEFT(TRIM(CLEAN(B45)),70)&amp;"*",HISTORICOS!P:P,HISTORICOS!R:R,"No encontrado",2),
IFERROR(
_xlfn.XLOOKUP("*"&amp;LEFT(TRIM(CLEAN(B45)),50)&amp;"*",HISTORICOS!P:P,HISTORICOS!R:R,"No encontrado",2),
IFERROR(
_xlfn.XLOOKUP("*"&amp;LEFT(TRIM(CLEAN(B45)),30)&amp;"*",HISTORICOS!P:P,HISTORICOS!R:R,"No encontrado",2),
IFERROR(
_xlfn.XLOOKUP("*"&amp;LEFT(TRIM(CLEAN(B45)),10)&amp;"*",HISTORICOS!P:P,HISTORICOS!R:R,"No encontrado",2),
"No encontrado"
)))))</f>
        <v>1190</v>
      </c>
      <c r="T45" s="109">
        <f t="shared" si="15"/>
        <v>1279.6060394304002</v>
      </c>
      <c r="U45" s="109">
        <f t="shared" si="16"/>
        <v>1349.9971528800002</v>
      </c>
      <c r="V45" s="109">
        <f t="shared" si="17"/>
        <v>1250.7523999999999</v>
      </c>
      <c r="W45" s="109">
        <f t="shared" si="18"/>
        <v>1264.2560000000001</v>
      </c>
      <c r="X45" s="123">
        <f t="shared" si="9"/>
        <v>3.433877644564351E-2</v>
      </c>
      <c r="Y45" s="124" t="str">
        <f t="shared" si="6"/>
        <v>Bajo</v>
      </c>
      <c r="Z45" s="109">
        <f t="shared" si="7"/>
        <v>1271.9310197152001</v>
      </c>
      <c r="AA45" s="109">
        <f t="shared" si="8"/>
        <v>1285.5941144287431</v>
      </c>
      <c r="AC45" s="229"/>
      <c r="AD45"/>
    </row>
    <row r="46" spans="1:30" ht="18" customHeight="1">
      <c r="A46" s="3">
        <v>36</v>
      </c>
      <c r="B46" s="330" t="s">
        <v>55</v>
      </c>
      <c r="C46" s="331"/>
      <c r="D46" s="331"/>
      <c r="E46" s="331"/>
      <c r="F46" s="332"/>
      <c r="G46" s="178" t="s">
        <v>56</v>
      </c>
      <c r="H46" s="44">
        <f>'BELPAPEL (2a COTIZACION) '!J50</f>
        <v>2711</v>
      </c>
      <c r="I46" s="181">
        <f>'GRUPO LOS LAGOS SAS'!J50</f>
        <v>4748.1000000000004</v>
      </c>
      <c r="J46" s="16">
        <f>'SUMICORP LTDA'!J50</f>
        <v>5831</v>
      </c>
      <c r="K46" s="16">
        <f>'TELEAMARKETER (2a COTIZACION)'!J50</f>
        <v>5712</v>
      </c>
      <c r="L46" s="49">
        <f t="shared" si="19"/>
        <v>0.30387213182282624</v>
      </c>
      <c r="M46" s="50" t="str">
        <f t="shared" si="5"/>
        <v>Muy alto</v>
      </c>
      <c r="N46" s="51">
        <f t="shared" si="20"/>
        <v>5230.05</v>
      </c>
      <c r="P46" s="109">
        <f>_xlfn.LET(
_xlpm.resultado,IFERROR(
_xlfn.XLOOKUP(
"*"&amp;LEFT(B46,FIND("@",SUBSTITUTE(B73&amp;" "," ","@",4))-1)&amp;"*",
HISTORICOS!B:B,
HISTORICOS!D:D,
0,
2
),
0
),
IF(_xlpm.resultado=0,"No encontrado",_xlpm.resultado)
)</f>
        <v>2388</v>
      </c>
      <c r="Q46" s="109">
        <f>_xlfn.LET(
_xlpm.resultado,IFERROR(
_xlfn.XLOOKUP(
"*"&amp;LEFT(B46,FIND("@",SUBSTITUTE(B46&amp;" "," ","@",4))-1)&amp;"*",
HISTORICOS!F:F,
HISTORICOS!H:H,
0,
2
),
0
),
IF(_xlpm.resultado=0,"No encontrado",_xlpm.resultado)
)</f>
        <v>3962.7</v>
      </c>
      <c r="R46" s="109">
        <f>IFERROR(
_xlfn.XLOOKUP(
"*"&amp;LEFT(TRIM(CLEAN(B46)),100)&amp;"*",
HISTORICOS!K:K,
HISTORICOS!M:M,
"No encontrado",
2
),
"No encontrado"
)</f>
        <v>3236.7999999999997</v>
      </c>
      <c r="S46" s="109">
        <f>IFERROR(
_xlfn.XLOOKUP("*"&amp;LEFT(TRIM(CLEAN(B46)),100)&amp;"*",HISTORICOS!P:P,HISTORICOS!R:R,"No encontrado",2),
IFERROR(
_xlfn.XLOOKUP("*"&amp;LEFT(TRIM(CLEAN(B46)),70)&amp;"*",HISTORICOS!P:P,HISTORICOS!R:R,"No encontrado",2),
IFERROR(
_xlfn.XLOOKUP("*"&amp;LEFT(TRIM(CLEAN(B46)),50)&amp;"*",HISTORICOS!P:P,HISTORICOS!R:R,"No encontrado",2),
IFERROR(
_xlfn.XLOOKUP("*"&amp;LEFT(TRIM(CLEAN(B46)),30)&amp;"*",HISTORICOS!P:P,HISTORICOS!R:R,"No encontrado",2),
IFERROR(
_xlfn.XLOOKUP("*"&amp;LEFT(TRIM(CLEAN(B46)),10)&amp;"*",HISTORICOS!P:P,HISTORICOS!R:R,"No encontrado",2),
"No encontrado"
)))))</f>
        <v>3236.7999999999997</v>
      </c>
      <c r="T46" s="109">
        <f t="shared" si="15"/>
        <v>2885.3789353728002</v>
      </c>
      <c r="U46" s="109">
        <f t="shared" si="16"/>
        <v>4381.4295803999994</v>
      </c>
      <c r="V46" s="109">
        <f t="shared" si="17"/>
        <v>3401.9391999999993</v>
      </c>
      <c r="W46" s="109">
        <f t="shared" si="18"/>
        <v>3438.7763199999999</v>
      </c>
      <c r="X46" s="123">
        <f>_xlfn.STDEV.S(T46:W46)/AVERAGE(T46:W46)</f>
        <v>0.17670127491727136</v>
      </c>
      <c r="Y46" s="124" t="str">
        <f t="shared" si="6"/>
        <v>Moderado</v>
      </c>
      <c r="Z46" s="109">
        <f t="shared" si="7"/>
        <v>3420.3577599999999</v>
      </c>
      <c r="AA46" s="109">
        <f t="shared" si="8"/>
        <v>3487.2837973906462</v>
      </c>
      <c r="AC46" s="229"/>
      <c r="AD46"/>
    </row>
    <row r="47" spans="1:30" ht="18" customHeight="1">
      <c r="A47" s="3">
        <v>37</v>
      </c>
      <c r="B47" s="330" t="s">
        <v>57</v>
      </c>
      <c r="C47" s="331"/>
      <c r="D47" s="331"/>
      <c r="E47" s="331"/>
      <c r="F47" s="332"/>
      <c r="G47" s="178" t="s">
        <v>33</v>
      </c>
      <c r="H47" s="44">
        <f>'BELPAPEL (2a COTIZACION) '!J51</f>
        <v>2968</v>
      </c>
      <c r="I47" s="181">
        <f>'GRUPO LOS LAGOS SAS'!J51</f>
        <v>4224.5</v>
      </c>
      <c r="J47" s="16">
        <f>'SUMICORP LTDA'!J51</f>
        <v>5831</v>
      </c>
      <c r="K47" s="16">
        <f>'TELEAMARKETER (2a COTIZACION)'!J51</f>
        <v>6902</v>
      </c>
      <c r="L47" s="49">
        <f t="shared" si="19"/>
        <v>0.34842324659697754</v>
      </c>
      <c r="M47" s="50" t="str">
        <f t="shared" si="5"/>
        <v>Muy alto</v>
      </c>
      <c r="N47" s="51">
        <f t="shared" si="20"/>
        <v>5027.75</v>
      </c>
      <c r="P47" s="109">
        <f>_xlfn.LET(
_xlpm.resultado,IFERROR(
_xlfn.XLOOKUP(
"*"&amp;LEFT(B47,FIND("@",SUBSTITUTE(B74&amp;" "," ","@",4))-1)&amp;"*",
HISTORICOS!B:B,
HISTORICOS!D:D,
0,
2
),
0
),
IF(_xlpm.resultado=0,"No encontrado",_xlpm.resultado)
)</f>
        <v>2605</v>
      </c>
      <c r="Q47" s="109">
        <f>_xlfn.LET(
_xlpm.resultado,IFERROR(
_xlfn.XLOOKUP(
"*"&amp;LEFT(B47,FIND("@",SUBSTITUTE(B47&amp;" "," ","@",4))-1)&amp;"*",
HISTORICOS!F:F,
HISTORICOS!H:H,
0,
2
),
0
),
IF(_xlpm.resultado=0,"No encontrado",_xlpm.resultado)
)</f>
        <v>4069.8</v>
      </c>
      <c r="R47" s="109">
        <f>IFERROR(
_xlfn.XLOOKUP(
"*"&amp;LEFT(TRIM(CLEAN(B47)),100)&amp;"*",
HISTORICOS!K:K,
HISTORICOS!M:M,
"No encontrado",
2
),
"No encontrado"
)</f>
        <v>3570</v>
      </c>
      <c r="S47" s="109">
        <f>IFERROR(
_xlfn.XLOOKUP("*"&amp;LEFT(TRIM(CLEAN(B47)),100)&amp;"*",HISTORICOS!P:P,HISTORICOS!R:R,"No encontrado",2),
IFERROR(
_xlfn.XLOOKUP("*"&amp;LEFT(TRIM(CLEAN(B47)),70)&amp;"*",HISTORICOS!P:P,HISTORICOS!R:R,"No encontrado",2),
IFERROR(
_xlfn.XLOOKUP("*"&amp;LEFT(TRIM(CLEAN(B47)),50)&amp;"*",HISTORICOS!P:P,HISTORICOS!R:R,"No encontrado",2),
IFERROR(
_xlfn.XLOOKUP("*"&amp;LEFT(TRIM(CLEAN(B47)),30)&amp;"*",HISTORICOS!P:P,HISTORICOS!R:R,"No encontrado",2),
IFERROR(
_xlfn.XLOOKUP("*"&amp;LEFT(TRIM(CLEAN(B47)),10)&amp;"*",HISTORICOS!P:P,HISTORICOS!R:R,"No encontrado",2),
"No encontrado"
)))))</f>
        <v>3570</v>
      </c>
      <c r="T47" s="109">
        <f t="shared" si="15"/>
        <v>3147.5705970879999</v>
      </c>
      <c r="U47" s="109">
        <f t="shared" si="16"/>
        <v>4499.8449095999995</v>
      </c>
      <c r="V47" s="109">
        <f t="shared" si="17"/>
        <v>3752.1323999999995</v>
      </c>
      <c r="W47" s="109">
        <f t="shared" si="18"/>
        <v>3792.768</v>
      </c>
      <c r="X47" s="123">
        <f t="shared" si="9"/>
        <v>0.14562760235962485</v>
      </c>
      <c r="Y47" s="124" t="str">
        <f t="shared" si="6"/>
        <v>Bajo</v>
      </c>
      <c r="Z47" s="109">
        <f t="shared" si="7"/>
        <v>3772.4501999999998</v>
      </c>
      <c r="AA47" s="109">
        <f t="shared" si="8"/>
        <v>3767.9216593392266</v>
      </c>
      <c r="AC47" s="229"/>
      <c r="AD47"/>
    </row>
    <row r="48" spans="1:30" ht="18" customHeight="1">
      <c r="A48" s="3">
        <v>38</v>
      </c>
      <c r="B48" s="330" t="s">
        <v>58</v>
      </c>
      <c r="C48" s="331"/>
      <c r="D48" s="331"/>
      <c r="E48" s="331"/>
      <c r="F48" s="332"/>
      <c r="G48" s="178" t="s">
        <v>19</v>
      </c>
      <c r="H48" s="44">
        <f>'BELPAPEL (2a COTIZACION) '!J52</f>
        <v>2268</v>
      </c>
      <c r="I48" s="181">
        <f>'GRUPO LOS LAGOS SAS'!J52</f>
        <v>3451</v>
      </c>
      <c r="J48" s="16">
        <f>'SUMICORP LTDA'!J52</f>
        <v>5474</v>
      </c>
      <c r="K48" s="16">
        <f>'TELEAMARKETER (2a COTIZACION)'!J52</f>
        <v>8092</v>
      </c>
      <c r="L48" s="49">
        <f t="shared" si="19"/>
        <v>0.52908547996465138</v>
      </c>
      <c r="M48" s="50" t="str">
        <f t="shared" si="5"/>
        <v>Muy alto</v>
      </c>
      <c r="N48" s="51">
        <f t="shared" si="20"/>
        <v>4462.5</v>
      </c>
      <c r="P48" s="109">
        <f>_xlfn.LET(
_xlpm.texto,TRIM(CLEAN(B48)),
_xlpm.clave4,LEFT(_xlpm.texto,FIND("@",SUBSTITUTE(_xlpm.texto&amp;" "," ","@",4))-1),
_xlpm.clave1,LEFT(_xlpm.texto,FIND(" ",_xlpm.texto&amp;" ")-1),
_xlpm.resultado,IFERROR(
_xlfn.XLOOKUP("*"&amp;_xlpm.clave4&amp;"*",HISTORICOS!B:B,HISTORICOS!D:D,"No encontrado",2),
IFERROR(_xlfn.XLOOKUP("*"&amp;_xlpm.clave1&amp;"*",HISTORICOS!B:B,HISTORICOS!D:D,"No encontrado",2),"No encontrado")
),
IF(_xlpm.resultado=0,"No encontrado",_xlpm.resultado)
)</f>
        <v>2934</v>
      </c>
      <c r="Q48" s="109">
        <f>IFERROR(
_xlfn.XLOOKUP(
"*"&amp;LEFT(B48,FIND(" ",B48&amp;" ")-1)&amp;"*",
HISTORICOS!F:F,
HISTORICOS!H:H,
"No encontrado",
2
),
"No encontrado"
)</f>
        <v>3105.9</v>
      </c>
      <c r="R48" s="109">
        <f>IFERROR(
_xlfn.XLOOKUP(
"*"&amp;LEFT(TRIM(CLEAN(B48)),100)&amp;"*",
HISTORICOS!K:K,
HISTORICOS!M:M,
"No encontrado",
2
),
"No encontrado"
)</f>
        <v>2487.1</v>
      </c>
      <c r="S48" s="109">
        <f>IFERROR(
_xlfn.XLOOKUP("*"&amp;LEFT(TRIM(CLEAN(B48)),100)&amp;"*",HISTORICOS!P:P,HISTORICOS!R:R,"No encontrado",2),
IFERROR(
_xlfn.XLOOKUP("*"&amp;LEFT(TRIM(CLEAN(B48)),70)&amp;"*",HISTORICOS!P:P,HISTORICOS!R:R,"No encontrado",2),
IFERROR(
_xlfn.XLOOKUP("*"&amp;LEFT(TRIM(CLEAN(B48)),50)&amp;"*",HISTORICOS!P:P,HISTORICOS!R:R,"No encontrado",2),
IFERROR(
_xlfn.XLOOKUP("*"&amp;LEFT(TRIM(CLEAN(B48)),30)&amp;"*",HISTORICOS!P:P,HISTORICOS!R:R,"No encontrado",2),
IFERROR(
_xlfn.XLOOKUP("*"&amp;LEFT(TRIM(CLEAN(B48)),10)&amp;"*",HISTORICOS!P:P,HISTORICOS!R:R,"No encontrado",2),
"No encontrado"
)))))</f>
        <v>2487.1</v>
      </c>
      <c r="T48" s="109">
        <f t="shared" si="15"/>
        <v>3545.0869874303999</v>
      </c>
      <c r="U48" s="109">
        <f t="shared" si="16"/>
        <v>3434.1069467999996</v>
      </c>
      <c r="V48" s="109">
        <f t="shared" si="17"/>
        <v>2614.0044999999996</v>
      </c>
      <c r="W48" s="109">
        <f t="shared" si="18"/>
        <v>2642.29504</v>
      </c>
      <c r="X48" s="123">
        <f t="shared" si="9"/>
        <v>0.16331166703101302</v>
      </c>
      <c r="Y48" s="124" t="str">
        <f t="shared" si="6"/>
        <v>Moderado</v>
      </c>
      <c r="Z48" s="109">
        <f t="shared" si="7"/>
        <v>3038.2009933999998</v>
      </c>
      <c r="AA48" s="109">
        <f t="shared" si="8"/>
        <v>3028.1827986717776</v>
      </c>
      <c r="AC48" s="229"/>
      <c r="AD48"/>
    </row>
    <row r="49" spans="1:30" ht="18" customHeight="1">
      <c r="A49" s="3">
        <v>39</v>
      </c>
      <c r="B49" s="342" t="s">
        <v>59</v>
      </c>
      <c r="C49" s="343"/>
      <c r="D49" s="343"/>
      <c r="E49" s="343"/>
      <c r="F49" s="344"/>
      <c r="G49" s="178" t="s">
        <v>56</v>
      </c>
      <c r="H49" s="44">
        <f>'BELPAPEL (2a COTIZACION) '!J53</f>
        <v>9596</v>
      </c>
      <c r="I49" s="181">
        <f>'GRUPO LOS LAGOS SAS'!J53</f>
        <v>17136</v>
      </c>
      <c r="J49" s="16">
        <f>'SUMICORP LTDA'!J53</f>
        <v>32011</v>
      </c>
      <c r="K49" s="16">
        <f>'TELEAMARKETER (2a COTIZACION)'!J53</f>
        <v>6902</v>
      </c>
      <c r="L49" s="49">
        <f t="shared" si="19"/>
        <v>0.68646468207531841</v>
      </c>
      <c r="M49" s="50" t="str">
        <f t="shared" si="5"/>
        <v>Muy alto</v>
      </c>
      <c r="N49" s="51">
        <f t="shared" si="20"/>
        <v>13366</v>
      </c>
      <c r="P49" s="109">
        <f>IFERROR(
_xlfn.XLOOKUP(
"*"&amp;LEFT(B49,FIND(" ",B49&amp;" ")-1)&amp;"*",
HISTORICOS!B:B,
HISTORICOS!D:D,
"No encontrado",
2
),
"No encontrado"
)</f>
        <v>24500</v>
      </c>
      <c r="Q49" s="109">
        <f>IFERROR(
_xlfn.XLOOKUP(
"*"&amp;LEFT(B49,FIND(" ",B49&amp;" ")-1)&amp;"*",
HISTORICOS!F:F,
HISTORICOS!H:H,
"No encontrado",
2
),
"No encontrado"
)</f>
        <v>1523.2</v>
      </c>
      <c r="R49" s="109">
        <f>IFERROR(
_xlfn.XLOOKUP(
"*"&amp;LEFT(TRIM(CLEAN(B49)),100)&amp;"*",
HISTORICOS!K:K,
HISTORICOS!M:M,
"No encontrado",
2
),
"No encontrado"
)</f>
        <v>13566</v>
      </c>
      <c r="S49" s="109">
        <f>IFERROR(
_xlfn.XLOOKUP("*"&amp;LEFT(TRIM(CLEAN(B49)),100)&amp;"*",HISTORICOS!P:P,HISTORICOS!R:R,"No encontrado",2),
IFERROR(
_xlfn.XLOOKUP("*"&amp;LEFT(TRIM(CLEAN(B49)),70)&amp;"*",HISTORICOS!P:P,HISTORICOS!R:R,"No encontrado",2),
IFERROR(
_xlfn.XLOOKUP("*"&amp;LEFT(TRIM(CLEAN(B49)),50)&amp;"*",HISTORICOS!P:P,HISTORICOS!R:R,"No encontrado",2),
IFERROR(
_xlfn.XLOOKUP("*"&amp;LEFT(TRIM(CLEAN(B49)),30)&amp;"*",HISTORICOS!P:P,HISTORICOS!R:R,"No encontrado",2),
IFERROR(
_xlfn.XLOOKUP("*"&amp;LEFT(TRIM(CLEAN(B49)),10)&amp;"*",HISTORICOS!P:P,HISTORICOS!R:R,"No encontrado",2),
"No encontrado"
)))))</f>
        <v>13566</v>
      </c>
      <c r="T49" s="109">
        <f t="shared" si="15"/>
        <v>29602.346787199996</v>
      </c>
      <c r="U49" s="109">
        <f t="shared" si="16"/>
        <v>1684.1915263999999</v>
      </c>
      <c r="V49" s="109">
        <f t="shared" si="17"/>
        <v>14257.928400000001</v>
      </c>
      <c r="W49" s="109">
        <f t="shared" si="18"/>
        <v>14412.518400000001</v>
      </c>
      <c r="X49" s="123">
        <f t="shared" si="9"/>
        <v>0.76206005789060249</v>
      </c>
      <c r="Y49" s="124" t="str">
        <f t="shared" si="6"/>
        <v>Muy alto</v>
      </c>
      <c r="Z49" s="109">
        <f t="shared" si="7"/>
        <v>14335.223400000001</v>
      </c>
      <c r="AA49" s="109">
        <f t="shared" si="8"/>
        <v>10060.70653465207</v>
      </c>
      <c r="AC49" s="229"/>
      <c r="AD49"/>
    </row>
    <row r="50" spans="1:30" ht="27.45" customHeight="1">
      <c r="A50" s="3">
        <v>40</v>
      </c>
      <c r="B50" s="330" t="s">
        <v>185</v>
      </c>
      <c r="C50" s="334"/>
      <c r="D50" s="334"/>
      <c r="E50" s="334"/>
      <c r="F50" s="335"/>
      <c r="G50" s="178" t="s">
        <v>19</v>
      </c>
      <c r="H50" s="44">
        <f>'BELPAPEL (2a COTIZACION) '!J54</f>
        <v>19555</v>
      </c>
      <c r="I50" s="181">
        <f>'GRUPO LOS LAGOS SAS'!J54</f>
        <v>14922.6</v>
      </c>
      <c r="J50" s="16">
        <f>'SUMICORP LTDA'!J54</f>
        <v>53550</v>
      </c>
      <c r="K50" s="16">
        <f>'TELEAMARKETER (2a COTIZACION)'!J54</f>
        <v>54740</v>
      </c>
      <c r="L50" s="49">
        <f t="shared" si="19"/>
        <v>0.59949402809968344</v>
      </c>
      <c r="M50" s="50" t="str">
        <f t="shared" si="5"/>
        <v>Muy alto</v>
      </c>
      <c r="N50" s="51">
        <f t="shared" si="20"/>
        <v>36552.5</v>
      </c>
      <c r="P50" s="109">
        <f>IFERROR(
_xlfn.XLOOKUP(
"*"&amp;LEFT(B50,FIND(" ",B50&amp;" ")-1)&amp;"*",
HISTORICOS!B:B,
HISTORICOS!D:D,
"No encontrado",
2
),
"No encontrado"
)</f>
        <v>16351</v>
      </c>
      <c r="Q50" s="109">
        <f>IFERROR(
_xlfn.XLOOKUP(
"*"&amp;LEFT(B50,FIND(" ",B50&amp;" ")-1)&amp;"*",
HISTORICOS!F:F,
HISTORICOS!H:H,
"No encontrado",
2
),
"No encontrado"
)</f>
        <v>13661.2</v>
      </c>
      <c r="R50" s="109">
        <f>IFERROR(
_xlfn.XLOOKUP(
"*"&amp;LEFT(TRIM(CLEAN(B50)),20)&amp;"*",
HISTORICOS!K:K,
HISTORICOS!M:M,
"No encontrado",
2
),
"No encontrado"
)</f>
        <v>13090</v>
      </c>
      <c r="S50" s="109">
        <f>IFERROR(
_xlfn.XLOOKUP("*"&amp;LEFT(TRIM(CLEAN(B50)),50)&amp;"*",HISTORICOS!P:P,HISTORICOS!R:R,"No encontrado",2),
IFERROR(
_xlfn.XLOOKUP("*"&amp;LEFT(TRIM(CLEAN(B50)),40)&amp;"*",HISTORICOS!P:P,HISTORICOS!R:R,"No encontrado",2),
IFERROR(
_xlfn.XLOOKUP("*"&amp;LEFT(TRIM(CLEAN(B50)),30)&amp;"*",HISTORICOS!P:P,HISTORICOS!R:R,"No encontrado",2),
IFERROR(
_xlfn.XLOOKUP("*"&amp;LEFT(TRIM(CLEAN(B50)),20)&amp;"*",HISTORICOS!P:P,HISTORICOS!R:R,"No encontrado",2),
IFERROR(
_xlfn.XLOOKUP("*"&amp;LEFT(TRIM(CLEAN(B50)),10)&amp;"*",HISTORICOS!P:P,HISTORICOS!R:R,"No encontrado",2),
"No encontrado"
)))))</f>
        <v>13090</v>
      </c>
      <c r="T50" s="109">
        <f t="shared" si="15"/>
        <v>19756.264523065598</v>
      </c>
      <c r="U50" s="109">
        <f t="shared" si="16"/>
        <v>15104.595502400001</v>
      </c>
      <c r="V50" s="109">
        <f t="shared" si="17"/>
        <v>13757.652399999999</v>
      </c>
      <c r="W50" s="109">
        <f t="shared" si="18"/>
        <v>13906.816000000001</v>
      </c>
      <c r="X50" s="123">
        <f t="shared" si="9"/>
        <v>0.18010396925287742</v>
      </c>
      <c r="Y50" s="124" t="str">
        <f t="shared" si="6"/>
        <v>Moderado</v>
      </c>
      <c r="Z50" s="109">
        <f t="shared" si="7"/>
        <v>14505.705751200001</v>
      </c>
      <c r="AA50" s="109">
        <f t="shared" si="8"/>
        <v>15457.757620183351</v>
      </c>
      <c r="AC50" s="229"/>
      <c r="AD50"/>
    </row>
    <row r="51" spans="1:30" ht="34.5" customHeight="1">
      <c r="A51" s="3">
        <v>41</v>
      </c>
      <c r="B51" s="330" t="s">
        <v>605</v>
      </c>
      <c r="C51" s="334"/>
      <c r="D51" s="334"/>
      <c r="E51" s="334"/>
      <c r="F51" s="335"/>
      <c r="G51" s="178" t="s">
        <v>19</v>
      </c>
      <c r="H51" s="44">
        <f>'BELPAPEL (2a COTIZACION) '!J55</f>
        <v>156188</v>
      </c>
      <c r="I51" s="181">
        <f>'GRUPO LOS LAGOS SAS'!J55</f>
        <v>351050</v>
      </c>
      <c r="J51" s="16">
        <f>'SUMICORP LTDA'!J55</f>
        <v>599760</v>
      </c>
      <c r="K51" s="16">
        <f>'TELEAMARKETER (2a COTIZACION)'!J55</f>
        <v>818720</v>
      </c>
      <c r="L51" s="49">
        <f t="shared" si="19"/>
        <v>0.6002774128887105</v>
      </c>
      <c r="M51" s="50" t="str">
        <f t="shared" si="5"/>
        <v>Muy alto</v>
      </c>
      <c r="N51" s="51">
        <f t="shared" si="20"/>
        <v>475405</v>
      </c>
      <c r="P51" s="109">
        <f>IFERROR(
_xlfn.XLOOKUP(
"*"&amp;LEFT(TRIM(CLEAN(SUBSTITUTE(B51,CHAR(10)," "))),35)&amp;"*",
HISTORICOS!B:B,
HISTORICOS!D:D,
"No encontrado",
2
),
"No encontrado"
)</f>
        <v>53283</v>
      </c>
      <c r="Q51" s="109">
        <f>HISTORICOS!H42</f>
        <v>111860</v>
      </c>
      <c r="R51" s="109">
        <f>IFERROR(
_xlfn.XLOOKUP(
"*"&amp;LEFT(TRIM(CLEAN(B51)),20)&amp;"*",
HISTORICOS!K:K,
HISTORICOS!M:M,
"No encontrado",
2
),
"No encontrado"
)</f>
        <v>22610</v>
      </c>
      <c r="S51" s="109">
        <f>IFERROR(
_xlfn.XLOOKUP("*"&amp;LEFT(TRIM(CLEAN(B51)),50)&amp;"*",HISTORICOS!P:P,HISTORICOS!R:R,"No encontrado",2),
IFERROR(
_xlfn.XLOOKUP("*"&amp;LEFT(TRIM(CLEAN(B51)),40)&amp;"*",HISTORICOS!P:P,HISTORICOS!R:R,"No encontrado",2),
IFERROR(
_xlfn.XLOOKUP("*"&amp;LEFT(TRIM(CLEAN(B51)),30)&amp;"*",HISTORICOS!P:P,HISTORICOS!R:R,"No encontrado",2),
IFERROR(
_xlfn.XLOOKUP("*"&amp;LEFT(TRIM(CLEAN(B51)),20)&amp;"*",HISTORICOS!P:P,HISTORICOS!R:R,"No encontrado",2),
IFERROR(
_xlfn.XLOOKUP("*"&amp;LEFT(TRIM(CLEAN(B51)),10)&amp;"*",HISTORICOS!P:P,HISTORICOS!R:R,"No encontrado",2),
"No encontrado"
)))))</f>
        <v>22610</v>
      </c>
      <c r="T51" s="109">
        <f t="shared" si="15"/>
        <v>64379.593787884798</v>
      </c>
      <c r="U51" s="109">
        <f t="shared" si="16"/>
        <v>123678.29512</v>
      </c>
      <c r="V51" s="109">
        <f t="shared" si="17"/>
        <v>23763.172399999996</v>
      </c>
      <c r="W51" s="109">
        <f t="shared" si="18"/>
        <v>24020.864000000001</v>
      </c>
      <c r="X51" s="123">
        <f t="shared" si="9"/>
        <v>0.80016897993870795</v>
      </c>
      <c r="Y51" s="124" t="str">
        <f t="shared" si="6"/>
        <v>Muy alto</v>
      </c>
      <c r="Z51" s="109">
        <f t="shared" si="7"/>
        <v>44200.228893942403</v>
      </c>
      <c r="AA51" s="109">
        <f t="shared" si="8"/>
        <v>46172.532037339697</v>
      </c>
      <c r="AC51" s="229"/>
      <c r="AD51"/>
    </row>
    <row r="52" spans="1:30" ht="18" customHeight="1">
      <c r="A52" s="3">
        <v>42</v>
      </c>
      <c r="B52" s="330" t="s">
        <v>60</v>
      </c>
      <c r="C52" s="331"/>
      <c r="D52" s="331"/>
      <c r="E52" s="331"/>
      <c r="F52" s="332"/>
      <c r="G52" s="178" t="s">
        <v>19</v>
      </c>
      <c r="H52" s="44">
        <f>'BELPAPEL (2a COTIZACION) '!J56</f>
        <v>62413</v>
      </c>
      <c r="I52" s="181">
        <f>'GRUPO LOS LAGOS SAS'!J56</f>
        <v>35688.1</v>
      </c>
      <c r="J52" s="16">
        <f>'SUMICORP LTDA'!J56</f>
        <v>190400</v>
      </c>
      <c r="K52" s="16">
        <f>'TELEAMARKETER (2a COTIZACION)'!J56</f>
        <v>214081</v>
      </c>
      <c r="L52" s="49">
        <f t="shared" si="19"/>
        <v>0.71341609762619085</v>
      </c>
      <c r="M52" s="50" t="str">
        <f t="shared" si="5"/>
        <v>Muy alto</v>
      </c>
      <c r="N52" s="51">
        <f t="shared" si="20"/>
        <v>126406.5</v>
      </c>
      <c r="P52" s="109">
        <f>IFERROR(
_xlfn.XLOOKUP(
"*"&amp;LEFT(TRIM(CLEAN(SUBSTITUTE(B52,CHAR(10)," "))),35)&amp;"*",
HISTORICOS!B:B,
HISTORICOS!D:D,
"No encontrado",
2
),
"No encontrado"
)</f>
        <v>41982</v>
      </c>
      <c r="Q52" s="109">
        <f>HISTORICOS!H43</f>
        <v>48730.5</v>
      </c>
      <c r="R52" s="109">
        <f>IFERROR(
_xlfn.XLOOKUP(
"*"&amp;LEFT(TRIM(CLEAN(B52)),100)&amp;"*",
HISTORICOS!K:K,
HISTORICOS!M:M,
"No encontrado",
2
),
"No encontrado"
)</f>
        <v>35688.1</v>
      </c>
      <c r="S52" s="109">
        <f>IFERROR(
_xlfn.XLOOKUP("*"&amp;LEFT(TRIM(CLEAN(B52)),100)&amp;"*",HISTORICOS!P:P,HISTORICOS!R:R,"No encontrado",2),
IFERROR(
_xlfn.XLOOKUP("*"&amp;LEFT(TRIM(CLEAN(B52)),70)&amp;"*",HISTORICOS!P:P,HISTORICOS!R:R,"No encontrado",2),
IFERROR(
_xlfn.XLOOKUP("*"&amp;LEFT(TRIM(CLEAN(B52)),50)&amp;"*",HISTORICOS!P:P,HISTORICOS!R:R,"No encontrado",2),
IFERROR(
_xlfn.XLOOKUP("*"&amp;LEFT(TRIM(CLEAN(B52)),30)&amp;"*",HISTORICOS!P:P,HISTORICOS!R:R,"No encontrado",2),
IFERROR(
_xlfn.XLOOKUP("*"&amp;LEFT(TRIM(CLEAN(B52)),10)&amp;"*",HISTORICOS!P:P,HISTORICOS!R:R,"No encontrado",2),
"No encontrado"
)))))</f>
        <v>35688.1</v>
      </c>
      <c r="T52" s="109">
        <f t="shared" si="15"/>
        <v>50725.087018099206</v>
      </c>
      <c r="U52" s="109">
        <f t="shared" si="16"/>
        <v>53879.037186000001</v>
      </c>
      <c r="V52" s="109">
        <f t="shared" si="17"/>
        <v>37508.255499999999</v>
      </c>
      <c r="W52" s="109">
        <f t="shared" si="18"/>
        <v>37915.03744</v>
      </c>
      <c r="X52" s="123">
        <f t="shared" si="9"/>
        <v>0.18937640310165299</v>
      </c>
      <c r="Y52" s="124" t="str">
        <f t="shared" si="6"/>
        <v>Moderado</v>
      </c>
      <c r="Z52" s="109">
        <f t="shared" si="7"/>
        <v>44320.062229049603</v>
      </c>
      <c r="AA52" s="109">
        <f t="shared" si="8"/>
        <v>44401.254986701941</v>
      </c>
      <c r="AC52" s="229"/>
      <c r="AD52"/>
    </row>
    <row r="53" spans="1:30" ht="18" customHeight="1">
      <c r="A53" s="3">
        <v>43</v>
      </c>
      <c r="B53" s="330" t="s">
        <v>61</v>
      </c>
      <c r="C53" s="331"/>
      <c r="D53" s="331"/>
      <c r="E53" s="331"/>
      <c r="F53" s="332"/>
      <c r="G53" s="178" t="s">
        <v>19</v>
      </c>
      <c r="H53" s="44">
        <f>'BELPAPEL (2a COTIZACION) '!J57</f>
        <v>957429</v>
      </c>
      <c r="I53" s="181">
        <f>'GRUPO LOS LAGOS SAS'!J57</f>
        <v>985320</v>
      </c>
      <c r="J53" s="16">
        <f>'SUMICORP LTDA'!J57</f>
        <v>1082900</v>
      </c>
      <c r="K53" s="16">
        <f>'TELEAMARKETER (2a COTIZACION)'!J57</f>
        <v>464100</v>
      </c>
      <c r="L53" s="49">
        <f t="shared" si="19"/>
        <v>0.31806153797248921</v>
      </c>
      <c r="M53" s="50" t="str">
        <f t="shared" si="5"/>
        <v>Muy alto</v>
      </c>
      <c r="N53" s="51">
        <f t="shared" si="20"/>
        <v>971374.5</v>
      </c>
      <c r="P53" s="109">
        <f>IFERROR(
_xlfn.XLOOKUP(
"*"&amp;LEFT(B53,FIND(" ",B53&amp;" ")-1)&amp;"*",
HISTORICOS!B:B,
HISTORICOS!D:D,
"No encontrado",
2
),
"No encontrado"
)</f>
        <v>299879</v>
      </c>
      <c r="Q53" s="109">
        <f>IFERROR(
_xlfn.XLOOKUP(
"*"&amp;LEFT(B53,FIND(" ",B53&amp;" ")-1)&amp;"*",
HISTORICOS!F:F,
HISTORICOS!H:H,
"No encontrado",
2
),
"No encontrado"
)</f>
        <v>490678.65</v>
      </c>
      <c r="R53" s="109">
        <f>IFERROR(
_xlfn.XLOOKUP(
"*"&amp;LEFT(TRIM(CLEAN(B53)),100)&amp;"*",
HISTORICOS!K:K,
HISTORICOS!M:M,
"No encontrado",
2
),
"No encontrado"
)</f>
        <v>479368.88999999996</v>
      </c>
      <c r="S53" s="109">
        <f>IFERROR(
_xlfn.XLOOKUP("*"&amp;LEFT(TRIM(CLEAN(B53)),100)&amp;"*",HISTORICOS!P:P,HISTORICOS!R:R,"No encontrado",2),
IFERROR(
_xlfn.XLOOKUP("*"&amp;LEFT(TRIM(CLEAN(B53)),70)&amp;"*",HISTORICOS!P:P,HISTORICOS!R:R,"No encontrado",2),
IFERROR(
_xlfn.XLOOKUP("*"&amp;LEFT(TRIM(CLEAN(B53)),50)&amp;"*",HISTORICOS!P:P,HISTORICOS!R:R,"No encontrado",2),
IFERROR(
_xlfn.XLOOKUP("*"&amp;LEFT(TRIM(CLEAN(B53)),30)&amp;"*",HISTORICOS!P:P,HISTORICOS!R:R,"No encontrado",2),
IFERROR(
_xlfn.XLOOKUP("*"&amp;LEFT(TRIM(CLEAN(B53)),10)&amp;"*",HISTORICOS!P:P,HISTORICOS!R:R,"No encontrado",2),
"No encontrado"
)))))</f>
        <v>479368.88999999996</v>
      </c>
      <c r="T53" s="109">
        <f t="shared" si="15"/>
        <v>362330.81504282245</v>
      </c>
      <c r="U53" s="109">
        <f t="shared" si="16"/>
        <v>542519.8931298001</v>
      </c>
      <c r="V53" s="109">
        <f t="shared" si="17"/>
        <v>503816.76578999992</v>
      </c>
      <c r="W53" s="109">
        <f t="shared" si="18"/>
        <v>509281.50873599993</v>
      </c>
      <c r="X53" s="123">
        <f t="shared" si="9"/>
        <v>0.16675087899237115</v>
      </c>
      <c r="Y53" s="124" t="str">
        <f t="shared" si="6"/>
        <v>Moderado</v>
      </c>
      <c r="Z53" s="109">
        <f t="shared" si="7"/>
        <v>506549.1372629999</v>
      </c>
      <c r="AA53" s="109">
        <f t="shared" si="8"/>
        <v>473901.26229138148</v>
      </c>
      <c r="AC53" s="229"/>
      <c r="AD53"/>
    </row>
    <row r="54" spans="1:30" ht="18" customHeight="1">
      <c r="A54" s="3">
        <v>44</v>
      </c>
      <c r="B54" s="330" t="s">
        <v>62</v>
      </c>
      <c r="C54" s="331"/>
      <c r="D54" s="331"/>
      <c r="E54" s="331"/>
      <c r="F54" s="332"/>
      <c r="G54" s="178" t="s">
        <v>63</v>
      </c>
      <c r="H54" s="44">
        <f>'BELPAPEL (2a COTIZACION) '!J58</f>
        <v>51230</v>
      </c>
      <c r="I54" s="181">
        <f>'GRUPO LOS LAGOS SAS'!J58</f>
        <v>71400</v>
      </c>
      <c r="J54" s="16">
        <f>'SUMICORP LTDA'!J58</f>
        <v>95200</v>
      </c>
      <c r="K54" s="16">
        <f>'TELEAMARKETER (2a COTIZACION)'!J58</f>
        <v>220150</v>
      </c>
      <c r="L54" s="49">
        <f t="shared" si="19"/>
        <v>0.69343267882504422</v>
      </c>
      <c r="M54" s="50" t="str">
        <f t="shared" si="5"/>
        <v>Muy alto</v>
      </c>
      <c r="N54" s="51">
        <f t="shared" si="20"/>
        <v>83300</v>
      </c>
      <c r="P54" s="109">
        <f>IFERROR(
_xlfn.XLOOKUP(
"*"&amp;LEFT(TRIM(CLEAN(SUBSTITUTE(B54,CHAR(10)," "))),35)&amp;"*",
HISTORICOS!B:B,
HISTORICOS!D:D,
"No encontrado",
2
),
"No encontrado"
)</f>
        <v>49415</v>
      </c>
      <c r="Q54" s="109">
        <f>IFERROR(
_xlfn.XLOOKUP(
"*"&amp;LEFT(B54,FIND(" ",B54&amp;" ")-1)&amp;"*",
HISTORICOS!F:F,
HISTORICOS!H:H,
"No encontrado",
2
),
"No encontrado"
)</f>
        <v>33510.400000000001</v>
      </c>
      <c r="R54" s="109">
        <f>IFERROR(
_xlfn.XLOOKUP(
"*"&amp;LEFT(TRIM(CLEAN(B54)),100)&amp;"*",
HISTORICOS!K:K,
HISTORICOS!M:M,
"No encontrado",
2
),
"No encontrado"
)</f>
        <v>30940</v>
      </c>
      <c r="S54" s="109">
        <f>IFERROR(
_xlfn.XLOOKUP("*"&amp;LEFT(TRIM(CLEAN(B54)),100)&amp;"*",HISTORICOS!P:P,HISTORICOS!R:R,"No encontrado",2),
IFERROR(
_xlfn.XLOOKUP("*"&amp;LEFT(TRIM(CLEAN(B54)),70)&amp;"*",HISTORICOS!P:P,HISTORICOS!R:R,"No encontrado",2),
IFERROR(
_xlfn.XLOOKUP("*"&amp;LEFT(TRIM(CLEAN(B54)),50)&amp;"*",HISTORICOS!P:P,HISTORICOS!R:R,"No encontrado",2),
IFERROR(
_xlfn.XLOOKUP("*"&amp;LEFT(TRIM(CLEAN(B54)),30)&amp;"*",HISTORICOS!P:P,HISTORICOS!R:R,"No encontrado",2),
IFERROR(
_xlfn.XLOOKUP("*"&amp;LEFT(TRIM(CLEAN(B54)),10)&amp;"*",HISTORICOS!P:P,HISTORICOS!R:R,"No encontrado",2),
"No encontrado"
)))))</f>
        <v>30940</v>
      </c>
      <c r="T54" s="109">
        <f t="shared" si="15"/>
        <v>59706.057624224006</v>
      </c>
      <c r="U54" s="109">
        <f t="shared" si="16"/>
        <v>37050.903180800007</v>
      </c>
      <c r="V54" s="109">
        <f t="shared" si="17"/>
        <v>32518.002399999998</v>
      </c>
      <c r="W54" s="109">
        <f t="shared" si="18"/>
        <v>32870.656000000003</v>
      </c>
      <c r="X54" s="123">
        <f t="shared" si="9"/>
        <v>0.31933105366365111</v>
      </c>
      <c r="Y54" s="124" t="str">
        <f t="shared" si="6"/>
        <v>Muy alto</v>
      </c>
      <c r="Z54" s="109">
        <f t="shared" si="7"/>
        <v>34960.779590400009</v>
      </c>
      <c r="AA54" s="109">
        <f t="shared" si="8"/>
        <v>39213.657948344553</v>
      </c>
      <c r="AC54" s="229"/>
      <c r="AD54"/>
    </row>
    <row r="55" spans="1:30" ht="18" customHeight="1">
      <c r="A55" s="3">
        <v>45</v>
      </c>
      <c r="B55" s="330" t="s">
        <v>64</v>
      </c>
      <c r="C55" s="331"/>
      <c r="D55" s="331"/>
      <c r="E55" s="331"/>
      <c r="F55" s="332"/>
      <c r="G55" s="178" t="s">
        <v>39</v>
      </c>
      <c r="H55" s="44">
        <f>'BELPAPEL (2a COTIZACION) '!J59</f>
        <v>2743</v>
      </c>
      <c r="I55" s="181">
        <f>'GRUPO LOS LAGOS SAS'!J59</f>
        <v>4748.1000000000004</v>
      </c>
      <c r="J55" s="16">
        <f>'SUMICORP LTDA'!J59</f>
        <v>8806</v>
      </c>
      <c r="K55" s="16">
        <f>'TELEAMARKETER (2a COTIZACION)'!J59</f>
        <v>5712</v>
      </c>
      <c r="L55" s="49">
        <f t="shared" si="19"/>
        <v>0.45907004970427712</v>
      </c>
      <c r="M55" s="50" t="str">
        <f t="shared" si="5"/>
        <v>Muy alto</v>
      </c>
      <c r="N55" s="51">
        <f t="shared" si="20"/>
        <v>5230.05</v>
      </c>
      <c r="P55" s="109" t="s">
        <v>576</v>
      </c>
      <c r="Q55" s="109">
        <f>IFERROR(
_xlfn.XLOOKUP(
"*"&amp;LEFT(B55,FIND(" ",B55&amp;" ")-1)&amp;"*",
HISTORICOS!F:F,
HISTORICOS!H:H,
"No encontrado",
2
),
"No encontrado"
)</f>
        <v>2208.64</v>
      </c>
      <c r="R55" s="109">
        <f>IFERROR(
_xlfn.XLOOKUP(
"*"&amp;LEFT(TRIM(CLEAN(B55)),100)&amp;"*",
HISTORICOS!K:K,
HISTORICOS!M:M,
"No encontrado",
2
),
"No encontrado"
)</f>
        <v>4748.0999999999995</v>
      </c>
      <c r="S55" s="109">
        <f>IFERROR(
_xlfn.XLOOKUP("*"&amp;LEFT(TRIM(CLEAN(B55)),100)&amp;"*",HISTORICOS!P:P,HISTORICOS!R:R,"No encontrado",2),
IFERROR(
_xlfn.XLOOKUP("*"&amp;LEFT(TRIM(CLEAN(B55)),70)&amp;"*",HISTORICOS!P:P,HISTORICOS!R:R,"No encontrado",2),
IFERROR(
_xlfn.XLOOKUP("*"&amp;LEFT(TRIM(CLEAN(B55)),50)&amp;"*",HISTORICOS!P:P,HISTORICOS!R:R,"No encontrado",2),
IFERROR(
_xlfn.XLOOKUP("*"&amp;LEFT(TRIM(CLEAN(B55)),30)&amp;"*",HISTORICOS!P:P,HISTORICOS!R:R,"No encontrado",2),
IFERROR(
_xlfn.XLOOKUP("*"&amp;LEFT(TRIM(CLEAN(B55)),10)&amp;"*",HISTORICOS!P:P,HISTORICOS!R:R,"No encontrado",2),
"No encontrado"
)))))</f>
        <v>4748.0999999999995</v>
      </c>
      <c r="T55" s="109" t="s">
        <v>576</v>
      </c>
      <c r="U55" s="109">
        <f t="shared" si="16"/>
        <v>2442.0496332799994</v>
      </c>
      <c r="V55" s="109">
        <f t="shared" si="17"/>
        <v>4990.3154999999988</v>
      </c>
      <c r="W55" s="109">
        <f t="shared" si="18"/>
        <v>5044.3814399999992</v>
      </c>
      <c r="X55" s="123">
        <f t="shared" si="9"/>
        <v>0.35756802365566737</v>
      </c>
      <c r="Y55" s="124" t="str">
        <f t="shared" si="6"/>
        <v>Muy alto</v>
      </c>
      <c r="Z55" s="109">
        <f t="shared" si="7"/>
        <v>4990.3154999999988</v>
      </c>
      <c r="AA55" s="109">
        <f t="shared" si="8"/>
        <v>3946.6638381575472</v>
      </c>
      <c r="AC55" s="229"/>
      <c r="AD55"/>
    </row>
    <row r="56" spans="1:30" ht="18" customHeight="1">
      <c r="A56" s="3">
        <v>46</v>
      </c>
      <c r="B56" s="330" t="s">
        <v>65</v>
      </c>
      <c r="C56" s="331"/>
      <c r="D56" s="331"/>
      <c r="E56" s="331"/>
      <c r="F56" s="332"/>
      <c r="G56" s="178" t="s">
        <v>43</v>
      </c>
      <c r="H56" s="44">
        <f>'BELPAPEL (2a COTIZACION) '!J60</f>
        <v>4873</v>
      </c>
      <c r="I56" s="181">
        <f>'GRUPO LOS LAGOS SAS'!J60</f>
        <v>11900</v>
      </c>
      <c r="J56" s="16">
        <f>'SUMICORP LTDA'!J60</f>
        <v>12495</v>
      </c>
      <c r="K56" s="16">
        <f>'TELEAMARKETER (2a COTIZACION)'!J60</f>
        <v>58905</v>
      </c>
      <c r="L56" s="49">
        <f t="shared" si="19"/>
        <v>1.1258352874975883</v>
      </c>
      <c r="M56" s="50" t="str">
        <f t="shared" si="5"/>
        <v>Muy alto</v>
      </c>
      <c r="N56" s="51">
        <f t="shared" si="20"/>
        <v>12197.5</v>
      </c>
      <c r="P56" s="109">
        <f>IFERROR(
_xlfn.XLOOKUP(
"*"&amp;LEFT(B56,FIND(" ",B56&amp;" ")-1)&amp;"*",
HISTORICOS!B:B,
HISTORICOS!D:D,
"No encontrado",
2
),
"No encontrado"
)</f>
        <v>12112</v>
      </c>
      <c r="Q56" s="109">
        <f>IFERROR(
_xlfn.XLOOKUP(
"*"&amp;LEFT(B56,FIND(" ",B56&amp;" ")-1)&amp;"*",
HISTORICOS!F:F,
HISTORICOS!H:H,
"No encontrado",
2
),
"No encontrado"
)</f>
        <v>12185.6</v>
      </c>
      <c r="R56" s="109">
        <f>IFERROR(
_xlfn.XLOOKUP(
"*"&amp;LEFT(TRIM(CLEAN(B56)),100)&amp;"*",
HISTORICOS!K:K,
HISTORICOS!M:M,
"No encontrado",
2
),
"No encontrado"
)</f>
        <v>11888.1</v>
      </c>
      <c r="S56" s="109">
        <f>IFERROR(
_xlfn.XLOOKUP("*"&amp;LEFT(TRIM(CLEAN(B56)),100)&amp;"*",HISTORICOS!P:P,HISTORICOS!R:R,"No encontrado",2),
IFERROR(
_xlfn.XLOOKUP("*"&amp;LEFT(TRIM(CLEAN(B56)),70)&amp;"*",HISTORICOS!P:P,HISTORICOS!R:R,"No encontrado",2),
IFERROR(
_xlfn.XLOOKUP("*"&amp;LEFT(TRIM(CLEAN(B56)),50)&amp;"*",HISTORICOS!P:P,HISTORICOS!R:R,"No encontrado",2),
IFERROR(
_xlfn.XLOOKUP("*"&amp;LEFT(TRIM(CLEAN(B56)),30)&amp;"*",HISTORICOS!P:P,HISTORICOS!R:R,"No encontrado",2),
IFERROR(
_xlfn.XLOOKUP("*"&amp;LEFT(TRIM(CLEAN(B56)),10)&amp;"*",HISTORICOS!P:P,HISTORICOS!R:R,"No encontrado",2),
"No encontrado"
)))))</f>
        <v>11888.1</v>
      </c>
      <c r="T56" s="109">
        <f>P56*(1+$Q$4)*(1+$R$4)*(1+$S$4)*1+($T$4)</f>
        <v>14634.465195827201</v>
      </c>
      <c r="U56" s="109">
        <f t="shared" si="16"/>
        <v>13473.0954112</v>
      </c>
      <c r="V56" s="109">
        <f t="shared" si="17"/>
        <v>12494.4555</v>
      </c>
      <c r="W56" s="109">
        <f t="shared" si="18"/>
        <v>12629.917440000001</v>
      </c>
      <c r="X56" s="123">
        <f t="shared" si="9"/>
        <v>7.3987007387279022E-2</v>
      </c>
      <c r="Y56" s="124" t="str">
        <f t="shared" si="6"/>
        <v>Bajo</v>
      </c>
      <c r="Z56" s="109">
        <f t="shared" si="7"/>
        <v>13051.506425600001</v>
      </c>
      <c r="AA56" s="109">
        <f t="shared" si="8"/>
        <v>13281.298018432377</v>
      </c>
      <c r="AC56" s="229"/>
      <c r="AD56"/>
    </row>
    <row r="57" spans="1:30" ht="18" customHeight="1">
      <c r="A57" s="3">
        <v>47</v>
      </c>
      <c r="B57" s="330" t="s">
        <v>66</v>
      </c>
      <c r="C57" s="331"/>
      <c r="D57" s="331"/>
      <c r="E57" s="331"/>
      <c r="F57" s="332"/>
      <c r="G57" s="178" t="s">
        <v>39</v>
      </c>
      <c r="H57" s="44">
        <f>'BELPAPEL (2a COTIZACION) '!J61</f>
        <v>12682</v>
      </c>
      <c r="I57" s="181">
        <f>'GRUPO LOS LAGOS SAS'!J61</f>
        <v>12138</v>
      </c>
      <c r="J57" s="16">
        <f>'SUMICORP LTDA'!J61</f>
        <v>22015</v>
      </c>
      <c r="K57" s="16">
        <f>'TELEAMARKETER (2a COTIZACION)'!J61</f>
        <v>188020</v>
      </c>
      <c r="L57" s="49">
        <f t="shared" si="19"/>
        <v>1.4702396284109707</v>
      </c>
      <c r="M57" s="50" t="str">
        <f t="shared" si="5"/>
        <v>Muy alto</v>
      </c>
      <c r="N57" s="51">
        <f t="shared" si="20"/>
        <v>17348.5</v>
      </c>
      <c r="P57" s="109">
        <f>IFERROR(
_xlfn.XLOOKUP(
"*"&amp;LEFT(B57,FIND("@",SUBSTITUTE(B47&amp;" "," ","@",4))-1)&amp;"*",
HISTORICOS!B:B,
HISTORICOS!D:D,
"No encontrado",
2
),
"No encontrado"
)</f>
        <v>15057</v>
      </c>
      <c r="Q57" s="109">
        <f>IFERROR(
_xlfn.XLOOKUP(
"*"&amp;LEFT(TRIM(CLEAN(B57)),100)&amp;"*",
HISTORICOS!F:F,
HISTORICOS!H:H,
"No encontrado",
2
),
"No encontrado"
)</f>
        <v>17850</v>
      </c>
      <c r="R57" s="109">
        <f>IFERROR(
_xlfn.XLOOKUP(
"*"&amp;LEFT(TRIM(CLEAN(B57)),100)&amp;"*",
HISTORICOS!K:K,
HISTORICOS!M:M,
"No encontrado",
2
),
"No encontrado"
)</f>
        <v>13090</v>
      </c>
      <c r="S57" s="109">
        <f>IFERROR(
_xlfn.XLOOKUP("*"&amp;LEFT(TRIM(CLEAN(B57)),100)&amp;"*",HISTORICOS!P:P,HISTORICOS!R:R,"No encontrado",2),
IFERROR(
_xlfn.XLOOKUP("*"&amp;LEFT(TRIM(CLEAN(B57)),70)&amp;"*",HISTORICOS!P:P,HISTORICOS!R:R,"No encontrado",2),
IFERROR(
_xlfn.XLOOKUP("*"&amp;LEFT(TRIM(CLEAN(B57)),50)&amp;"*",HISTORICOS!P:P,HISTORICOS!R:R,"No encontrado",2),
IFERROR(
_xlfn.XLOOKUP("*"&amp;LEFT(TRIM(CLEAN(B57)),30)&amp;"*",HISTORICOS!P:P,HISTORICOS!R:R,"No encontrado",2),
IFERROR(
_xlfn.XLOOKUP("*"&amp;LEFT(TRIM(CLEAN(B57)),10)&amp;"*",HISTORICOS!P:P,HISTORICOS!R:R,"No encontrado",2),
"No encontrado"
)))))</f>
        <v>13090</v>
      </c>
      <c r="T57" s="109">
        <f>P57*(1+$Q$4)*(1+$R$4)*(1+$S$4)*1+($T$4)</f>
        <v>18192.780604819196</v>
      </c>
      <c r="U57" s="109">
        <f t="shared" si="16"/>
        <v>19735.9506</v>
      </c>
      <c r="V57" s="109">
        <f t="shared" si="17"/>
        <v>13757.652399999999</v>
      </c>
      <c r="W57" s="109">
        <f t="shared" si="18"/>
        <v>13906.816000000001</v>
      </c>
      <c r="X57" s="123">
        <f t="shared" si="9"/>
        <v>0.1847681557536148</v>
      </c>
      <c r="Y57" s="124" t="str">
        <f t="shared" si="6"/>
        <v>Moderado</v>
      </c>
      <c r="Z57" s="109">
        <f t="shared" si="7"/>
        <v>16049.798302409599</v>
      </c>
      <c r="AA57" s="109">
        <f t="shared" si="8"/>
        <v>16189.4573927246</v>
      </c>
      <c r="AC57" s="229"/>
      <c r="AD57"/>
    </row>
    <row r="58" spans="1:30" ht="18" customHeight="1">
      <c r="A58" s="3">
        <v>48</v>
      </c>
      <c r="B58" s="330" t="s">
        <v>67</v>
      </c>
      <c r="C58" s="331"/>
      <c r="D58" s="331"/>
      <c r="E58" s="331"/>
      <c r="F58" s="332"/>
      <c r="G58" s="178" t="s">
        <v>39</v>
      </c>
      <c r="H58" s="44">
        <f>'BELPAPEL (2a COTIZACION) '!J62</f>
        <v>15556</v>
      </c>
      <c r="I58" s="181">
        <f>'GRUPO LOS LAGOS SAS'!J62</f>
        <v>17850</v>
      </c>
      <c r="J58" s="16">
        <f>'SUMICORP LTDA'!J62</f>
        <v>23562</v>
      </c>
      <c r="K58" s="16">
        <f>'TELEAMARKETER (2a COTIZACION)'!J62</f>
        <v>211820</v>
      </c>
      <c r="L58" s="49">
        <f t="shared" si="19"/>
        <v>1.4356902917227052</v>
      </c>
      <c r="M58" s="50" t="str">
        <f t="shared" si="5"/>
        <v>Muy alto</v>
      </c>
      <c r="N58" s="51">
        <f t="shared" si="20"/>
        <v>20706</v>
      </c>
      <c r="P58" s="109" t="s">
        <v>576</v>
      </c>
      <c r="Q58" s="109">
        <f>IFERROR(
_xlfn.XLOOKUP(
"*"&amp;LEFT(TRIM(CLEAN(B58)),100)&amp;"*",
HISTORICOS!F:F,
HISTORICOS!H:H,
"No encontrado",
2
),
"No encontrado"
)</f>
        <v>18849.599999999999</v>
      </c>
      <c r="R58" s="109">
        <f>IFERROR(
_xlfn.XLOOKUP(
"*"&amp;LEFT(TRIM(CLEAN(B58)),100)&amp;"*",
HISTORICOS!K:K,
HISTORICOS!M:M,
"No encontrado",
2
),
"No encontrado"
)</f>
        <v>14280</v>
      </c>
      <c r="S58" s="109">
        <f>IFERROR(
_xlfn.XLOOKUP("*"&amp;LEFT(TRIM(CLEAN(B58)),100)&amp;"*",HISTORICOS!P:P,HISTORICOS!R:R,"No encontrado",2),
IFERROR(
_xlfn.XLOOKUP("*"&amp;LEFT(TRIM(CLEAN(B58)),70)&amp;"*",HISTORICOS!P:P,HISTORICOS!R:R,"No encontrado",2),
IFERROR(
_xlfn.XLOOKUP("*"&amp;LEFT(TRIM(CLEAN(B58)),50)&amp;"*",HISTORICOS!P:P,HISTORICOS!R:R,"No encontrado",2),
IFERROR(
_xlfn.XLOOKUP("*"&amp;LEFT(TRIM(CLEAN(B58)),30)&amp;"*",HISTORICOS!P:P,HISTORICOS!R:R,"No encontrado",2),
IFERROR(
_xlfn.XLOOKUP("*"&amp;LEFT(TRIM(CLEAN(B58)),10)&amp;"*",HISTORICOS!P:P,HISTORICOS!R:R,"No encontrado",2),
"No encontrado"
)))))</f>
        <v>14280</v>
      </c>
      <c r="T58" s="109" t="s">
        <v>576</v>
      </c>
      <c r="U58" s="109">
        <f t="shared" si="16"/>
        <v>20841.1603392</v>
      </c>
      <c r="V58" s="109">
        <f t="shared" si="17"/>
        <v>15008.3424</v>
      </c>
      <c r="W58" s="109">
        <f t="shared" si="18"/>
        <v>15171.072</v>
      </c>
      <c r="X58" s="123">
        <f t="shared" si="9"/>
        <v>0.19530942529644213</v>
      </c>
      <c r="Y58" s="124" t="str">
        <f>IF(X58&lt;=15%,"Bajo",IF(X58&lt;=20%,"Moderado",IF(X58&lt;=25%,"Alto","Muy alto")))</f>
        <v>Moderado</v>
      </c>
      <c r="Z58" s="109">
        <f t="shared" si="7"/>
        <v>15171.072</v>
      </c>
      <c r="AA58" s="109">
        <f t="shared" si="8"/>
        <v>16804.424009659553</v>
      </c>
      <c r="AC58" s="229"/>
      <c r="AD58"/>
    </row>
    <row r="59" spans="1:30" ht="31.95" customHeight="1">
      <c r="A59" s="3">
        <v>49</v>
      </c>
      <c r="B59" s="330" t="s">
        <v>606</v>
      </c>
      <c r="C59" s="334"/>
      <c r="D59" s="334"/>
      <c r="E59" s="334"/>
      <c r="F59" s="335"/>
      <c r="G59" s="178" t="s">
        <v>68</v>
      </c>
      <c r="H59" s="44">
        <f>'BELPAPEL (2a COTIZACION) '!J63</f>
        <v>2380</v>
      </c>
      <c r="I59" s="181">
        <f>'GRUPO LOS LAGOS SAS'!J63</f>
        <v>5414.5</v>
      </c>
      <c r="J59" s="16">
        <f>'SUMICORP LTDA'!J63</f>
        <v>5831</v>
      </c>
      <c r="K59" s="16">
        <f>'TELEAMARKETER (2a COTIZACION)'!J63</f>
        <v>11424</v>
      </c>
      <c r="L59" s="49">
        <f t="shared" si="19"/>
        <v>0.6018773027605433</v>
      </c>
      <c r="M59" s="50" t="str">
        <f t="shared" si="5"/>
        <v>Muy alto</v>
      </c>
      <c r="N59" s="51">
        <f t="shared" si="20"/>
        <v>5622.75</v>
      </c>
      <c r="P59" s="109">
        <f>IFERROR(
_xlfn.XLOOKUP(
"*"&amp;MID(B59,FIND(" ",B59&amp;" ")+1,FIND(" ",B59&amp;" ",FIND(" ",B59&amp;" ")+1)-FIND(" ",B59&amp;" ")-1)&amp;"*",
HISTORICOS!B:B,
HISTORICOS!D:D,
"No encontrado",
2
),
"No encontrado"
)</f>
        <v>2817</v>
      </c>
      <c r="Q59" s="109">
        <f>IFERROR(
_xlfn.XLOOKUP(
"*"&amp;LEFT(TRIM(CLEAN(B59)),50)&amp;"*",
HISTORICOS!F:F,
HISTORICOS!H:H,
"No encontrado",
2
),
"No encontrado"
)</f>
        <v>3534.3</v>
      </c>
      <c r="R59" s="109">
        <f>IFERROR(
_xlfn.XLOOKUP(
"*"&amp;LEFT(TRIM(CLEAN(B59)),20)&amp;"*",
HISTORICOS!K:K,
HISTORICOS!M:M,
"No encontrado",
2
),
"No encontrado"
)</f>
        <v>3570</v>
      </c>
      <c r="S59" s="109">
        <f>IFERROR(
_xlfn.XLOOKUP("*"&amp;LEFT(TRIM(CLEAN(B59)),50)&amp;"*",HISTORICOS!P:P,HISTORICOS!R:R,"No encontrado",2),
IFERROR(
_xlfn.XLOOKUP("*"&amp;LEFT(TRIM(CLEAN(B59)),40)&amp;"*",HISTORICOS!P:P,HISTORICOS!R:R,"No encontrado",2),
IFERROR(
_xlfn.XLOOKUP("*"&amp;LEFT(TRIM(CLEAN(B59)),30)&amp;"*",HISTORICOS!P:P,HISTORICOS!R:R,"No encontrado",2),
IFERROR(
_xlfn.XLOOKUP("*"&amp;LEFT(TRIM(CLEAN(B59)),20)&amp;"*",HISTORICOS!P:P,HISTORICOS!R:R,"No encontrado",2),
IFERROR(
_xlfn.XLOOKUP("*"&amp;LEFT(TRIM(CLEAN(B59)),10)&amp;"*",HISTORICOS!P:P,HISTORICOS!R:R,"No encontrado",2),
"No encontrado"
)))))</f>
        <v>3570</v>
      </c>
      <c r="T59" s="109">
        <f t="shared" ref="T59:T65" si="21">P59*(1+$Q$4)*(1+$R$4)*(1+$S$4)*1+($T$4)</f>
        <v>3403.7209762751995</v>
      </c>
      <c r="U59" s="109">
        <f t="shared" si="16"/>
        <v>3907.7682636</v>
      </c>
      <c r="V59" s="109">
        <f t="shared" si="17"/>
        <v>3752.1323999999995</v>
      </c>
      <c r="W59" s="109">
        <f t="shared" si="18"/>
        <v>3792.768</v>
      </c>
      <c r="X59" s="123">
        <f t="shared" si="9"/>
        <v>5.8469584157999029E-2</v>
      </c>
      <c r="Y59" s="124" t="str">
        <f t="shared" si="6"/>
        <v>Bajo</v>
      </c>
      <c r="Z59" s="109">
        <f t="shared" si="7"/>
        <v>3772.4501999999998</v>
      </c>
      <c r="AA59" s="109">
        <f t="shared" si="8"/>
        <v>3709.1918458684845</v>
      </c>
      <c r="AC59" s="229"/>
      <c r="AD59"/>
    </row>
    <row r="60" spans="1:30" ht="18" customHeight="1">
      <c r="A60" s="3">
        <v>50</v>
      </c>
      <c r="B60" s="330" t="s">
        <v>69</v>
      </c>
      <c r="C60" s="331"/>
      <c r="D60" s="331"/>
      <c r="E60" s="331"/>
      <c r="F60" s="332"/>
      <c r="G60" s="178" t="s">
        <v>70</v>
      </c>
      <c r="H60" s="44">
        <f>'BELPAPEL (2a COTIZACION) '!J64</f>
        <v>2999</v>
      </c>
      <c r="I60" s="181">
        <f>'GRUPO LOS LAGOS SAS'!J64</f>
        <v>4879</v>
      </c>
      <c r="J60" s="16">
        <f>'SUMICORP LTDA'!J64</f>
        <v>7735</v>
      </c>
      <c r="K60" s="16">
        <f>'TELEAMARKETER (2a COTIZACION)'!J64</f>
        <v>6902</v>
      </c>
      <c r="L60" s="49">
        <f t="shared" si="19"/>
        <v>0.37736288704435322</v>
      </c>
      <c r="M60" s="50" t="str">
        <f t="shared" si="5"/>
        <v>Muy alto</v>
      </c>
      <c r="N60" s="51">
        <f t="shared" si="20"/>
        <v>5890.5</v>
      </c>
      <c r="P60" s="109">
        <f>IFERROR(
_xlfn.XLOOKUP(
"*"&amp;MID(B60,FIND(" ",B60&amp;" ")+1,FIND(" ",B60&amp;" ",FIND(" ",B60&amp;" ")+1)-FIND(" ",B60&amp;" ")-1)&amp;"*",
HISTORICOS!B:B,
HISTORICOS!D:D,
"No encontrado",
2
),
"No encontrado"
)</f>
        <v>1059</v>
      </c>
      <c r="Q60" s="109">
        <f>IFERROR(
_xlfn.XLOOKUP(
"*"&amp;LEFT(TRIM(CLEAN(B60)),50)&amp;"*",
HISTORICOS!F:F,
HISTORICOS!H:H,
"No encontrado",
2
),
"No encontrado"
)</f>
        <v>4498.2</v>
      </c>
      <c r="R60" s="109">
        <f>IFERROR(
_xlfn.XLOOKUP(
"*"&amp;LEFT(TRIM(CLEAN(B60)),100)&amp;"*",
HISTORICOS!K:K,
HISTORICOS!M:M,
"No encontrado",
2
),
"No encontrado"
)</f>
        <v>4760</v>
      </c>
      <c r="S60" s="109">
        <f>IFERROR(
_xlfn.XLOOKUP("*"&amp;LEFT(TRIM(CLEAN(B60)),100)&amp;"*",HISTORICOS!P:P,HISTORICOS!R:R,"No encontrado",2),
IFERROR(
_xlfn.XLOOKUP("*"&amp;LEFT(TRIM(CLEAN(B60)),70)&amp;"*",HISTORICOS!P:P,HISTORICOS!R:R,"No encontrado",2),
IFERROR(
_xlfn.XLOOKUP("*"&amp;LEFT(TRIM(CLEAN(B60)),50)&amp;"*",HISTORICOS!P:P,HISTORICOS!R:R,"No encontrado",2),
IFERROR(
_xlfn.XLOOKUP("*"&amp;LEFT(TRIM(CLEAN(B60)),30)&amp;"*",HISTORICOS!P:P,HISTORICOS!R:R,"No encontrado",2),
IFERROR(
_xlfn.XLOOKUP("*"&amp;LEFT(TRIM(CLEAN(B60)),10)&amp;"*",HISTORICOS!P:P,HISTORICOS!R:R,"No encontrado",2),
"No encontrado"
)))))</f>
        <v>4760</v>
      </c>
      <c r="T60" s="109">
        <f t="shared" si="21"/>
        <v>1279.6060394304002</v>
      </c>
      <c r="U60" s="109">
        <f t="shared" si="16"/>
        <v>4973.5062263999989</v>
      </c>
      <c r="V60" s="109">
        <f t="shared" si="17"/>
        <v>5002.8223999999991</v>
      </c>
      <c r="W60" s="109">
        <f t="shared" si="18"/>
        <v>5057.0240000000003</v>
      </c>
      <c r="X60" s="123">
        <f t="shared" si="9"/>
        <v>0.45756910877186252</v>
      </c>
      <c r="Y60" s="124" t="str">
        <f t="shared" si="6"/>
        <v>Muy alto</v>
      </c>
      <c r="Z60" s="109">
        <f t="shared" si="7"/>
        <v>4988.164313199999</v>
      </c>
      <c r="AA60" s="109">
        <f t="shared" si="8"/>
        <v>3562.1504799356289</v>
      </c>
      <c r="AC60" s="229"/>
      <c r="AD60"/>
    </row>
    <row r="61" spans="1:30" ht="18" customHeight="1">
      <c r="A61" s="3">
        <v>51</v>
      </c>
      <c r="B61" s="330" t="s">
        <v>71</v>
      </c>
      <c r="C61" s="331"/>
      <c r="D61" s="331"/>
      <c r="E61" s="331"/>
      <c r="F61" s="332"/>
      <c r="G61" s="178" t="s">
        <v>54</v>
      </c>
      <c r="H61" s="44">
        <f>'BELPAPEL (2a COTIZACION) '!J65</f>
        <v>119327</v>
      </c>
      <c r="I61" s="181">
        <f>'GRUPO LOS LAGOS SAS'!J65</f>
        <v>47481</v>
      </c>
      <c r="J61" s="16">
        <f>'SUMICORP LTDA'!J65</f>
        <v>214200</v>
      </c>
      <c r="K61" s="16">
        <f>'TELEAMARKETER (2a COTIZACION)'!J65</f>
        <v>35224</v>
      </c>
      <c r="L61" s="49">
        <f t="shared" si="19"/>
        <v>0.79058601667353823</v>
      </c>
      <c r="M61" s="50" t="str">
        <f t="shared" si="5"/>
        <v>Muy alto</v>
      </c>
      <c r="N61" s="51">
        <f t="shared" si="20"/>
        <v>83404</v>
      </c>
      <c r="P61" s="109">
        <f>HISTORICOS!D49</f>
        <v>47364</v>
      </c>
      <c r="Q61" s="109">
        <f>IFERROR(
_xlfn.XLOOKUP(
"*"&amp;LEFT(TRIM(CLEAN(B61)),50)&amp;"*",
HISTORICOS!F:F,
HISTORICOS!H:H,
"No encontrado",
2
),
"No encontrado"
)</f>
        <v>27417.599999999999</v>
      </c>
      <c r="R61" s="109">
        <f>IFERROR(
_xlfn.XLOOKUP(
"*"&amp;LEFT(TRIM(CLEAN(B61)),100)&amp;"*",
HISTORICOS!K:K,
HISTORICOS!M:M,
"No encontrado",
2
),
"No encontrado"
)</f>
        <v>29750</v>
      </c>
      <c r="S61" s="109">
        <f>IFERROR(
_xlfn.XLOOKUP("*"&amp;LEFT(TRIM(CLEAN(B61)),100)&amp;"*",HISTORICOS!P:P,HISTORICOS!R:R,"No encontrado",2),
IFERROR(
_xlfn.XLOOKUP("*"&amp;LEFT(TRIM(CLEAN(B61)),70)&amp;"*",HISTORICOS!P:P,HISTORICOS!R:R,"No encontrado",2),
IFERROR(
_xlfn.XLOOKUP("*"&amp;LEFT(TRIM(CLEAN(B61)),50)&amp;"*",HISTORICOS!P:P,HISTORICOS!R:R,"No encontrado",2),
IFERROR(
_xlfn.XLOOKUP("*"&amp;LEFT(TRIM(CLEAN(B61)),30)&amp;"*",HISTORICOS!P:P,HISTORICOS!R:R,"No encontrado",2),
IFERROR(
_xlfn.XLOOKUP("*"&amp;LEFT(TRIM(CLEAN(B61)),10)&amp;"*",HISTORICOS!P:P,HISTORICOS!R:R,"No encontrado",2),
"No encontrado"
)))))</f>
        <v>29750</v>
      </c>
      <c r="T61" s="109">
        <f t="shared" si="21"/>
        <v>57227.923531238404</v>
      </c>
      <c r="U61" s="109">
        <f t="shared" si="16"/>
        <v>30314.386675199999</v>
      </c>
      <c r="V61" s="109">
        <f t="shared" si="17"/>
        <v>31267.312399999995</v>
      </c>
      <c r="W61" s="109">
        <f t="shared" si="18"/>
        <v>31606.400000000001</v>
      </c>
      <c r="X61" s="123">
        <f t="shared" si="9"/>
        <v>0.34820864958636599</v>
      </c>
      <c r="Y61" s="124" t="str">
        <f t="shared" si="6"/>
        <v>Muy alto</v>
      </c>
      <c r="Z61" s="109">
        <f t="shared" si="7"/>
        <v>31436.856199999998</v>
      </c>
      <c r="AA61" s="109">
        <f t="shared" si="8"/>
        <v>36185.167704521562</v>
      </c>
      <c r="AC61" s="229"/>
      <c r="AD61"/>
    </row>
    <row r="62" spans="1:30" ht="27" customHeight="1">
      <c r="A62" s="3">
        <v>52</v>
      </c>
      <c r="B62" s="330" t="s">
        <v>614</v>
      </c>
      <c r="C62" s="334"/>
      <c r="D62" s="334"/>
      <c r="E62" s="334"/>
      <c r="F62" s="335"/>
      <c r="G62" s="178" t="s">
        <v>72</v>
      </c>
      <c r="H62" s="44">
        <f>'BELPAPEL (2a COTIZACION) '!J66</f>
        <v>1175</v>
      </c>
      <c r="I62" s="181">
        <f>'GRUPO LOS LAGOS SAS'!J66</f>
        <v>2261</v>
      </c>
      <c r="J62" s="16">
        <f>'SUMICORP LTDA'!J66</f>
        <v>3332</v>
      </c>
      <c r="K62" s="16">
        <f>'TELEAMARKETER (2a COTIZACION)'!J66</f>
        <v>4522</v>
      </c>
      <c r="L62" s="49">
        <f t="shared" si="19"/>
        <v>0.50840440329034142</v>
      </c>
      <c r="M62" s="50" t="str">
        <f t="shared" si="5"/>
        <v>Muy alto</v>
      </c>
      <c r="N62" s="51">
        <f t="shared" si="20"/>
        <v>2796.5</v>
      </c>
      <c r="P62" s="109">
        <f>HISTORICOS!D50</f>
        <v>1265</v>
      </c>
      <c r="Q62" s="109">
        <f>IFERROR(
_xlfn.XLOOKUP(
"*"&amp;LEFT(TRIM(CLEAN(B62)),50)&amp;"*",
HISTORICOS!F:F,
HISTORICOS!H:H,
"No encontrado",
2
),
"No encontrado"
)</f>
        <v>1428</v>
      </c>
      <c r="R62" s="109">
        <f>IFERROR(
_xlfn.XLOOKUP(
"*"&amp;LEFT(TRIM(CLEAN(B62)),10)&amp;"*",
HISTORICOS!K:K,
HISTORICOS!M:M,
"No encontrado",
2
),
"No encontrado"
)</f>
        <v>1785</v>
      </c>
      <c r="S62" s="109">
        <f>IFERROR(
_xlfn.XLOOKUP("*"&amp;LEFT(TRIM(CLEAN(B62)),50)&amp;"*",HISTORICOS!P:P,HISTORICOS!R:R,"No encontrado",2),
IFERROR(
_xlfn.XLOOKUP("*"&amp;LEFT(TRIM(CLEAN(B62)),40)&amp;"*",HISTORICOS!P:P,HISTORICOS!R:R,"No encontrado",2),
IFERROR(
_xlfn.XLOOKUP("*"&amp;LEFT(TRIM(CLEAN(B62)),30)&amp;"*",HISTORICOS!P:P,HISTORICOS!R:R,"No encontrado",2),
IFERROR(
_xlfn.XLOOKUP("*"&amp;LEFT(TRIM(CLEAN(B62)),20)&amp;"*",HISTORICOS!P:P,HISTORICOS!R:R,"No encontrado",2),
IFERROR(
_xlfn.XLOOKUP("*"&amp;LEFT(TRIM(CLEAN(B62)),10)&amp;"*",HISTORICOS!P:P,HISTORICOS!R:R,"No encontrado",2),
"No encontrado"
)))))</f>
        <v>1785</v>
      </c>
      <c r="T62" s="109">
        <f t="shared" si="21"/>
        <v>1528.506879584</v>
      </c>
      <c r="U62" s="109">
        <f t="shared" si="16"/>
        <v>1578.933456</v>
      </c>
      <c r="V62" s="109">
        <f t="shared" si="17"/>
        <v>1876.0973999999999</v>
      </c>
      <c r="W62" s="109">
        <f t="shared" si="18"/>
        <v>1896.384</v>
      </c>
      <c r="X62" s="123">
        <f t="shared" si="9"/>
        <v>0.11236114885038577</v>
      </c>
      <c r="Y62" s="124" t="str">
        <f t="shared" si="6"/>
        <v>Bajo</v>
      </c>
      <c r="Z62" s="109">
        <f t="shared" si="7"/>
        <v>1727.5154279999999</v>
      </c>
      <c r="AA62" s="109">
        <f t="shared" si="8"/>
        <v>1711.8007890506478</v>
      </c>
      <c r="AC62" s="229"/>
      <c r="AD62"/>
    </row>
    <row r="63" spans="1:30" ht="18" customHeight="1">
      <c r="A63" s="3">
        <v>53</v>
      </c>
      <c r="B63" s="330" t="s">
        <v>73</v>
      </c>
      <c r="C63" s="331"/>
      <c r="D63" s="331"/>
      <c r="E63" s="331"/>
      <c r="F63" s="332"/>
      <c r="G63" s="178" t="s">
        <v>19</v>
      </c>
      <c r="H63" s="44">
        <f>'BELPAPEL (2a COTIZACION) '!J67</f>
        <v>82779</v>
      </c>
      <c r="I63" s="181">
        <f>'GRUPO LOS LAGOS SAS'!J67</f>
        <v>94010</v>
      </c>
      <c r="J63" s="16">
        <f>'SUMICORP LTDA'!J67</f>
        <v>154700</v>
      </c>
      <c r="K63" s="16">
        <f>'TELEAMARKETER (2a COTIZACION)'!J67</f>
        <v>94010</v>
      </c>
      <c r="L63" s="49">
        <f t="shared" si="19"/>
        <v>0.30692394170219456</v>
      </c>
      <c r="M63" s="50" t="str">
        <f t="shared" si="5"/>
        <v>Muy alto</v>
      </c>
      <c r="N63" s="51">
        <f t="shared" si="20"/>
        <v>94010</v>
      </c>
      <c r="P63" s="109">
        <f>IFERROR(
_xlfn.XLOOKUP(
"*"&amp;MID(B63,FIND(" ",B63&amp;" ")+1,FIND(" ",B63&amp;" ",FIND(" ",B63&amp;" ")+1)-FIND(" ",B63&amp;" ")-1)&amp;"*",
HISTORICOS!B:B,
HISTORICOS!D:D,
"No encontrado",
2
),
"No encontrado"
)</f>
        <v>48442</v>
      </c>
      <c r="Q63" s="109">
        <f>IFERROR(
_xlfn.XLOOKUP(
"*"&amp;LEFT(TRIM(CLEAN(B63)),50)&amp;"*",
HISTORICOS!F:F,
HISTORICOS!H:H,
"No encontrado",
2
),
"No encontrado"
)</f>
        <v>38942.75</v>
      </c>
      <c r="R63" s="109">
        <f>IFERROR(
_xlfn.XLOOKUP(
"*"&amp;LEFT(TRIM(CLEAN(B63)),100)&amp;"*",
HISTORICOS!K:K,
HISTORICOS!M:M,
"No encontrado",
2
),
"No encontrado"
)</f>
        <v>14280</v>
      </c>
      <c r="S63" s="109">
        <f>IFERROR(
_xlfn.XLOOKUP("*"&amp;LEFT(TRIM(CLEAN(B63)),100)&amp;"*",HISTORICOS!P:P,HISTORICOS!R:R,"No encontrado",2),
IFERROR(
_xlfn.XLOOKUP("*"&amp;LEFT(TRIM(CLEAN(B63)),70)&amp;"*",HISTORICOS!P:P,HISTORICOS!R:R,"No encontrado",2),
IFERROR(
_xlfn.XLOOKUP("*"&amp;LEFT(TRIM(CLEAN(B63)),50)&amp;"*",HISTORICOS!P:P,HISTORICOS!R:R,"No encontrado",2),
IFERROR(
_xlfn.XLOOKUP("*"&amp;LEFT(TRIM(CLEAN(B63)),30)&amp;"*",HISTORICOS!P:P,HISTORICOS!R:R,"No encontrado",2),
IFERROR(
_xlfn.XLOOKUP("*"&amp;LEFT(TRIM(CLEAN(B63)),10)&amp;"*",HISTORICOS!P:P,HISTORICOS!R:R,"No encontrado",2),
"No encontrado"
)))))</f>
        <v>14280</v>
      </c>
      <c r="T63" s="109">
        <f t="shared" si="21"/>
        <v>58530.424044275205</v>
      </c>
      <c r="U63" s="109">
        <f t="shared" si="16"/>
        <v>43057.191823000001</v>
      </c>
      <c r="V63" s="109">
        <f t="shared" si="17"/>
        <v>15008.3424</v>
      </c>
      <c r="W63" s="109">
        <f t="shared" si="18"/>
        <v>15171.072</v>
      </c>
      <c r="X63" s="123">
        <f t="shared" si="9"/>
        <v>0.65448979387601092</v>
      </c>
      <c r="Y63" s="124" t="str">
        <f t="shared" si="6"/>
        <v>Muy alto</v>
      </c>
      <c r="Z63" s="109">
        <f t="shared" si="7"/>
        <v>29114.131911500001</v>
      </c>
      <c r="AA63" s="109">
        <f t="shared" si="8"/>
        <v>27522.893697398798</v>
      </c>
      <c r="AC63" s="229"/>
      <c r="AD63"/>
    </row>
    <row r="64" spans="1:30" ht="42" customHeight="1">
      <c r="A64" s="4">
        <v>54</v>
      </c>
      <c r="B64" s="330" t="s">
        <v>74</v>
      </c>
      <c r="C64" s="331"/>
      <c r="D64" s="331"/>
      <c r="E64" s="331"/>
      <c r="F64" s="332"/>
      <c r="G64" s="179" t="s">
        <v>56</v>
      </c>
      <c r="H64" s="44">
        <f>'BELPAPEL (2a COTIZACION) '!J68</f>
        <v>3780</v>
      </c>
      <c r="I64" s="181">
        <f>'GRUPO LOS LAGOS SAS'!J68</f>
        <v>5500</v>
      </c>
      <c r="J64" s="16">
        <f>'SUMICORP LTDA'!J68</f>
        <v>14900</v>
      </c>
      <c r="K64" s="16">
        <f>'TELEAMARKETER (2a COTIZACION)'!J68</f>
        <v>41650</v>
      </c>
      <c r="L64" s="49">
        <f t="shared" si="19"/>
        <v>1.0628377369909621</v>
      </c>
      <c r="M64" s="50" t="str">
        <f t="shared" si="5"/>
        <v>Muy alto</v>
      </c>
      <c r="N64" s="51">
        <f t="shared" si="20"/>
        <v>10200</v>
      </c>
      <c r="P64" s="109">
        <f>IFERROR(
_xlfn.XLOOKUP(
"*"&amp;LEFT(B64,35)&amp;"*",
HISTORICOS!B:B,
HISTORICOS!D:D,
"No encontrado",
2
),
"No encontrado"
)</f>
        <v>6415</v>
      </c>
      <c r="Q64" s="109">
        <f>IFERROR(
_xlfn.XLOOKUP(
"*"&amp;LEFT(TRIM(CLEAN(B64)),50)&amp;"*",
HISTORICOS!F:F,
HISTORICOS!H:H,
"No encontrado",
2
),
"No encontrado"
)</f>
        <v>5400</v>
      </c>
      <c r="R64" s="109">
        <f>IFERROR(
_xlfn.XLOOKUP(
"*"&amp;LEFT(TRIM(CLEAN(B64)),10)&amp;"*",
HISTORICOS!K:K,
HISTORICOS!M:M,
"No encontrado",
2
),
"No encontrado"
)</f>
        <v>6000</v>
      </c>
      <c r="S64" s="109">
        <f>IFERROR(
_xlfn.XLOOKUP("*"&amp;LEFT(TRIM(CLEAN(B64)),50)&amp;"*",HISTORICOS!P:P,HISTORICOS!R:R,"No encontrado",2),
IFERROR(
_xlfn.XLOOKUP("*"&amp;LEFT(TRIM(CLEAN(B64)),40)&amp;"*",HISTORICOS!P:P,HISTORICOS!R:R,"No encontrado",2),
IFERROR(
_xlfn.XLOOKUP("*"&amp;LEFT(TRIM(CLEAN(B64)),30)&amp;"*",HISTORICOS!P:P,HISTORICOS!R:R,"No encontrado",2),
IFERROR(
_xlfn.XLOOKUP("*"&amp;LEFT(TRIM(CLEAN(B64)),20)&amp;"*",HISTORICOS!P:P,HISTORICOS!R:R,"No encontrado",2),
IFERROR(
_xlfn.XLOOKUP("*"&amp;LEFT(TRIM(CLEAN(B64)),10)&amp;"*",HISTORICOS!P:P,HISTORICOS!R:R,"No encontrado",2),
"No encontrado"
)))))</f>
        <v>6000</v>
      </c>
      <c r="T64" s="109">
        <f t="shared" si="21"/>
        <v>7751.0278834239998</v>
      </c>
      <c r="U64" s="109">
        <f t="shared" si="16"/>
        <v>5970.5832</v>
      </c>
      <c r="V64" s="109">
        <f t="shared" si="17"/>
        <v>6306.0623999999998</v>
      </c>
      <c r="W64" s="109">
        <f t="shared" si="18"/>
        <v>6374.4</v>
      </c>
      <c r="X64" s="123">
        <f t="shared" si="9"/>
        <v>0.11924003114369518</v>
      </c>
      <c r="Y64" s="124" t="str">
        <f t="shared" si="6"/>
        <v>Bajo</v>
      </c>
      <c r="Z64" s="109">
        <f t="shared" si="7"/>
        <v>6340.2312000000002</v>
      </c>
      <c r="AA64" s="109">
        <f t="shared" si="8"/>
        <v>6567.3990760900851</v>
      </c>
      <c r="AC64" s="229"/>
      <c r="AD64"/>
    </row>
    <row r="65" spans="1:30" ht="40.5" customHeight="1">
      <c r="A65" s="4">
        <v>55</v>
      </c>
      <c r="B65" s="330" t="s">
        <v>75</v>
      </c>
      <c r="C65" s="331"/>
      <c r="D65" s="331"/>
      <c r="E65" s="331"/>
      <c r="F65" s="332"/>
      <c r="G65" s="179" t="s">
        <v>56</v>
      </c>
      <c r="H65" s="44">
        <f>'BELPAPEL (2a COTIZACION) '!J69</f>
        <v>4111</v>
      </c>
      <c r="I65" s="181">
        <f>'GRUPO LOS LAGOS SAS'!J69</f>
        <v>6500</v>
      </c>
      <c r="J65" s="16">
        <f>'SUMICORP LTDA'!J69</f>
        <v>14500</v>
      </c>
      <c r="K65" s="16">
        <f>'TELEAMARKETER (2a COTIZACION)'!J69</f>
        <v>35700</v>
      </c>
      <c r="L65" s="49">
        <f t="shared" si="19"/>
        <v>0.94515139285764183</v>
      </c>
      <c r="M65" s="50" t="str">
        <f t="shared" si="5"/>
        <v>Muy alto</v>
      </c>
      <c r="N65" s="51">
        <f t="shared" si="20"/>
        <v>10500</v>
      </c>
      <c r="P65" s="109">
        <f>IFERROR(
_xlfn.XLOOKUP(
"*"&amp;LEFT(B65,70)&amp;"*",
HISTORICOS!B:B,
HISTORICOS!D:D,
"No encontrado",
2
),
"No encontrado"
)</f>
        <v>3581</v>
      </c>
      <c r="Q65" s="109">
        <f>IFERROR(
_xlfn.XLOOKUP(
"*"&amp;LEFT(TRIM(CLEAN(B65)),70)&amp;"*",
HISTORICOS!F:F,
HISTORICOS!H:H,
"No encontrado",
2
),
"No encontrado"
)</f>
        <v>7200</v>
      </c>
      <c r="R65" s="109">
        <f>IFERROR(
_xlfn.XLOOKUP(
"*"&amp;LEFT(TRIM(CLEAN(B65)),100)&amp;"*",
HISTORICOS!K:K,
HISTORICOS!M:M,
"No encontrado",
2
),
"No encontrado"
)</f>
        <v>5405</v>
      </c>
      <c r="S65" s="109">
        <f>IFERROR(
_xlfn.XLOOKUP("*"&amp;LEFT(TRIM(CLEAN(B65)),100)&amp;"*",HISTORICOS!P:P,HISTORICOS!R:R,"No encontrado",2),
IFERROR(
_xlfn.XLOOKUP("*"&amp;LEFT(TRIM(CLEAN(B65)),70)&amp;"*",HISTORICOS!P:P,HISTORICOS!R:R,"No encontrado",2),
IFERROR(
_xlfn.XLOOKUP("*"&amp;LEFT(TRIM(CLEAN(B65)),50)&amp;"*",HISTORICOS!P:P,HISTORICOS!R:R,"No encontrado",2),
IFERROR(
_xlfn.XLOOKUP("*"&amp;LEFT(TRIM(CLEAN(B65)),30)&amp;"*",HISTORICOS!P:P,HISTORICOS!R:R,"No encontrado",2),
IFERROR(
_xlfn.XLOOKUP("*"&amp;LEFT(TRIM(CLEAN(B65)),10)&amp;"*",HISTORICOS!P:P,HISTORICOS!R:R,"No encontrado",2),
"No encontrado"
)))))</f>
        <v>5405</v>
      </c>
      <c r="T65" s="109">
        <f t="shared" si="21"/>
        <v>4326.8289465535991</v>
      </c>
      <c r="U65" s="109">
        <f t="shared" si="16"/>
        <v>7960.7568000000001</v>
      </c>
      <c r="V65" s="109">
        <f t="shared" si="17"/>
        <v>5680.7173999999995</v>
      </c>
      <c r="W65" s="109">
        <f t="shared" si="18"/>
        <v>5742.2719999999999</v>
      </c>
      <c r="X65" s="123">
        <f t="shared" si="9"/>
        <v>0.25382820143072499</v>
      </c>
      <c r="Y65" s="124" t="str">
        <f t="shared" si="6"/>
        <v>Muy alto</v>
      </c>
      <c r="Z65" s="109">
        <f t="shared" si="7"/>
        <v>5711.4946999999993</v>
      </c>
      <c r="AA65" s="109">
        <f t="shared" si="8"/>
        <v>5789.6559562512757</v>
      </c>
      <c r="AC65" s="229"/>
      <c r="AD65"/>
    </row>
    <row r="66" spans="1:30" ht="18" customHeight="1">
      <c r="A66" s="3">
        <v>56</v>
      </c>
      <c r="B66" s="330" t="s">
        <v>76</v>
      </c>
      <c r="C66" s="331"/>
      <c r="D66" s="331"/>
      <c r="E66" s="331"/>
      <c r="F66" s="332"/>
      <c r="G66" s="178" t="s">
        <v>77</v>
      </c>
      <c r="H66" s="44">
        <f>'BELPAPEL (2a COTIZACION) '!J70</f>
        <v>16443</v>
      </c>
      <c r="I66" s="181">
        <f>'GRUPO LOS LAGOS SAS'!J70</f>
        <v>19040</v>
      </c>
      <c r="J66" s="16">
        <f>'SUMICORP LTDA'!J70</f>
        <v>24990</v>
      </c>
      <c r="K66" s="16">
        <f>'TELEAMARKETER (2a COTIZACION)'!J70</f>
        <v>40698</v>
      </c>
      <c r="L66" s="49">
        <f t="shared" si="19"/>
        <v>0.42998417545245204</v>
      </c>
      <c r="M66" s="50" t="str">
        <f t="shared" si="5"/>
        <v>Muy alto</v>
      </c>
      <c r="N66" s="51">
        <f t="shared" si="20"/>
        <v>22015</v>
      </c>
      <c r="P66" s="109" t="s">
        <v>576</v>
      </c>
      <c r="Q66" s="109">
        <f>IFERROR(
_xlfn.XLOOKUP(
"*"&amp;LEFT(TRIM(CLEAN(B66)),70)&amp;"*",
HISTORICOS!F:F,
HISTORICOS!H:H,
"No encontrado",
2
),
"No encontrado"
)</f>
        <v>14013.44</v>
      </c>
      <c r="R66" s="109">
        <f>IFERROR(
_xlfn.XLOOKUP(
"*"&amp;LEFT(TRIM(CLEAN(B66)),100)&amp;"*",
HISTORICOS!K:K,
HISTORICOS!M:M,
"No encontrado",
2
),
"No encontrado"
)</f>
        <v>17850</v>
      </c>
      <c r="S66" s="109">
        <f>IFERROR(
_xlfn.XLOOKUP("*"&amp;LEFT(TRIM(CLEAN(B66)),100)&amp;"*",HISTORICOS!P:P,HISTORICOS!R:R,"No encontrado",2),
IFERROR(
_xlfn.XLOOKUP("*"&amp;LEFT(TRIM(CLEAN(B66)),70)&amp;"*",HISTORICOS!P:P,HISTORICOS!R:R,"No encontrado",2),
IFERROR(
_xlfn.XLOOKUP("*"&amp;LEFT(TRIM(CLEAN(B66)),50)&amp;"*",HISTORICOS!P:P,HISTORICOS!R:R,"No encontrado",2),
IFERROR(
_xlfn.XLOOKUP("*"&amp;LEFT(TRIM(CLEAN(B66)),30)&amp;"*",HISTORICOS!P:P,HISTORICOS!R:R,"No encontrado",2),
IFERROR(
_xlfn.XLOOKUP("*"&amp;LEFT(TRIM(CLEAN(B66)),10)&amp;"*",HISTORICOS!P:P,HISTORICOS!R:R,"No encontrado",2),
"No encontrado"
)))))</f>
        <v>17850</v>
      </c>
      <c r="T66" s="109" t="s">
        <v>576</v>
      </c>
      <c r="U66" s="109">
        <f t="shared" si="16"/>
        <v>15494.05036288</v>
      </c>
      <c r="V66" s="109">
        <f t="shared" si="17"/>
        <v>18760.412399999997</v>
      </c>
      <c r="W66" s="109">
        <f t="shared" si="18"/>
        <v>18963.84</v>
      </c>
      <c r="X66" s="123">
        <f t="shared" si="9"/>
        <v>0.10976775307186878</v>
      </c>
      <c r="Y66" s="124" t="str">
        <f t="shared" si="6"/>
        <v>Bajo</v>
      </c>
      <c r="Z66" s="109">
        <f t="shared" si="7"/>
        <v>18760.412399999997</v>
      </c>
      <c r="AA66" s="109">
        <f t="shared" si="8"/>
        <v>17664.901043844136</v>
      </c>
      <c r="AC66" s="229"/>
      <c r="AD66"/>
    </row>
    <row r="67" spans="1:30" ht="18" customHeight="1">
      <c r="A67" s="3">
        <v>57</v>
      </c>
      <c r="B67" s="330" t="s">
        <v>78</v>
      </c>
      <c r="C67" s="331"/>
      <c r="D67" s="331"/>
      <c r="E67" s="331"/>
      <c r="F67" s="332"/>
      <c r="G67" s="178" t="s">
        <v>77</v>
      </c>
      <c r="H67" s="44">
        <f>'BELPAPEL (2a COTIZACION) '!J71</f>
        <v>16493</v>
      </c>
      <c r="I67" s="181">
        <f>'GRUPO LOS LAGOS SAS'!J71</f>
        <v>19040</v>
      </c>
      <c r="J67" s="16">
        <f>'SUMICORP LTDA'!J71</f>
        <v>24990</v>
      </c>
      <c r="K67" s="16">
        <f>'TELEAMARKETER (2a COTIZACION)'!J71</f>
        <v>45934</v>
      </c>
      <c r="L67" s="49">
        <f t="shared" si="19"/>
        <v>0.50209502738614398</v>
      </c>
      <c r="M67" s="50" t="str">
        <f t="shared" si="5"/>
        <v>Muy alto</v>
      </c>
      <c r="N67" s="51">
        <f t="shared" si="20"/>
        <v>22015</v>
      </c>
      <c r="P67" s="109">
        <f>IFERROR(
_xlfn.XLOOKUP(
"*"&amp;LEFT(B67,70)&amp;"*",
HISTORICOS!B:B,
HISTORICOS!D:D,
"No encontrado",
2
),
"No encontrado"
)</f>
        <v>1817</v>
      </c>
      <c r="Q67" s="109">
        <f>IFERROR(
_xlfn.XLOOKUP(
"*"&amp;LEFT(TRIM(CLEAN(B67)),10)&amp;"*",
HISTORICOS!F:F,
HISTORICOS!H:H,
"No encontrado",
2
),
"No encontrado"
)</f>
        <v>14013.44</v>
      </c>
      <c r="R67" s="109">
        <f>IFERROR(
_xlfn.XLOOKUP(
"*"&amp;LEFT(TRIM(CLEAN(B67)),100)&amp;"*",
HISTORICOS!K:K,
HISTORICOS!M:M,
"No encontrado",
2
),
"No encontrado"
)</f>
        <v>20230</v>
      </c>
      <c r="S67" s="109">
        <f>IFERROR(
_xlfn.XLOOKUP("*"&amp;LEFT(TRIM(CLEAN(B67)),100)&amp;"*",HISTORICOS!P:P,HISTORICOS!R:R,"No encontrado",2),
IFERROR(
_xlfn.XLOOKUP("*"&amp;LEFT(TRIM(CLEAN(B67)),70)&amp;"*",HISTORICOS!P:P,HISTORICOS!R:R,"No encontrado",2),
IFERROR(
_xlfn.XLOOKUP("*"&amp;LEFT(TRIM(CLEAN(B67)),50)&amp;"*",HISTORICOS!P:P,HISTORICOS!R:R,"No encontrado",2),
IFERROR(
_xlfn.XLOOKUP("*"&amp;LEFT(TRIM(CLEAN(B67)),30)&amp;"*",HISTORICOS!P:P,HISTORICOS!R:R,"No encontrado",2),
IFERROR(
_xlfn.XLOOKUP("*"&amp;LEFT(TRIM(CLEAN(B67)),10)&amp;"*",HISTORICOS!P:P,HISTORICOS!R:R,"No encontrado",2),
"No encontrado"
)))))</f>
        <v>20230</v>
      </c>
      <c r="T67" s="109">
        <f>P67*(1+$Q$4)*(1+$R$4)*(1+$S$4)*1+($T$4)</f>
        <v>2195.4644706751997</v>
      </c>
      <c r="U67" s="109">
        <f t="shared" si="16"/>
        <v>15494.05036288</v>
      </c>
      <c r="V67" s="109">
        <f t="shared" si="17"/>
        <v>21261.792399999998</v>
      </c>
      <c r="W67" s="109">
        <f t="shared" si="18"/>
        <v>21492.351999999999</v>
      </c>
      <c r="X67" s="123">
        <f t="shared" si="9"/>
        <v>0.59866614602637946</v>
      </c>
      <c r="Y67" s="124" t="str">
        <f t="shared" si="6"/>
        <v>Muy alto</v>
      </c>
      <c r="Z67" s="109">
        <f t="shared" si="7"/>
        <v>18377.921381439999</v>
      </c>
      <c r="AA67" s="109">
        <f t="shared" si="8"/>
        <v>11165.901661646607</v>
      </c>
      <c r="AC67" s="229"/>
      <c r="AD67"/>
    </row>
    <row r="68" spans="1:30" ht="18" customHeight="1">
      <c r="A68" s="3">
        <v>58</v>
      </c>
      <c r="B68" s="330" t="s">
        <v>79</v>
      </c>
      <c r="C68" s="331"/>
      <c r="D68" s="331"/>
      <c r="E68" s="331"/>
      <c r="F68" s="332"/>
      <c r="G68" s="178" t="s">
        <v>77</v>
      </c>
      <c r="H68" s="44">
        <f>'BELPAPEL (2a COTIZACION) '!J72</f>
        <v>19430</v>
      </c>
      <c r="I68" s="181">
        <f>'GRUPO LOS LAGOS SAS'!J72</f>
        <v>18445</v>
      </c>
      <c r="J68" s="16">
        <f>'SUMICORP LTDA'!J72</f>
        <v>35105</v>
      </c>
      <c r="K68" s="16">
        <f>'TELEAMARKETER (2a COTIZACION)'!J72</f>
        <v>57715</v>
      </c>
      <c r="L68" s="49">
        <f t="shared" si="19"/>
        <v>0.5617968856719312</v>
      </c>
      <c r="M68" s="50" t="str">
        <f t="shared" si="5"/>
        <v>Muy alto</v>
      </c>
      <c r="N68" s="51">
        <f t="shared" si="20"/>
        <v>27267.5</v>
      </c>
      <c r="P68" s="109" cm="1">
        <f t="array" ref="P68">IFERROR(
INDEX(HISTORICOS!D$3:D$994,
MATCH(
TRUE,
ISNUMBER(SEARCH(MID(B68,ROW($1:$100),30),HISTORICOS!B$3:B$994)),
0
)
),
"No encontrado"
)</f>
        <v>8404</v>
      </c>
      <c r="Q68" s="109">
        <f>IFERROR(
_xlfn.XLOOKUP(
"*"&amp;LEFT(TRIM(CLEAN(B68)),70)&amp;"*",
HISTORICOS!F:F,
HISTORICOS!H:H,
"No encontrado",
2
),
"No encontrado"
)</f>
        <v>12642.56</v>
      </c>
      <c r="R68" s="109">
        <f>IFERROR(
_xlfn.XLOOKUP(
"*"&amp;LEFT(TRIM(CLEAN(B68)),100)&amp;"*",
HISTORICOS!K:K,
HISTORICOS!M:M,
"No encontrado",
2
),
"No encontrado"
)</f>
        <v>13090</v>
      </c>
      <c r="S68" s="109">
        <f>IFERROR(
_xlfn.XLOOKUP("*"&amp;LEFT(TRIM(CLEAN(B68)),100)&amp;"*",HISTORICOS!P:P,HISTORICOS!R:R,"No encontrado",2),
IFERROR(
_xlfn.XLOOKUP("*"&amp;LEFT(TRIM(CLEAN(B68)),70)&amp;"*",HISTORICOS!P:P,HISTORICOS!R:R,"No encontrado",2),
IFERROR(
_xlfn.XLOOKUP("*"&amp;LEFT(TRIM(CLEAN(B68)),50)&amp;"*",HISTORICOS!P:P,HISTORICOS!R:R,"No encontrado",2),
IFERROR(
_xlfn.XLOOKUP("*"&amp;LEFT(TRIM(CLEAN(B68)),30)&amp;"*",HISTORICOS!P:P,HISTORICOS!R:R,"No encontrado",2),
IFERROR(
_xlfn.XLOOKUP("*"&amp;LEFT(TRIM(CLEAN(B68)),10)&amp;"*",HISTORICOS!P:P,HISTORICOS!R:R,"No encontrado",2),
"No encontrado"
)))))</f>
        <v>13090</v>
      </c>
      <c r="T68" s="109">
        <f>P68*(1+$Q$4)*(1+$R$4)*(1+$S$4)*1+($T$4)</f>
        <v>10154.250073062401</v>
      </c>
      <c r="U68" s="109">
        <f t="shared" si="16"/>
        <v>13978.334149120001</v>
      </c>
      <c r="V68" s="109">
        <f t="shared" si="17"/>
        <v>13757.652399999999</v>
      </c>
      <c r="W68" s="109">
        <f t="shared" si="18"/>
        <v>13906.816000000001</v>
      </c>
      <c r="X68" s="123">
        <f t="shared" si="9"/>
        <v>0.14407063431978451</v>
      </c>
      <c r="Y68" s="124" t="str">
        <f t="shared" si="6"/>
        <v>Bajo</v>
      </c>
      <c r="Z68" s="109">
        <f t="shared" si="7"/>
        <v>13832.234199999999</v>
      </c>
      <c r="AA68" s="109">
        <f t="shared" si="8"/>
        <v>12837.156282185753</v>
      </c>
      <c r="AC68" s="229"/>
      <c r="AD68"/>
    </row>
    <row r="69" spans="1:30" ht="18" customHeight="1">
      <c r="A69" s="3">
        <v>59</v>
      </c>
      <c r="B69" s="330" t="s">
        <v>80</v>
      </c>
      <c r="C69" s="331"/>
      <c r="D69" s="331"/>
      <c r="E69" s="331"/>
      <c r="F69" s="332"/>
      <c r="G69" s="178" t="s">
        <v>77</v>
      </c>
      <c r="H69" s="44">
        <f>'BELPAPEL (2a COTIZACION) '!J73</f>
        <v>21429</v>
      </c>
      <c r="I69" s="181">
        <f>'GRUPO LOS LAGOS SAS'!J73</f>
        <v>18445</v>
      </c>
      <c r="J69" s="16">
        <f>'SUMICORP LTDA'!J73</f>
        <v>35105</v>
      </c>
      <c r="K69" s="16">
        <f>'TELEAMARKETER (2a COTIZACION)'!J73</f>
        <v>64141</v>
      </c>
      <c r="L69" s="49">
        <f t="shared" si="19"/>
        <v>0.60019173766798639</v>
      </c>
      <c r="M69" s="50" t="str">
        <f t="shared" si="5"/>
        <v>Muy alto</v>
      </c>
      <c r="N69" s="51">
        <f t="shared" si="20"/>
        <v>28267</v>
      </c>
      <c r="P69" s="109">
        <f>HISTORICOS!D59</f>
        <v>6778</v>
      </c>
      <c r="Q69" s="109">
        <f>IFERROR(
_xlfn.XLOOKUP(
"*"&amp;LEFT(TRIM(CLEAN(B69)),50)&amp;"*",
HISTORICOS!F:F,
HISTORICOS!H:H,
"No encontrado",
2
),
"No encontrado"
)</f>
        <v>12642.56</v>
      </c>
      <c r="R69" s="109">
        <f>IFERROR(
_xlfn.XLOOKUP(
"*"&amp;LEFT(TRIM(CLEAN(B69)),100)&amp;"*",
HISTORICOS!K:K,
HISTORICOS!M:M,
"No encontrado",
2
),
"No encontrado"
)</f>
        <v>13090</v>
      </c>
      <c r="S69" s="109">
        <f>IFERROR(
_xlfn.XLOOKUP("*"&amp;LEFT(TRIM(CLEAN(B69)),100)&amp;"*",HISTORICOS!P:P,HISTORICOS!R:R,"No encontrado",2),
IFERROR(
_xlfn.XLOOKUP("*"&amp;LEFT(TRIM(CLEAN(B69)),70)&amp;"*",HISTORICOS!P:P,HISTORICOS!R:R,"No encontrado",2),
IFERROR(
_xlfn.XLOOKUP("*"&amp;LEFT(TRIM(CLEAN(B69)),50)&amp;"*",HISTORICOS!P:P,HISTORICOS!R:R,"No encontrado",2),
IFERROR(
_xlfn.XLOOKUP("*"&amp;LEFT(TRIM(CLEAN(B69)),30)&amp;"*",HISTORICOS!P:P,HISTORICOS!R:R,"No encontrado",2),
IFERROR(
_xlfn.XLOOKUP("*"&amp;LEFT(TRIM(CLEAN(B69)),10)&amp;"*",HISTORICOS!P:P,HISTORICOS!R:R,"No encontrado",2),
"No encontrado"
)))))</f>
        <v>13090</v>
      </c>
      <c r="T69" s="109">
        <f>P69*(1+$Q$4)*(1+$R$4)*(1+$S$4)*1+($T$4)</f>
        <v>8189.6249949568</v>
      </c>
      <c r="U69" s="109">
        <f t="shared" si="16"/>
        <v>13978.334149120001</v>
      </c>
      <c r="V69" s="109">
        <f t="shared" si="17"/>
        <v>13757.652399999999</v>
      </c>
      <c r="W69" s="109">
        <f t="shared" si="18"/>
        <v>13906.816000000001</v>
      </c>
      <c r="X69" s="123">
        <f t="shared" si="9"/>
        <v>0.22853706800875645</v>
      </c>
      <c r="Y69" s="124" t="str">
        <f t="shared" si="6"/>
        <v>Alto</v>
      </c>
      <c r="Z69" s="109">
        <f t="shared" si="7"/>
        <v>13832.234199999999</v>
      </c>
      <c r="AA69" s="109">
        <f t="shared" si="8"/>
        <v>12165.301272961879</v>
      </c>
      <c r="AC69" s="229"/>
      <c r="AD69"/>
    </row>
    <row r="70" spans="1:30" ht="54" customHeight="1">
      <c r="A70" s="4">
        <v>60</v>
      </c>
      <c r="B70" s="330" t="s">
        <v>81</v>
      </c>
      <c r="C70" s="331"/>
      <c r="D70" s="331"/>
      <c r="E70" s="331"/>
      <c r="F70" s="332"/>
      <c r="G70" s="179" t="s">
        <v>77</v>
      </c>
      <c r="H70" s="44">
        <f>'BELPAPEL (2a COTIZACION) '!J74</f>
        <v>15981</v>
      </c>
      <c r="I70" s="181">
        <f>'GRUPO LOS LAGOS SAS'!J74</f>
        <v>17850</v>
      </c>
      <c r="J70" s="16">
        <f>'SUMICORP LTDA'!J74</f>
        <v>23800</v>
      </c>
      <c r="K70" s="16">
        <f>'TELEAMARKETER (2a COTIZACION)'!J74</f>
        <v>38318</v>
      </c>
      <c r="L70" s="49">
        <f t="shared" si="19"/>
        <v>0.42184145240636645</v>
      </c>
      <c r="M70" s="50" t="str">
        <f t="shared" si="5"/>
        <v>Muy alto</v>
      </c>
      <c r="N70" s="51">
        <f t="shared" si="20"/>
        <v>20825</v>
      </c>
      <c r="P70" s="109">
        <f>IFERROR(
_xlfn.XLOOKUP(
"*"&amp;LEFT(TRIM(CLEAN(SUBSTITUTE(B70,CHAR(10)," "))),35)&amp;"*",
HISTORICOS!B:B,
HISTORICOS!D:D,
"No encontrado",
2
),
"No encontrado"
)</f>
        <v>7985</v>
      </c>
      <c r="Q70" s="109">
        <f>IFERROR(
_xlfn.XLOOKUP(
"*"&amp;LEFT(TRIM(CLEAN(B70)),50)&amp;"*",
HISTORICOS!F:F,
HISTORICOS!H:H,
"No encontrado",
2
),
"No encontrado"
)</f>
        <v>12642.56</v>
      </c>
      <c r="R70" s="109">
        <f>IFERROR(
_xlfn.XLOOKUP(
"*"&amp;LEFT(TRIM(CLEAN(B70)),100)&amp;"*",
HISTORICOS!K:K,
HISTORICOS!M:M,
"No encontrado",
2
),
"No encontrado"
)</f>
        <v>14280</v>
      </c>
      <c r="S70" s="109">
        <f>IFERROR(
_xlfn.XLOOKUP("*"&amp;LEFT(TRIM(CLEAN(B70)),100)&amp;"*",HISTORICOS!P:P,HISTORICOS!R:R,"No encontrado",2),
IFERROR(
_xlfn.XLOOKUP("*"&amp;LEFT(TRIM(CLEAN(B70)),70)&amp;"*",HISTORICOS!P:P,HISTORICOS!R:R,"No encontrado",2),
IFERROR(
_xlfn.XLOOKUP("*"&amp;LEFT(TRIM(CLEAN(B70)),50)&amp;"*",HISTORICOS!P:P,HISTORICOS!R:R,"No encontrado",2),
IFERROR(
_xlfn.XLOOKUP("*"&amp;LEFT(TRIM(CLEAN(B70)),30)&amp;"*",HISTORICOS!P:P,HISTORICOS!R:R,"No encontrado",2),
IFERROR(
_xlfn.XLOOKUP("*"&amp;LEFT(TRIM(CLEAN(B70)),10)&amp;"*",HISTORICOS!P:P,HISTORICOS!R:R,"No encontrado",2),
"No encontrado"
)))))</f>
        <v>14280</v>
      </c>
      <c r="T70" s="109">
        <f>P70*(1+$Q$4)*(1+$R$4)*(1+$S$4)*1+($T$4)</f>
        <v>9647.9905972160013</v>
      </c>
      <c r="U70" s="109">
        <f t="shared" si="16"/>
        <v>13978.334149120001</v>
      </c>
      <c r="V70" s="109">
        <f t="shared" si="17"/>
        <v>15008.3424</v>
      </c>
      <c r="W70" s="109">
        <f t="shared" si="18"/>
        <v>15171.072</v>
      </c>
      <c r="X70" s="123">
        <f t="shared" si="9"/>
        <v>0.19254750157199654</v>
      </c>
      <c r="Y70" s="124" t="str">
        <f t="shared" si="6"/>
        <v>Moderado</v>
      </c>
      <c r="Z70" s="109">
        <f t="shared" si="7"/>
        <v>14493.338274559999</v>
      </c>
      <c r="AA70" s="109">
        <f t="shared" si="8"/>
        <v>13237.632557591936</v>
      </c>
      <c r="AC70" s="229"/>
      <c r="AD70"/>
    </row>
    <row r="71" spans="1:30" ht="18" customHeight="1">
      <c r="A71" s="3">
        <v>61</v>
      </c>
      <c r="B71" s="330" t="s">
        <v>82</v>
      </c>
      <c r="C71" s="331"/>
      <c r="D71" s="331"/>
      <c r="E71" s="331"/>
      <c r="F71" s="332"/>
      <c r="G71" s="178" t="s">
        <v>19</v>
      </c>
      <c r="H71" s="44">
        <f>'BELPAPEL (2a COTIZACION) '!J75</f>
        <v>22678</v>
      </c>
      <c r="I71" s="181">
        <f>'GRUPO LOS LAGOS SAS'!J75</f>
        <v>35581</v>
      </c>
      <c r="J71" s="16">
        <f>'SUMICORP LTDA'!J75</f>
        <v>42840</v>
      </c>
      <c r="K71" s="16">
        <f>'TELEAMARKETER (2a COTIZACION)'!J75</f>
        <v>38080</v>
      </c>
      <c r="L71" s="49">
        <f t="shared" si="19"/>
        <v>0.24776049161906524</v>
      </c>
      <c r="M71" s="50" t="str">
        <f t="shared" si="5"/>
        <v>Alto</v>
      </c>
      <c r="N71" s="51">
        <f t="shared" si="20"/>
        <v>36830.5</v>
      </c>
      <c r="P71" s="109" t="s">
        <v>576</v>
      </c>
      <c r="Q71" s="109">
        <f>IFERROR(
_xlfn.XLOOKUP(
"*"&amp;LEFT(TRIM(CLEAN(B71)),50)&amp;"*",
HISTORICOS!F:F,
HISTORICOS!H:H,
"No encontrado",
2
),
"No encontrado"
)</f>
        <v>20563.2</v>
      </c>
      <c r="R71" s="109">
        <f>IFERROR(
_xlfn.XLOOKUP(
"*"&amp;LEFT(TRIM(CLEAN(B71)),100)&amp;"*",
HISTORICOS!K:K,
HISTORICOS!M:M,
"No encontrado",
2
),
"No encontrado"
)</f>
        <v>21420</v>
      </c>
      <c r="S71" s="109">
        <f>IFERROR(
_xlfn.XLOOKUP("*"&amp;LEFT(TRIM(CLEAN(B71)),100)&amp;"*",HISTORICOS!P:P,HISTORICOS!R:R,"No encontrado",2),
IFERROR(
_xlfn.XLOOKUP("*"&amp;LEFT(TRIM(CLEAN(B71)),70)&amp;"*",HISTORICOS!P:P,HISTORICOS!R:R,"No encontrado",2),
IFERROR(
_xlfn.XLOOKUP("*"&amp;LEFT(TRIM(CLEAN(B71)),50)&amp;"*",HISTORICOS!P:P,HISTORICOS!R:R,"No encontrado",2),
IFERROR(
_xlfn.XLOOKUP("*"&amp;LEFT(TRIM(CLEAN(B71)),30)&amp;"*",HISTORICOS!P:P,HISTORICOS!R:R,"No encontrado",2),
IFERROR(
_xlfn.XLOOKUP("*"&amp;LEFT(TRIM(CLEAN(B71)),10)&amp;"*",HISTORICOS!P:P,HISTORICOS!R:R,"No encontrado",2),
"No encontrado"
)))))</f>
        <v>21420</v>
      </c>
      <c r="T71" s="109" t="s">
        <v>576</v>
      </c>
      <c r="U71" s="109">
        <f t="shared" si="16"/>
        <v>22735.805606399997</v>
      </c>
      <c r="V71" s="109">
        <f t="shared" si="17"/>
        <v>22512.482399999997</v>
      </c>
      <c r="W71" s="109">
        <f t="shared" si="18"/>
        <v>22756.608</v>
      </c>
      <c r="X71" s="123">
        <f t="shared" si="9"/>
        <v>5.9705016189497131E-3</v>
      </c>
      <c r="Y71" s="124" t="str">
        <f t="shared" si="6"/>
        <v>Bajo</v>
      </c>
      <c r="Z71" s="109">
        <f t="shared" si="7"/>
        <v>22735.805606399997</v>
      </c>
      <c r="AA71" s="109">
        <f t="shared" si="8"/>
        <v>22668.02871156688</v>
      </c>
      <c r="AC71" s="229"/>
      <c r="AD71"/>
    </row>
    <row r="72" spans="1:30" ht="18" customHeight="1">
      <c r="A72" s="3">
        <v>62</v>
      </c>
      <c r="B72" s="330" t="s">
        <v>83</v>
      </c>
      <c r="C72" s="331"/>
      <c r="D72" s="331"/>
      <c r="E72" s="331"/>
      <c r="F72" s="332"/>
      <c r="G72" s="178" t="s">
        <v>19</v>
      </c>
      <c r="H72" s="44">
        <f>'BELPAPEL (2a COTIZACION) '!J76</f>
        <v>31238</v>
      </c>
      <c r="I72" s="181">
        <f>'GRUPO LOS LAGOS SAS'!J76</f>
        <v>35581</v>
      </c>
      <c r="J72" s="16">
        <f>'SUMICORP LTDA'!J76</f>
        <v>57120</v>
      </c>
      <c r="K72" s="16">
        <f>'TELEAMARKETER (2a COTIZACION)'!J76</f>
        <v>49980</v>
      </c>
      <c r="L72" s="49">
        <f t="shared" si="19"/>
        <v>0.27871160088714436</v>
      </c>
      <c r="M72" s="50" t="str">
        <f t="shared" si="5"/>
        <v>Muy alto</v>
      </c>
      <c r="N72" s="51">
        <f t="shared" si="20"/>
        <v>42780.5</v>
      </c>
      <c r="P72" s="109" t="s">
        <v>576</v>
      </c>
      <c r="Q72" s="109" t="s">
        <v>576</v>
      </c>
      <c r="R72" s="109" t="s">
        <v>576</v>
      </c>
      <c r="S72" s="109" t="s">
        <v>576</v>
      </c>
      <c r="T72" s="109" t="s">
        <v>576</v>
      </c>
      <c r="U72" s="109" t="s">
        <v>576</v>
      </c>
      <c r="V72" s="109" t="s">
        <v>576</v>
      </c>
      <c r="W72" s="109" t="s">
        <v>576</v>
      </c>
      <c r="X72" s="211" t="s">
        <v>576</v>
      </c>
      <c r="Y72" s="211" t="s">
        <v>576</v>
      </c>
      <c r="Z72" s="109" t="s">
        <v>576</v>
      </c>
      <c r="AA72" s="109" t="s">
        <v>576</v>
      </c>
      <c r="AC72" s="229"/>
      <c r="AD72"/>
    </row>
    <row r="73" spans="1:30" ht="18" customHeight="1">
      <c r="A73" s="3">
        <v>63</v>
      </c>
      <c r="B73" s="330" t="s">
        <v>84</v>
      </c>
      <c r="C73" s="331"/>
      <c r="D73" s="331"/>
      <c r="E73" s="331"/>
      <c r="F73" s="332"/>
      <c r="G73" s="178" t="s">
        <v>19</v>
      </c>
      <c r="H73" s="44">
        <f>'BELPAPEL (2a COTIZACION) '!J77</f>
        <v>78469</v>
      </c>
      <c r="I73" s="181">
        <f>'GRUPO LOS LAGOS SAS'!J77</f>
        <v>47481</v>
      </c>
      <c r="J73" s="16">
        <f>'SUMICORP LTDA'!J77</f>
        <v>77350</v>
      </c>
      <c r="K73" s="16">
        <f>'TELEAMARKETER (2a COTIZACION)'!J77</f>
        <v>61880</v>
      </c>
      <c r="L73" s="49">
        <f t="shared" si="19"/>
        <v>0.2209837972904046</v>
      </c>
      <c r="M73" s="50" t="str">
        <f t="shared" si="5"/>
        <v>Alto</v>
      </c>
      <c r="N73" s="51">
        <f t="shared" si="20"/>
        <v>69615</v>
      </c>
      <c r="P73" s="109" t="s">
        <v>576</v>
      </c>
      <c r="Q73" s="109">
        <f>IFERROR(
_xlfn.XLOOKUP(
"*"&amp;LEFT(TRIM(CLEAN(B73)),50)&amp;"*",
HISTORICOS!F:F,
HISTORICOS!H:H,
"No encontrado",
2
),
"No encontrado"
)</f>
        <v>30940</v>
      </c>
      <c r="R73" s="109">
        <f>IFERROR(
_xlfn.XLOOKUP(
"*"&amp;LEFT(TRIM(CLEAN(B73)),100)&amp;"*",
HISTORICOS!K:K,
HISTORICOS!M:M,
"No encontrado",
2
),
"No encontrado"
)</f>
        <v>39627</v>
      </c>
      <c r="S73" s="109">
        <f>IFERROR(
_xlfn.XLOOKUP("*"&amp;LEFT(TRIM(CLEAN(B73)),100)&amp;"*",HISTORICOS!P:P,HISTORICOS!R:R,"No encontrado",2),
IFERROR(
_xlfn.XLOOKUP("*"&amp;LEFT(TRIM(CLEAN(B73)),70)&amp;"*",HISTORICOS!P:P,HISTORICOS!R:R,"No encontrado",2),
IFERROR(
_xlfn.XLOOKUP("*"&amp;LEFT(TRIM(CLEAN(B73)),50)&amp;"*",HISTORICOS!P:P,HISTORICOS!R:R,"No encontrado",2),
IFERROR(
_xlfn.XLOOKUP("*"&amp;LEFT(TRIM(CLEAN(B73)),30)&amp;"*",HISTORICOS!P:P,HISTORICOS!R:R,"No encontrado",2),
IFERROR(
_xlfn.XLOOKUP("*"&amp;LEFT(TRIM(CLEAN(B73)),10)&amp;"*",HISTORICOS!P:P,HISTORICOS!R:R,"No encontrado",2),
"No encontrado"
)))))</f>
        <v>39627</v>
      </c>
      <c r="T73" s="109" t="s">
        <v>576</v>
      </c>
      <c r="U73" s="109">
        <f t="shared" ref="U73:U80" si="22">Q73*(1+$R$4)*(1+$S$4)*1+($T$4)</f>
        <v>34208.935279999998</v>
      </c>
      <c r="V73" s="109">
        <f t="shared" ref="V73:V80" si="23">R73*(1+$S$4)*1+($T$4)</f>
        <v>41648.039400000001</v>
      </c>
      <c r="W73" s="109">
        <f t="shared" ref="W73:W80" si="24">S73*(1+($T$4))</f>
        <v>42099.724800000004</v>
      </c>
      <c r="X73" s="123">
        <f t="shared" si="9"/>
        <v>0.11269690105112849</v>
      </c>
      <c r="Y73" s="124" t="str">
        <f t="shared" si="6"/>
        <v>Bajo</v>
      </c>
      <c r="Z73" s="109">
        <f t="shared" si="7"/>
        <v>41648.039400000001</v>
      </c>
      <c r="AA73" s="109">
        <f t="shared" si="8"/>
        <v>39144.533818284515</v>
      </c>
      <c r="AC73" s="229"/>
      <c r="AD73"/>
    </row>
    <row r="74" spans="1:30" ht="18" customHeight="1">
      <c r="A74" s="3">
        <v>64</v>
      </c>
      <c r="B74" s="330" t="s">
        <v>604</v>
      </c>
      <c r="C74" s="334"/>
      <c r="D74" s="334"/>
      <c r="E74" s="334"/>
      <c r="F74" s="335"/>
      <c r="G74" s="178" t="s">
        <v>77</v>
      </c>
      <c r="H74" s="44">
        <f>'BELPAPEL (2a COTIZACION) '!J78</f>
        <v>7803</v>
      </c>
      <c r="I74" s="181">
        <f>'GRUPO LOS LAGOS SAS'!J78</f>
        <v>18445</v>
      </c>
      <c r="J74" s="16">
        <f>'SUMICORP LTDA'!J78</f>
        <v>24395</v>
      </c>
      <c r="K74" s="16">
        <f>'TELEAMARKETER (2a COTIZACION)'!J78</f>
        <v>5950</v>
      </c>
      <c r="L74" s="49">
        <f t="shared" si="19"/>
        <v>0.62012349438699332</v>
      </c>
      <c r="M74" s="50" t="str">
        <f t="shared" si="5"/>
        <v>Muy alto</v>
      </c>
      <c r="N74" s="51">
        <f t="shared" si="20"/>
        <v>13124</v>
      </c>
      <c r="P74" s="109">
        <f>IFERROR(
_xlfn.XLOOKUP(
"*"&amp;LEFT(B74,FIND(" ",B74&amp;" ")-1)&amp;"*",
HISTORICOS!B:B,
HISTORICOS!D:D,
"No encontrado",
2
),
"No encontrado"
)</f>
        <v>12050</v>
      </c>
      <c r="Q74" s="109">
        <f>IFERROR(
_xlfn.XLOOKUP(
"*"&amp;LEFT(TRIM(CLEAN(B74)),50)&amp;"*",
HISTORICOS!F:F,
HISTORICOS!H:H,
"No encontrado",
2
),
"No encontrado"
)</f>
        <v>12947.2</v>
      </c>
      <c r="R74" s="109">
        <f>IFERROR(
_xlfn.XLOOKUP(
"*"&amp;LEFT(TRIM(CLEAN(B74)),10)&amp;"*",
HISTORICOS!K:K,
HISTORICOS!M:M,
"No encontrado",
2
),
"No encontrado"
)</f>
        <v>13685</v>
      </c>
      <c r="S74" s="109">
        <f>IFERROR(
_xlfn.XLOOKUP(
"*"&amp;LEFT(TRIM(CLEAN(B74)),10)&amp;"*",
HISTORICOS!P:P,
HISTORICOS!R:R,
"No encontrado",
2
),
"No encontrado"
)</f>
        <v>13685</v>
      </c>
      <c r="T74" s="109">
        <f t="shared" ref="T74:T80" si="25">P74*(1+$Q$4)*(1+$R$4)*(1+$S$4)*1+($T$4)</f>
        <v>14559.553292479999</v>
      </c>
      <c r="U74" s="109">
        <f t="shared" si="22"/>
        <v>14315.1599744</v>
      </c>
      <c r="V74" s="109">
        <f t="shared" si="23"/>
        <v>14382.9974</v>
      </c>
      <c r="W74" s="109">
        <f t="shared" si="24"/>
        <v>14538.944</v>
      </c>
      <c r="X74" s="123">
        <f t="shared" si="9"/>
        <v>8.2452975965895455E-3</v>
      </c>
      <c r="Y74" s="124" t="str">
        <f t="shared" si="6"/>
        <v>Bajo</v>
      </c>
      <c r="Z74" s="109">
        <f t="shared" si="7"/>
        <v>14460.9707</v>
      </c>
      <c r="AA74" s="109">
        <f t="shared" si="8"/>
        <v>14448.795037556158</v>
      </c>
      <c r="AC74" s="229"/>
      <c r="AD74"/>
    </row>
    <row r="75" spans="1:30" ht="18" customHeight="1">
      <c r="A75" s="3">
        <v>65</v>
      </c>
      <c r="B75" s="330" t="s">
        <v>85</v>
      </c>
      <c r="C75" s="331"/>
      <c r="D75" s="331"/>
      <c r="E75" s="331"/>
      <c r="F75" s="332"/>
      <c r="G75" s="178" t="s">
        <v>77</v>
      </c>
      <c r="H75" s="44">
        <f>'BELPAPEL (2a COTIZACION) '!J79</f>
        <v>9471</v>
      </c>
      <c r="I75" s="181">
        <f>'GRUPO LOS LAGOS SAS'!J79</f>
        <v>18445</v>
      </c>
      <c r="J75" s="16">
        <f>'SUMICORP LTDA'!J79</f>
        <v>24395</v>
      </c>
      <c r="K75" s="16">
        <f>'TELEAMARKETER (2a COTIZACION)'!J79</f>
        <v>58310</v>
      </c>
      <c r="L75" s="49">
        <f t="shared" ref="L75:L106" si="26">_xlfn.STDEV.S(H75:K75)/AVERAGE(H75:K75)</f>
        <v>0.77154537433832071</v>
      </c>
      <c r="M75" s="50" t="str">
        <f t="shared" si="5"/>
        <v>Muy alto</v>
      </c>
      <c r="N75" s="51">
        <f t="shared" ref="N75:N106" si="27">MEDIAN(H75:K75)</f>
        <v>21420</v>
      </c>
      <c r="P75" s="109">
        <f>IFERROR(
_xlfn.XLOOKUP(
"*"&amp;LEFT(TRIM(CLEAN(SUBSTITUTE(B75,CHAR(10)," "))),35)&amp;"*",
HISTORICOS!B:B,
HISTORICOS!D:D,
"No encontrado",
2
),
"No encontrado"
)</f>
        <v>11216</v>
      </c>
      <c r="Q75" s="109">
        <f>IFERROR(
_xlfn.XLOOKUP(
"*"&amp;LEFT(TRIM(CLEAN(B75)),10)&amp;"*",
HISTORICOS!F:F,
HISTORICOS!H:H,
"No encontrado",
2
),
"No encontrado"
)</f>
        <v>12947.2</v>
      </c>
      <c r="R75" s="109">
        <f>IFERROR(
_xlfn.XLOOKUP(
"*"&amp;LEFT(TRIM(CLEAN(B75)),100)&amp;"*",
HISTORICOS!K:K,
HISTORICOS!M:M,
"No encontrado",
2
),
"No encontrado"
)</f>
        <v>13685</v>
      </c>
      <c r="S75" s="109">
        <f>IFERROR(
_xlfn.XLOOKUP("*"&amp;LEFT(TRIM(CLEAN(B75)),100)&amp;"*",HISTORICOS!P:P,HISTORICOS!R:R,"No encontrado",2),
IFERROR(
_xlfn.XLOOKUP("*"&amp;LEFT(TRIM(CLEAN(B75)),70)&amp;"*",HISTORICOS!P:P,HISTORICOS!R:R,"No encontrado",2),
IFERROR(
_xlfn.XLOOKUP("*"&amp;LEFT(TRIM(CLEAN(B75)),50)&amp;"*",HISTORICOS!P:P,HISTORICOS!R:R,"No encontrado",2),
IFERROR(
_xlfn.XLOOKUP("*"&amp;LEFT(TRIM(CLEAN(B75)),30)&amp;"*",HISTORICOS!P:P,HISTORICOS!R:R,"No encontrado",2),
IFERROR(
_xlfn.XLOOKUP("*"&amp;LEFT(TRIM(CLEAN(B75)),10)&amp;"*",HISTORICOS!P:P,HISTORICOS!R:R,"No encontrado",2),
"No encontrado"
)))))</f>
        <v>13685</v>
      </c>
      <c r="T75" s="109">
        <f t="shared" si="25"/>
        <v>13551.867366809602</v>
      </c>
      <c r="U75" s="109">
        <f t="shared" si="22"/>
        <v>14315.1599744</v>
      </c>
      <c r="V75" s="109">
        <f t="shared" si="23"/>
        <v>14382.9974</v>
      </c>
      <c r="W75" s="109">
        <f t="shared" si="24"/>
        <v>14538.944</v>
      </c>
      <c r="X75" s="123">
        <f t="shared" si="9"/>
        <v>3.1015361470777134E-2</v>
      </c>
      <c r="Y75" s="124" t="str">
        <f t="shared" si="6"/>
        <v>Bajo</v>
      </c>
      <c r="Z75" s="109">
        <f t="shared" si="7"/>
        <v>14349.078687199999</v>
      </c>
      <c r="AA75" s="109">
        <f t="shared" si="8"/>
        <v>14192.026175329809</v>
      </c>
      <c r="AC75" s="229"/>
      <c r="AD75"/>
    </row>
    <row r="76" spans="1:30" ht="18" customHeight="1">
      <c r="A76" s="3">
        <v>66</v>
      </c>
      <c r="B76" s="330" t="s">
        <v>86</v>
      </c>
      <c r="C76" s="331"/>
      <c r="D76" s="331"/>
      <c r="E76" s="331"/>
      <c r="F76" s="332"/>
      <c r="G76" s="178" t="s">
        <v>19</v>
      </c>
      <c r="H76" s="44">
        <f>'BELPAPEL (2a COTIZACION) '!J80</f>
        <v>619</v>
      </c>
      <c r="I76" s="181">
        <f>'GRUPO LOS LAGOS SAS'!J80</f>
        <v>1166.2</v>
      </c>
      <c r="J76" s="16">
        <f>'SUMICORP LTDA'!J80</f>
        <v>1785</v>
      </c>
      <c r="K76" s="16">
        <f>'TELEAMARKETER (2a COTIZACION)'!J80</f>
        <v>5355</v>
      </c>
      <c r="L76" s="49">
        <f t="shared" si="26"/>
        <v>0.95739950403617968</v>
      </c>
      <c r="M76" s="50" t="str">
        <f t="shared" ref="M76:M133" si="28">IF(L76&lt;=15%,"Bajo",IF(L76&lt;=20%,"Moderado",IF(L76&lt;=25%,"Alto","Muy alto")))</f>
        <v>Muy alto</v>
      </c>
      <c r="N76" s="51">
        <f t="shared" si="27"/>
        <v>1475.6</v>
      </c>
      <c r="P76" s="109">
        <f>IFERROR(
_xlfn.XLOOKUP(
"*"&amp;LEFT(B76,FIND(" ",B76&amp;" ")-1)&amp;"*",
HISTORICOS!B:B,
HISTORICOS!D:D,
"No encontrado",
2
),
"No encontrado"
)</f>
        <v>1235</v>
      </c>
      <c r="Q76" s="109">
        <f>IFERROR(
_xlfn.XLOOKUP(
"*"&amp;LEFT(TRIM(CLEAN(B76)),10)&amp;"*",
HISTORICOS!F:F,
HISTORICOS!H:H,
"No encontrado",
2
),
"No encontrado"
)</f>
        <v>963.9</v>
      </c>
      <c r="R76" s="109">
        <f>IFERROR(
_xlfn.XLOOKUP(
"*"&amp;LEFT(TRIM(CLEAN(B76)),10)&amp;"*",
HISTORICOS!K:K,
HISTORICOS!M:M,
"No encontrado",
2
),
"No encontrado"
)</f>
        <v>1029.3499999999999</v>
      </c>
      <c r="S76" s="109">
        <f>IFERROR(
_xlfn.XLOOKUP("*"&amp;LEFT(TRIM(CLEAN(B50)),50)&amp;"*",HISTORICOS!P:P,HISTORICOS!R:R,"No encontrado",2),
IFERROR(
_xlfn.XLOOKUP("*"&amp;LEFT(TRIM(CLEAN(B50)),40)&amp;"*",HISTORICOS!P:P,HISTORICOS!R:R,"No encontrado",2),
IFERROR(
_xlfn.XLOOKUP("*"&amp;LEFT(TRIM(CLEAN(B50)),30)&amp;"*",HISTORICOS!P:P,HISTORICOS!R:R,"No encontrado",2),
IFERROR(
_xlfn.XLOOKUP("*"&amp;LEFT(TRIM(CLEAN(B50)),20)&amp;"*",HISTORICOS!P:P,HISTORICOS!R:R,"No encontrado",2),
IFERROR(
_xlfn.XLOOKUP("*"&amp;LEFT(TRIM(CLEAN(B50)),10)&amp;"*",HISTORICOS!P:P,HISTORICOS!R:R,"No encontrado",2),
"No encontrado"
)))))</f>
        <v>13090</v>
      </c>
      <c r="T76" s="109">
        <f t="shared" si="25"/>
        <v>1492.2591844159999</v>
      </c>
      <c r="U76" s="109">
        <f t="shared" si="22"/>
        <v>1065.8003628000001</v>
      </c>
      <c r="V76" s="109">
        <f t="shared" si="23"/>
        <v>1081.9092499999999</v>
      </c>
      <c r="W76" s="109">
        <f t="shared" si="24"/>
        <v>13906.816000000001</v>
      </c>
      <c r="X76" s="123">
        <f t="shared" si="9"/>
        <v>1.4475162371676693</v>
      </c>
      <c r="Y76" s="124" t="str">
        <f t="shared" ref="Y76:Y133" si="29">IF(X76&lt;=15%,"Bajo",IF(X76&lt;=20%,"Moderado",IF(X76&lt;=25%,"Alto","Muy alto")))</f>
        <v>Muy alto</v>
      </c>
      <c r="Z76" s="109">
        <f t="shared" ref="Z76:Z133" si="30">MEDIAN(T76:W76)</f>
        <v>1287.0842172079999</v>
      </c>
      <c r="AA76" s="109">
        <f t="shared" ref="AA76:AA133" si="31">GEOMEAN(T76:W76)</f>
        <v>2211.7430267271029</v>
      </c>
      <c r="AC76" s="229"/>
      <c r="AD76"/>
    </row>
    <row r="77" spans="1:30" ht="27" customHeight="1">
      <c r="A77" s="3">
        <v>67</v>
      </c>
      <c r="B77" s="330" t="s">
        <v>191</v>
      </c>
      <c r="C77" s="334"/>
      <c r="D77" s="334"/>
      <c r="E77" s="334"/>
      <c r="F77" s="335"/>
      <c r="G77" s="178" t="s">
        <v>19</v>
      </c>
      <c r="H77" s="44">
        <f>'BELPAPEL (2a COTIZACION) '!J81</f>
        <v>1487</v>
      </c>
      <c r="I77" s="181">
        <f>'GRUPO LOS LAGOS SAS'!J81</f>
        <v>1011.5</v>
      </c>
      <c r="J77" s="16">
        <f>'SUMICORP LTDA'!J81</f>
        <v>1666</v>
      </c>
      <c r="K77" s="16">
        <f>'TELEAMARKETER (2a COTIZACION)'!J81</f>
        <v>9282</v>
      </c>
      <c r="L77" s="49">
        <f t="shared" si="26"/>
        <v>1.1769807715517469</v>
      </c>
      <c r="M77" s="50" t="str">
        <f t="shared" si="28"/>
        <v>Muy alto</v>
      </c>
      <c r="N77" s="51">
        <f t="shared" si="27"/>
        <v>1576.5</v>
      </c>
      <c r="P77" s="109">
        <f>IFERROR(
_xlfn.XLOOKUP(
"*"&amp;LEFT(TRIM(CLEAN(SUBSTITUTE(B77,CHAR(10)," "))),35)&amp;"*",
HISTORICOS!B:B,
HISTORICOS!D:D,
"No encontrado",
2
),
"No encontrado"
)</f>
        <v>694</v>
      </c>
      <c r="Q77" s="109">
        <f>IFERROR(
_xlfn.XLOOKUP(
"*"&amp;LEFT(TRIM(CLEAN(B77)),50)&amp;"*",
HISTORICOS!F:F,
HISTORICOS!H:H,
"No encontrado",
2
),
"No encontrado"
)</f>
        <v>1218.56</v>
      </c>
      <c r="R77" s="109">
        <f>IFERROR(
_xlfn.XLOOKUP(
"*"&amp;LEFT(TRIM(CLEAN(B77)),10)&amp;"*",
HISTORICOS!K:K,
HISTORICOS!M:M,
"No encontrado",
2
),
"No encontrado"
)</f>
        <v>1190</v>
      </c>
      <c r="S77" s="109">
        <f>IFERROR(
_xlfn.XLOOKUP(
"*"&amp;LEFT(TRIM(CLEAN(B77)),10)&amp;"*",
HISTORICOS!P:P,
HISTORICOS!R:R,
"No encontrado",
2
),
"No encontrado"
)</f>
        <v>1190</v>
      </c>
      <c r="T77" s="109">
        <f t="shared" si="25"/>
        <v>838.59241488639998</v>
      </c>
      <c r="U77" s="109">
        <f t="shared" si="22"/>
        <v>1347.36570112</v>
      </c>
      <c r="V77" s="109">
        <f t="shared" si="23"/>
        <v>1250.7523999999999</v>
      </c>
      <c r="W77" s="109">
        <f t="shared" si="24"/>
        <v>1264.2560000000001</v>
      </c>
      <c r="X77" s="123">
        <f t="shared" ref="X77:X129" si="32">_xlfn.STDEV.S(T77:W77)/AVERAGE(T77:W77)</f>
        <v>0.19439587309752748</v>
      </c>
      <c r="Y77" s="124" t="str">
        <f t="shared" si="29"/>
        <v>Moderado</v>
      </c>
      <c r="Z77" s="109">
        <f t="shared" si="30"/>
        <v>1257.5041999999999</v>
      </c>
      <c r="AA77" s="109">
        <f t="shared" si="31"/>
        <v>1156.1407170151692</v>
      </c>
      <c r="AC77" s="229"/>
      <c r="AD77"/>
    </row>
    <row r="78" spans="1:30" ht="29.7" customHeight="1">
      <c r="A78" s="3">
        <v>68</v>
      </c>
      <c r="B78" s="330" t="s">
        <v>192</v>
      </c>
      <c r="C78" s="334"/>
      <c r="D78" s="334"/>
      <c r="E78" s="334"/>
      <c r="F78" s="335"/>
      <c r="G78" s="178" t="s">
        <v>19</v>
      </c>
      <c r="H78" s="44">
        <f>'BELPAPEL (2a COTIZACION) '!J82</f>
        <v>1487</v>
      </c>
      <c r="I78" s="181">
        <f>'GRUPO LOS LAGOS SAS'!J82</f>
        <v>1071</v>
      </c>
      <c r="J78" s="16">
        <f>'SUMICORP LTDA'!J82</f>
        <v>1666</v>
      </c>
      <c r="K78" s="16">
        <f>'TELEAMARKETER (2a COTIZACION)'!J82</f>
        <v>8568</v>
      </c>
      <c r="L78" s="49">
        <f t="shared" si="26"/>
        <v>1.1221595185485451</v>
      </c>
      <c r="M78" s="50" t="str">
        <f t="shared" si="28"/>
        <v>Muy alto</v>
      </c>
      <c r="N78" s="51">
        <f t="shared" si="27"/>
        <v>1576.5</v>
      </c>
      <c r="P78" s="109">
        <f>IFERROR(
_xlfn.XLOOKUP(
"*"&amp;LEFT(TRIM(CLEAN(SUBSTITUTE(B78,CHAR(10)," "))),35)&amp;"*",
HISTORICOS!B:B,
HISTORICOS!D:D,
"No encontrado",
2
),
"No encontrado"
)</f>
        <v>844</v>
      </c>
      <c r="Q78" s="109">
        <f>IFERROR(
_xlfn.XLOOKUP(
"*"&amp;LEFT(TRIM(CLEAN(B78)),70)&amp;"*",
HISTORICOS!F:F,
HISTORICOS!H:H,
"No encontrado",
2
),
"No encontrado"
)</f>
        <v>1218.56</v>
      </c>
      <c r="R78" s="109">
        <f>IFERROR(
_xlfn.XLOOKUP(
"*"&amp;LEFT(TRIM(CLEAN(B78)),30)&amp;"*",
HISTORICOS!K:K,
HISTORICOS!M:M,
"No encontrado",
2
),
"No encontrado"
)</f>
        <v>1309</v>
      </c>
      <c r="S78" s="109">
        <f>IFERROR(
_xlfn.XLOOKUP(
"*"&amp;LEFT(TRIM(CLEAN(B78)),10)&amp;"*",
HISTORICOS!P:P,
HISTORICOS!R:R,
"No encontrado",
2
),
"No encontrado"
)</f>
        <v>1190</v>
      </c>
      <c r="T78" s="109">
        <f t="shared" si="25"/>
        <v>1019.8308907264001</v>
      </c>
      <c r="U78" s="109">
        <f t="shared" si="22"/>
        <v>1347.36570112</v>
      </c>
      <c r="V78" s="109">
        <f t="shared" si="23"/>
        <v>1375.8214</v>
      </c>
      <c r="W78" s="109">
        <f t="shared" si="24"/>
        <v>1264.2560000000001</v>
      </c>
      <c r="X78" s="123">
        <f t="shared" si="32"/>
        <v>0.12920357840200936</v>
      </c>
      <c r="Y78" s="124" t="str">
        <f t="shared" si="29"/>
        <v>Bajo</v>
      </c>
      <c r="Z78" s="109">
        <f t="shared" si="30"/>
        <v>1305.8108505600001</v>
      </c>
      <c r="AA78" s="109">
        <f t="shared" si="31"/>
        <v>1243.3765819592713</v>
      </c>
      <c r="AC78" s="229"/>
      <c r="AD78"/>
    </row>
    <row r="79" spans="1:30" ht="19.5" customHeight="1">
      <c r="A79" s="3">
        <v>69</v>
      </c>
      <c r="B79" s="330" t="s">
        <v>193</v>
      </c>
      <c r="C79" s="334"/>
      <c r="D79" s="334"/>
      <c r="E79" s="334"/>
      <c r="F79" s="335"/>
      <c r="G79" s="178" t="s">
        <v>87</v>
      </c>
      <c r="H79" s="44">
        <f>'BELPAPEL (2a COTIZACION) '!J83</f>
        <v>5129</v>
      </c>
      <c r="I79" s="181">
        <f>'GRUPO LOS LAGOS SAS'!J83</f>
        <v>2380</v>
      </c>
      <c r="J79" s="16">
        <f>'SUMICORP LTDA'!J83</f>
        <v>4998</v>
      </c>
      <c r="K79" s="16">
        <f>'TELEAMARKETER (2a COTIZACION)'!J83</f>
        <v>7735</v>
      </c>
      <c r="L79" s="49">
        <f t="shared" si="26"/>
        <v>0.43213642753170239</v>
      </c>
      <c r="M79" s="50" t="str">
        <f t="shared" si="28"/>
        <v>Muy alto</v>
      </c>
      <c r="N79" s="51">
        <f t="shared" si="27"/>
        <v>5063.5</v>
      </c>
      <c r="P79" s="109">
        <f>IFERROR(
_xlfn.XLOOKUP(
"*"&amp;LEFT(TRIM(CLEAN(SUBSTITUTE(B79,CHAR(10)," "))),35)&amp;"*",
HISTORICOS!B:B,
HISTORICOS!D:D,
"No encontrado",
2
),
"No encontrado"
)</f>
        <v>2292</v>
      </c>
      <c r="Q79" s="109">
        <f>IFERROR(
_xlfn.XLOOKUP(
"*"&amp;LEFT(TRIM(CLEAN(B79)),50)&amp;"*",
HISTORICOS!F:F,
HISTORICOS!H:H,
"No encontrado",
2
),
"No encontrado"
)</f>
        <v>3105.9</v>
      </c>
      <c r="R79" s="109">
        <f>IFERROR(
_xlfn.XLOOKUP(
"*"&amp;LEFT(TRIM(CLEAN(B79)),10)&amp;"*",
HISTORICOS!K:K,
HISTORICOS!M:M,
"No encontrado",
2
),
"No encontrado"
)</f>
        <v>2380</v>
      </c>
      <c r="S79" s="109">
        <f>IFERROR(
_xlfn.XLOOKUP(
"*"&amp;LEFT(TRIM(CLEAN(B79)),10)&amp;"*",
HISTORICOS!P:P,
HISTORICOS!R:R,
"No encontrado",
2
),
"No encontrado"
)</f>
        <v>2380</v>
      </c>
      <c r="T79" s="109">
        <f t="shared" si="25"/>
        <v>2769.3863108351998</v>
      </c>
      <c r="U79" s="109">
        <f t="shared" si="22"/>
        <v>3434.1069467999996</v>
      </c>
      <c r="V79" s="109">
        <f t="shared" si="23"/>
        <v>2501.4423999999995</v>
      </c>
      <c r="W79" s="109">
        <f t="shared" si="24"/>
        <v>2528.5120000000002</v>
      </c>
      <c r="X79" s="123">
        <f t="shared" si="32"/>
        <v>0.15461005594080482</v>
      </c>
      <c r="Y79" s="124" t="str">
        <f t="shared" si="29"/>
        <v>Moderado</v>
      </c>
      <c r="Z79" s="109">
        <f t="shared" si="30"/>
        <v>2648.9491554176002</v>
      </c>
      <c r="AA79" s="109">
        <f t="shared" si="31"/>
        <v>2784.9231852718085</v>
      </c>
      <c r="AC79" s="229"/>
      <c r="AD79"/>
    </row>
    <row r="80" spans="1:30" ht="18" customHeight="1">
      <c r="A80" s="3">
        <v>70</v>
      </c>
      <c r="B80" s="330" t="s">
        <v>88</v>
      </c>
      <c r="C80" s="331"/>
      <c r="D80" s="331"/>
      <c r="E80" s="331"/>
      <c r="F80" s="332"/>
      <c r="G80" s="178" t="s">
        <v>87</v>
      </c>
      <c r="H80" s="44">
        <f>'BELPAPEL (2a COTIZACION) '!J84</f>
        <v>4011</v>
      </c>
      <c r="I80" s="181">
        <f>'GRUPO LOS LAGOS SAS'!J84</f>
        <v>1190</v>
      </c>
      <c r="J80" s="16">
        <f>'SUMICORP LTDA'!J84</f>
        <v>4165</v>
      </c>
      <c r="K80" s="16">
        <f>'TELEAMARKETER (2a COTIZACION)'!J84</f>
        <v>7735</v>
      </c>
      <c r="L80" s="49">
        <f t="shared" si="26"/>
        <v>0.6272045187365719</v>
      </c>
      <c r="M80" s="50" t="str">
        <f t="shared" si="28"/>
        <v>Muy alto</v>
      </c>
      <c r="N80" s="51">
        <f t="shared" si="27"/>
        <v>4088</v>
      </c>
      <c r="P80" s="109">
        <f>IFERROR(
_xlfn.XLOOKUP(
"*"&amp;LEFT(TRIM(CLEAN(SUBSTITUTE(B80,CHAR(10)," "))),35)&amp;"*",
HISTORICOS!B:B,
HISTORICOS!D:D,
"No encontrado",
2
),
"No encontrado"
)</f>
        <v>1211</v>
      </c>
      <c r="Q80" s="109">
        <f>IFERROR(
_xlfn.XLOOKUP(
"*"&amp;LEFT(TRIM(CLEAN(B80)),50)&amp;"*",
HISTORICOS!F:F,
HISTORICOS!H:H,
"No encontrado",
2
),
"No encontrado"
)</f>
        <v>1694.56</v>
      </c>
      <c r="R80" s="109">
        <f>IFERROR(
_xlfn.XLOOKUP(
"*"&amp;LEFT(TRIM(CLEAN(B80)),100)&amp;"*",
HISTORICOS!K:K,
HISTORICOS!M:M,
"No encontrado",
2
),
"No encontrado"
)</f>
        <v>1011.5</v>
      </c>
      <c r="S80" s="109">
        <f>IFERROR(
_xlfn.XLOOKUP("*"&amp;LEFT(TRIM(CLEAN(B80)),100)&amp;"*",HISTORICOS!P:P,HISTORICOS!R:R,"No encontrado",2),
IFERROR(
_xlfn.XLOOKUP("*"&amp;LEFT(TRIM(CLEAN(B80)),70)&amp;"*",HISTORICOS!P:P,HISTORICOS!R:R,"No encontrado",2),
IFERROR(
_xlfn.XLOOKUP("*"&amp;LEFT(TRIM(CLEAN(B80)),50)&amp;"*",HISTORICOS!P:P,HISTORICOS!R:R,"No encontrado",2),
IFERROR(
_xlfn.XLOOKUP("*"&amp;LEFT(TRIM(CLEAN(B80)),30)&amp;"*",HISTORICOS!P:P,HISTORICOS!R:R,"No encontrado",2),
IFERROR(
_xlfn.XLOOKUP("*"&amp;LEFT(TRIM(CLEAN(B80)),10)&amp;"*",HISTORICOS!P:P,HISTORICOS!R:R,"No encontrado",2),
"No encontrado"
)))))</f>
        <v>1011.5</v>
      </c>
      <c r="T80" s="109">
        <f t="shared" si="25"/>
        <v>1463.2610282815999</v>
      </c>
      <c r="U80" s="109">
        <f t="shared" si="22"/>
        <v>1873.65605312</v>
      </c>
      <c r="V80" s="109">
        <f t="shared" si="23"/>
        <v>1063.1488999999999</v>
      </c>
      <c r="W80" s="109">
        <f t="shared" si="24"/>
        <v>1074.6176</v>
      </c>
      <c r="X80" s="123">
        <f t="shared" si="32"/>
        <v>0.28100787740924338</v>
      </c>
      <c r="Y80" s="124" t="str">
        <f t="shared" si="29"/>
        <v>Muy alto</v>
      </c>
      <c r="Z80" s="109">
        <f t="shared" si="30"/>
        <v>1268.9393141408</v>
      </c>
      <c r="AA80" s="109">
        <f t="shared" si="31"/>
        <v>1330.3469857267744</v>
      </c>
      <c r="AC80" s="229"/>
      <c r="AD80"/>
    </row>
    <row r="81" spans="1:30" ht="16.5" customHeight="1">
      <c r="A81" s="3">
        <v>71</v>
      </c>
      <c r="B81" s="330" t="s">
        <v>194</v>
      </c>
      <c r="C81" s="334"/>
      <c r="D81" s="334"/>
      <c r="E81" s="334"/>
      <c r="F81" s="335"/>
      <c r="G81" s="178" t="s">
        <v>19</v>
      </c>
      <c r="H81" s="44">
        <f>'BELPAPEL (2a COTIZACION) '!J85</f>
        <v>87465</v>
      </c>
      <c r="I81" s="181">
        <f>'GRUPO LOS LAGOS SAS'!J85</f>
        <v>71388.100000000006</v>
      </c>
      <c r="J81" s="16">
        <f>'SUMICORP LTDA'!J85</f>
        <v>26061</v>
      </c>
      <c r="K81" s="16">
        <f>'TELEAMARKETER (2a COTIZACION)'!J85</f>
        <v>40918.15</v>
      </c>
      <c r="L81" s="49">
        <f t="shared" si="26"/>
        <v>0.49571202163906641</v>
      </c>
      <c r="M81" s="50" t="str">
        <f t="shared" si="28"/>
        <v>Muy alto</v>
      </c>
      <c r="N81" s="51">
        <f t="shared" si="27"/>
        <v>56153.125</v>
      </c>
      <c r="P81" s="109" t="s">
        <v>576</v>
      </c>
      <c r="Q81" s="109" t="str">
        <f>IFERROR(
_xlfn.XLOOKUP(
"*"&amp;LEFT(TRIM(CLEAN(B81)),50)&amp;"*",
HISTORICOS!F:F,
HISTORICOS!H:H,
"No comparable",
2
),
"No comparable"
)</f>
        <v>No comparable</v>
      </c>
      <c r="R81" s="109" t="str">
        <f>IFERROR(
_xlfn.XLOOKUP(
"*"&amp;LEFT(TRIM(CLEAN(B81)),10)&amp;"*",
HISTORICOS!K:K,
HISTORICOS!M:M,
"No comparable",
2
),
"No comparable"
)</f>
        <v>No comparable</v>
      </c>
      <c r="S81" s="109" t="str">
        <f>IFERROR(
_xlfn.XLOOKUP(
"*"&amp;LEFT(TRIM(CLEAN(B81)),10)&amp;"*",
HISTORICOS!P:P,
HISTORICOS!R:R,
"No comparable",
2
),
"No comparable"
)</f>
        <v>No comparable</v>
      </c>
      <c r="T81" s="109" t="s">
        <v>576</v>
      </c>
      <c r="U81" s="109" t="s">
        <v>576</v>
      </c>
      <c r="V81" s="109" t="s">
        <v>576</v>
      </c>
      <c r="W81" s="109" t="s">
        <v>576</v>
      </c>
      <c r="X81" s="211" t="s">
        <v>576</v>
      </c>
      <c r="Y81" s="211" t="s">
        <v>576</v>
      </c>
      <c r="Z81" s="109" t="s">
        <v>576</v>
      </c>
      <c r="AA81" s="109" t="s">
        <v>576</v>
      </c>
      <c r="AC81" s="229"/>
      <c r="AD81"/>
    </row>
    <row r="82" spans="1:30" ht="31.95" customHeight="1">
      <c r="A82" s="3">
        <v>72</v>
      </c>
      <c r="B82" s="330" t="s">
        <v>195</v>
      </c>
      <c r="C82" s="334"/>
      <c r="D82" s="334"/>
      <c r="E82" s="334"/>
      <c r="F82" s="335"/>
      <c r="G82" s="180" t="s">
        <v>149</v>
      </c>
      <c r="H82" s="44">
        <f>'BELPAPEL (2a COTIZACION) '!J86</f>
        <v>165896</v>
      </c>
      <c r="I82" s="181">
        <f>'GRUPO LOS LAGOS SAS'!J86</f>
        <v>22610</v>
      </c>
      <c r="J82" s="16">
        <f>'SUMICORP LTDA'!J86</f>
        <v>249900</v>
      </c>
      <c r="K82" s="16">
        <f>'TELEAMARKETER (2a COTIZACION)'!J86</f>
        <v>404600</v>
      </c>
      <c r="L82" s="49">
        <f t="shared" si="26"/>
        <v>0.75779822721091683</v>
      </c>
      <c r="M82" s="50" t="str">
        <f t="shared" si="28"/>
        <v>Muy alto</v>
      </c>
      <c r="N82" s="51">
        <f t="shared" si="27"/>
        <v>207898</v>
      </c>
      <c r="P82" s="109">
        <f>IFERROR(
_xlfn.XLOOKUP(
"*"&amp;LEFT(TRIM(CLEAN(SUBSTITUTE(B82,CHAR(10)," "))),35)&amp;"*",
HISTORICOS!B:B,
HISTORICOS!D:D,
"No encontrado",
2
),
"No encontrado"
)</f>
        <v>192406</v>
      </c>
      <c r="Q82" s="109">
        <f>IFERROR(
_xlfn.XLOOKUP(
"*"&amp;LEFT(TRIM(CLEAN(B82)),50)&amp;"*",
HISTORICOS!F:F,
HISTORICOS!H:H,
"No encontrado",
2
),
"No encontrado"
)</f>
        <v>244188</v>
      </c>
      <c r="R82" s="109">
        <f>IFERROR(
_xlfn.XLOOKUP(
"*"&amp;LEFT(TRIM(CLEAN(B82)),10)&amp;"*",
HISTORICOS!K:K,
HISTORICOS!M:M,
"No encontrado",
2
),
"No encontrado"
)</f>
        <v>29750</v>
      </c>
      <c r="S82" s="109">
        <f>IFERROR(
_xlfn.XLOOKUP(
"*"&amp;LEFT(TRIM(CLEAN(B82)),10)&amp;"*",
HISTORICOS!P:P,
HISTORICOS!R:R,
"No encontrado",
2
),
"No encontrado"
)</f>
        <v>29750</v>
      </c>
      <c r="T82" s="109">
        <f t="shared" ref="T82:T93" si="33">P82*(1+$Q$4)*(1+$R$4)*(1+$S$4)*1+($T$4)</f>
        <v>232475.86361647359</v>
      </c>
      <c r="U82" s="109">
        <f>Q82*(1+$R$4)*(1+$S$4)*1+($T$4)</f>
        <v>269987.01297599997</v>
      </c>
      <c r="V82" s="109">
        <f t="shared" ref="V82:V112" si="34">R82*(1+$S$4)*1+($T$4)</f>
        <v>31267.312399999995</v>
      </c>
      <c r="W82" s="109">
        <f t="shared" ref="W82:W112" si="35">S82*(1+($T$4))</f>
        <v>31606.400000000001</v>
      </c>
      <c r="X82" s="123">
        <f t="shared" si="32"/>
        <v>0.9043760651404642</v>
      </c>
      <c r="Y82" s="124" t="str">
        <f t="shared" si="29"/>
        <v>Muy alto</v>
      </c>
      <c r="Z82" s="109">
        <f t="shared" si="30"/>
        <v>132041.13180823679</v>
      </c>
      <c r="AA82" s="109">
        <f t="shared" si="31"/>
        <v>88745.549363028156</v>
      </c>
      <c r="AC82" s="229"/>
      <c r="AD82"/>
    </row>
    <row r="83" spans="1:30" ht="28.5" customHeight="1">
      <c r="A83" s="3">
        <v>73</v>
      </c>
      <c r="B83" s="330" t="s">
        <v>196</v>
      </c>
      <c r="C83" s="334"/>
      <c r="D83" s="334"/>
      <c r="E83" s="334"/>
      <c r="F83" s="335"/>
      <c r="G83" s="178" t="s">
        <v>89</v>
      </c>
      <c r="H83" s="44">
        <f>'BELPAPEL (2a COTIZACION) '!J87</f>
        <v>204743</v>
      </c>
      <c r="I83" s="181">
        <f>'GRUPO LOS LAGOS SAS'!J87</f>
        <v>26775</v>
      </c>
      <c r="J83" s="16">
        <f>'SUMICORP LTDA'!J87</f>
        <v>295120</v>
      </c>
      <c r="K83" s="16">
        <f>'TELEAMARKETER (2a COTIZACION)'!J87</f>
        <v>295120</v>
      </c>
      <c r="L83" s="49">
        <f t="shared" si="26"/>
        <v>0.61575256136554768</v>
      </c>
      <c r="M83" s="50" t="str">
        <f t="shared" si="28"/>
        <v>Muy alto</v>
      </c>
      <c r="N83" s="51">
        <f t="shared" si="27"/>
        <v>249931.5</v>
      </c>
      <c r="P83" s="109">
        <f>IFERROR(
_xlfn.XLOOKUP("*"&amp;LEFT(TRIM(CLEAN(SUBSTITUTE(B83,CHAR(10)," "))),35)&amp;"*",HISTORICOS!B:B,HISTORICOS!D:D,"No encontrado",2),
IFERROR(
_xlfn.XLOOKUP("*"&amp;LEFT(TRIM(CLEAN(SUBSTITUTE(B83,CHAR(10)," "))),25)&amp;"*",HISTORICOS!B:B,HISTORICOS!D:D,"No encontrado",2),
"No encontrado"
)
)</f>
        <v>222852</v>
      </c>
      <c r="Q83" s="109">
        <f>IFERROR(
_xlfn.XLOOKUP(
"*"&amp;LEFT(TRIM(CLEAN(B83)),50)&amp;"*",
HISTORICOS!F:F,
HISTORICOS!H:H,
"No encontrado",
2
),
"No encontrado"
)</f>
        <v>257040</v>
      </c>
      <c r="R83" s="109">
        <f>IFERROR(
_xlfn.XLOOKUP(
"*"&amp;LEFT(TRIM(CLEAN(B83)),30)&amp;"*",
HISTORICOS!K:K,
HISTORICOS!M:M,
"No encontrado",
2
),
"No encontrado"
)</f>
        <v>226100</v>
      </c>
      <c r="S83" s="109">
        <f>IFERROR(
_xlfn.XLOOKUP(
"*"&amp;LEFT(TRIM(CLEAN(B83)),30)&amp;"*",
HISTORICOS!P:P,
HISTORICOS!R:R,
"No encontrado",
2
),
"No encontrado"
)</f>
        <v>226100</v>
      </c>
      <c r="T83" s="109">
        <f t="shared" si="33"/>
        <v>269262.4411859712</v>
      </c>
      <c r="U83" s="109">
        <f>Q83*(1+$R$4)*(1+$S$4)*1+($T$4)</f>
        <v>284196.85248</v>
      </c>
      <c r="V83" s="109">
        <f t="shared" si="34"/>
        <v>237631.16239999997</v>
      </c>
      <c r="W83" s="109">
        <f t="shared" si="35"/>
        <v>240208.64000000001</v>
      </c>
      <c r="X83" s="123">
        <f t="shared" si="32"/>
        <v>8.8002902615482118E-2</v>
      </c>
      <c r="Y83" s="124" t="str">
        <f t="shared" si="29"/>
        <v>Bajo</v>
      </c>
      <c r="Z83" s="109">
        <f t="shared" si="30"/>
        <v>254735.54059298561</v>
      </c>
      <c r="AA83" s="109">
        <f t="shared" si="31"/>
        <v>257082.05620823827</v>
      </c>
      <c r="AC83" s="229"/>
      <c r="AD83"/>
    </row>
    <row r="84" spans="1:30" ht="26.7" customHeight="1">
      <c r="A84" s="3">
        <v>74</v>
      </c>
      <c r="B84" s="330" t="s">
        <v>615</v>
      </c>
      <c r="C84" s="334"/>
      <c r="D84" s="334"/>
      <c r="E84" s="334"/>
      <c r="F84" s="335"/>
      <c r="G84" s="178" t="s">
        <v>90</v>
      </c>
      <c r="H84" s="44">
        <f>'BELPAPEL (2a COTIZACION) '!J88</f>
        <v>56228</v>
      </c>
      <c r="I84" s="181">
        <f>'GRUPO LOS LAGOS SAS'!J88</f>
        <v>83181</v>
      </c>
      <c r="J84" s="16">
        <f>'SUMICORP LTDA'!J88</f>
        <v>130900</v>
      </c>
      <c r="K84" s="16">
        <f>'TELEAMARKETER (2a COTIZACION)'!J88</f>
        <v>107100</v>
      </c>
      <c r="L84" s="49">
        <f t="shared" si="26"/>
        <v>0.33940283061385607</v>
      </c>
      <c r="M84" s="50" t="str">
        <f t="shared" si="28"/>
        <v>Muy alto</v>
      </c>
      <c r="N84" s="51">
        <f t="shared" si="27"/>
        <v>95140.5</v>
      </c>
      <c r="P84" s="109">
        <f>IFERROR(
_xlfn.XLOOKUP("*"&amp;LEFT(TRIM(CLEAN(SUBSTITUTE(B84,CHAR(10)," "))),35)&amp;"*",HISTORICOS!B:B,HISTORICOS!D:D,"No encontrado",2),
IFERROR(
_xlfn.XLOOKUP("*"&amp;LEFT(TRIM(CLEAN(SUBSTITUTE(B84,CHAR(10)," "))),25)&amp;"*",HISTORICOS!B:B,HISTORICOS!D:D,"No encontrado",2),
"No encontrado"
)
)</f>
        <v>63443</v>
      </c>
      <c r="Q84" s="109">
        <f>IFERROR(
_xlfn.XLOOKUP(
"*"&amp;LEFT(TRIM(CLEAN(B84)),50)&amp;"*",
HISTORICOS!F:F,
HISTORICOS!H:H,
"No encontrado",
2
),
"No encontrado"
)</f>
        <v>49480.2</v>
      </c>
      <c r="R84" s="109">
        <f>IFERROR(
_xlfn.XLOOKUP(
"*"&amp;LEFT(TRIM(CLEAN(B84)),30)&amp;"*",
HISTORICOS!K:K,
HISTORICOS!M:M,
"No encontrado",
2
),
"No encontrado"
)</f>
        <v>84490</v>
      </c>
      <c r="S84" s="109">
        <f>IFERROR(
_xlfn.XLOOKUP(
"*"&amp;LEFT(TRIM(CLEAN(B84)),30)&amp;"*",
HISTORICOS!P:P,
HISTORICOS!R:R,
"No encontrado",
2
),
"No encontrado"
)</f>
        <v>84490</v>
      </c>
      <c r="T84" s="109">
        <f t="shared" si="33"/>
        <v>76655.479884780798</v>
      </c>
      <c r="U84" s="109">
        <f>Q84*(1+$R$4)*(1+$S$4)*1+($T$4)</f>
        <v>54707.944490400005</v>
      </c>
      <c r="V84" s="109">
        <f t="shared" si="34"/>
        <v>88799.052399999986</v>
      </c>
      <c r="W84" s="109">
        <f t="shared" si="35"/>
        <v>89762.176000000007</v>
      </c>
      <c r="X84" s="123">
        <f t="shared" si="32"/>
        <v>0.21052530626786209</v>
      </c>
      <c r="Y84" s="124" t="str">
        <f t="shared" si="29"/>
        <v>Alto</v>
      </c>
      <c r="Z84" s="109">
        <f t="shared" si="30"/>
        <v>82727.266142390392</v>
      </c>
      <c r="AA84" s="109">
        <f t="shared" si="31"/>
        <v>76036.799232431425</v>
      </c>
      <c r="AC84" s="229"/>
      <c r="AD84"/>
    </row>
    <row r="85" spans="1:30" ht="18" customHeight="1">
      <c r="A85" s="3">
        <v>75</v>
      </c>
      <c r="B85" s="330" t="s">
        <v>91</v>
      </c>
      <c r="C85" s="331"/>
      <c r="D85" s="331"/>
      <c r="E85" s="331"/>
      <c r="F85" s="332"/>
      <c r="G85" s="178" t="s">
        <v>39</v>
      </c>
      <c r="H85" s="44">
        <f>'BELPAPEL (2a COTIZACION) '!J89</f>
        <v>60288</v>
      </c>
      <c r="I85" s="181">
        <f>'GRUPO LOS LAGOS SAS'!J89</f>
        <v>24990</v>
      </c>
      <c r="J85" s="16">
        <f>'SUMICORP LTDA'!J89</f>
        <v>92820</v>
      </c>
      <c r="K85" s="16">
        <f>'TELEAMARKETER (2a COTIZACION)'!J89</f>
        <v>83181</v>
      </c>
      <c r="L85" s="49">
        <f t="shared" si="26"/>
        <v>0.46157790515512809</v>
      </c>
      <c r="M85" s="50" t="str">
        <f t="shared" si="28"/>
        <v>Muy alto</v>
      </c>
      <c r="N85" s="51">
        <f t="shared" si="27"/>
        <v>71734.5</v>
      </c>
      <c r="P85" s="109">
        <f>HISTORICOS!D71</f>
        <v>11310</v>
      </c>
      <c r="Q85" s="109" t="str">
        <f>IFERROR(
_xlfn.XLOOKUP(
"*"&amp;LEFT(TRIM(CLEAN(B85)),50)&amp;"*",
HISTORICOS!F:F,
HISTORICOS!H:H,
"No comparable",
2
),
"No comparable"
)</f>
        <v>No comparable</v>
      </c>
      <c r="R85" s="109">
        <f>IFERROR(
_xlfn.XLOOKUP(
"*"&amp;LEFT(TRIM(CLEAN(B85)),10)&amp;"*",
HISTORICOS!K:K,
HISTORICOS!M:M,
"No encontrado",
2
),
"No encontrado"
)</f>
        <v>9520</v>
      </c>
      <c r="S85" s="109">
        <f>IFERROR(
_xlfn.XLOOKUP(
"*"&amp;LEFT(TRIM(CLEAN(B85)),10)&amp;"*",
HISTORICOS!P:P,
HISTORICOS!R:R,
"No encontrado",
2
),
"No encontrado"
)</f>
        <v>9520</v>
      </c>
      <c r="T85" s="109">
        <f t="shared" si="33"/>
        <v>13665.443478335999</v>
      </c>
      <c r="U85" s="109" t="s">
        <v>576</v>
      </c>
      <c r="V85" s="109">
        <f t="shared" si="34"/>
        <v>10005.582399999999</v>
      </c>
      <c r="W85" s="109">
        <f t="shared" si="35"/>
        <v>10114.048000000001</v>
      </c>
      <c r="X85" s="123">
        <f t="shared" si="32"/>
        <v>0.18491154841802113</v>
      </c>
      <c r="Y85" s="124" t="str">
        <f t="shared" si="29"/>
        <v>Moderado</v>
      </c>
      <c r="Z85" s="109">
        <f t="shared" si="30"/>
        <v>10114.048000000001</v>
      </c>
      <c r="AA85" s="109">
        <f t="shared" si="31"/>
        <v>11141.158972038487</v>
      </c>
      <c r="AC85" s="229"/>
      <c r="AD85"/>
    </row>
    <row r="86" spans="1:30" ht="18" customHeight="1">
      <c r="A86" s="3">
        <v>76</v>
      </c>
      <c r="B86" s="330" t="s">
        <v>92</v>
      </c>
      <c r="C86" s="331"/>
      <c r="D86" s="331"/>
      <c r="E86" s="331"/>
      <c r="F86" s="332"/>
      <c r="G86" s="178" t="s">
        <v>93</v>
      </c>
      <c r="H86" s="44">
        <f>'BELPAPEL (2a COTIZACION) '!J90</f>
        <v>12495</v>
      </c>
      <c r="I86" s="181">
        <f>'GRUPO LOS LAGOS SAS'!J90</f>
        <v>17850</v>
      </c>
      <c r="J86" s="16">
        <f>'SUMICORP LTDA'!J90</f>
        <v>82110</v>
      </c>
      <c r="K86" s="16">
        <f>'TELEAMARKETER (2a COTIZACION)'!J90</f>
        <v>102221</v>
      </c>
      <c r="L86" s="49">
        <f t="shared" si="26"/>
        <v>0.8432544791619917</v>
      </c>
      <c r="M86" s="50" t="str">
        <f t="shared" si="28"/>
        <v>Muy alto</v>
      </c>
      <c r="N86" s="51">
        <f t="shared" si="27"/>
        <v>49980</v>
      </c>
      <c r="P86" s="109">
        <f>IFERROR(
_xlfn.XLOOKUP(
"*"&amp;LEFT(TRIM(CLEAN(SUBSTITUTE(B86,CHAR(10)," "))),35)&amp;"*",
HISTORICOS!B:B,
HISTORICOS!D:D,
"No encontrado",
2
),
"No encontrado"
)</f>
        <v>26998</v>
      </c>
      <c r="Q86" s="109">
        <f>IFERROR(
_xlfn.XLOOKUP(
"*"&amp;LEFT(TRIM(CLEAN(B86)),50)&amp;"*",
HISTORICOS!F:F,
HISTORICOS!H:H,
"No encontrado",
2
),
"No encontrado"
)</f>
        <v>26046.720000000001</v>
      </c>
      <c r="R86" s="109">
        <f>IFERROR(
_xlfn.XLOOKUP(
"*"&amp;LEFT(TRIM(CLEAN(B86)),100)&amp;"*",
HISTORICOS!K:K,
HISTORICOS!M:M,
"No encontrado",
2
),
"No encontrado"
)</f>
        <v>26180</v>
      </c>
      <c r="S86" s="109">
        <f>IFERROR(
_xlfn.XLOOKUP("*"&amp;LEFT(TRIM(CLEAN(B86)),100)&amp;"*",HISTORICOS!P:P,HISTORICOS!R:R,"No encontrado",2),
IFERROR(
_xlfn.XLOOKUP("*"&amp;LEFT(TRIM(CLEAN(B86)),70)&amp;"*",HISTORICOS!P:P,HISTORICOS!R:R,"No encontrado",2),
IFERROR(
_xlfn.XLOOKUP("*"&amp;LEFT(TRIM(CLEAN(B86)),50)&amp;"*",HISTORICOS!P:P,HISTORICOS!R:R,"No encontrado",2),
IFERROR(
_xlfn.XLOOKUP("*"&amp;LEFT(TRIM(CLEAN(B86)),30)&amp;"*",HISTORICOS!P:P,HISTORICOS!R:R,"No encontrado",2),
IFERROR(
_xlfn.XLOOKUP("*"&amp;LEFT(TRIM(CLEAN(B86)),10)&amp;"*",HISTORICOS!P:P,HISTORICOS!R:R,"No encontrado",2),
"No encontrado"
)))))</f>
        <v>26180</v>
      </c>
      <c r="T86" s="109">
        <f t="shared" si="33"/>
        <v>32620.5715381888</v>
      </c>
      <c r="U86" s="109">
        <f t="shared" ref="U86:U112" si="36">Q86*(1+$R$4)*(1+$S$4)*1+($T$4)</f>
        <v>28798.670461439997</v>
      </c>
      <c r="V86" s="109">
        <f t="shared" si="34"/>
        <v>27515.242399999996</v>
      </c>
      <c r="W86" s="109">
        <f t="shared" si="35"/>
        <v>27813.632000000001</v>
      </c>
      <c r="X86" s="123">
        <f t="shared" si="32"/>
        <v>8.0645420097328155E-2</v>
      </c>
      <c r="Y86" s="124" t="str">
        <f t="shared" si="29"/>
        <v>Bajo</v>
      </c>
      <c r="Z86" s="109">
        <f t="shared" si="30"/>
        <v>28306.151230719999</v>
      </c>
      <c r="AA86" s="109">
        <f t="shared" si="31"/>
        <v>29118.819403039528</v>
      </c>
      <c r="AC86" s="229"/>
      <c r="AD86"/>
    </row>
    <row r="87" spans="1:30" ht="18" customHeight="1">
      <c r="A87" s="3">
        <v>77</v>
      </c>
      <c r="B87" s="330" t="s">
        <v>199</v>
      </c>
      <c r="C87" s="334"/>
      <c r="D87" s="334"/>
      <c r="E87" s="334"/>
      <c r="F87" s="335"/>
      <c r="G87" s="178" t="s">
        <v>48</v>
      </c>
      <c r="H87" s="44">
        <f>'BELPAPEL (2a COTIZACION) '!J91</f>
        <v>75139</v>
      </c>
      <c r="I87" s="181">
        <f>'GRUPO LOS LAGOS SAS'!J91</f>
        <v>83073.899999999994</v>
      </c>
      <c r="J87" s="16">
        <f>'SUMICORP LTDA'!J91</f>
        <v>105910</v>
      </c>
      <c r="K87" s="16">
        <f>'TELEAMARKETER (2a COTIZACION)'!J91</f>
        <v>196350</v>
      </c>
      <c r="L87" s="49">
        <f t="shared" si="26"/>
        <v>0.48387899454525585</v>
      </c>
      <c r="M87" s="50" t="str">
        <f t="shared" si="28"/>
        <v>Muy alto</v>
      </c>
      <c r="N87" s="51">
        <f t="shared" si="27"/>
        <v>94491.95</v>
      </c>
      <c r="P87" s="109">
        <f>HISTORICOS!D73</f>
        <v>78826</v>
      </c>
      <c r="Q87" s="109">
        <f>IFERROR(
_xlfn.XLOOKUP(
"*"&amp;LEFT(TRIM(CLEAN(B87)),50)&amp;"*",
HISTORICOS!F:F,
HISTORICOS!H:H,
"No encontrado",
2
),
"No encontrado"
)</f>
        <v>23978.5</v>
      </c>
      <c r="R87" s="109">
        <f>IFERROR(
_xlfn.XLOOKUP(
"*"&amp;LEFT(TRIM(CLEAN(B87)),30)&amp;"*",
HISTORICOS!K:K,
HISTORICOS!M:M,
"No encontrado",
2
),
"No encontrado"
)</f>
        <v>53550</v>
      </c>
      <c r="S87" s="109">
        <f>IFERROR(
_xlfn.XLOOKUP(
"*"&amp;LEFT(TRIM(CLEAN(B87)),30)&amp;"*",
HISTORICOS!P:P,
HISTORICOS!R:R,
"No encontrado",
2
),
"No encontrado"
)</f>
        <v>53550</v>
      </c>
      <c r="T87" s="109">
        <f t="shared" si="33"/>
        <v>95242.0897104256</v>
      </c>
      <c r="U87" s="109">
        <f t="shared" si="36"/>
        <v>26511.938881999999</v>
      </c>
      <c r="V87" s="109">
        <f t="shared" si="34"/>
        <v>56281.112399999998</v>
      </c>
      <c r="W87" s="109">
        <f t="shared" si="35"/>
        <v>56891.520000000004</v>
      </c>
      <c r="X87" s="123">
        <f t="shared" si="32"/>
        <v>0.47962559982005071</v>
      </c>
      <c r="Y87" s="124" t="str">
        <f t="shared" si="29"/>
        <v>Muy alto</v>
      </c>
      <c r="Z87" s="109">
        <f t="shared" si="30"/>
        <v>56586.316200000001</v>
      </c>
      <c r="AA87" s="109">
        <f t="shared" si="31"/>
        <v>53323.68495503025</v>
      </c>
      <c r="AC87" s="229"/>
      <c r="AD87"/>
    </row>
    <row r="88" spans="1:30" ht="18" customHeight="1">
      <c r="A88" s="3">
        <v>78</v>
      </c>
      <c r="B88" s="330" t="s">
        <v>94</v>
      </c>
      <c r="C88" s="331"/>
      <c r="D88" s="331"/>
      <c r="E88" s="331"/>
      <c r="F88" s="332"/>
      <c r="G88" s="178" t="s">
        <v>95</v>
      </c>
      <c r="H88" s="44">
        <f>'BELPAPEL (2a COTIZACION) '!J92</f>
        <v>210</v>
      </c>
      <c r="I88" s="181">
        <f>'GRUPO LOS LAGOS SAS'!J92</f>
        <v>550</v>
      </c>
      <c r="J88" s="16">
        <f>'SUMICORP LTDA'!J92</f>
        <v>600</v>
      </c>
      <c r="K88" s="16">
        <f>'TELEAMARKETER (2a COTIZACION)'!J92</f>
        <v>56763</v>
      </c>
      <c r="L88" s="49">
        <f t="shared" si="26"/>
        <v>1.9376402794854177</v>
      </c>
      <c r="M88" s="50" t="str">
        <f t="shared" si="28"/>
        <v>Muy alto</v>
      </c>
      <c r="N88" s="51">
        <f t="shared" si="27"/>
        <v>575</v>
      </c>
      <c r="P88" s="109">
        <f>IFERROR(
_xlfn.XLOOKUP(
"*"&amp;LEFT(TRIM(CLEAN(SUBSTITUTE(B88,CHAR(10)," "))),35)&amp;"*",
HISTORICOS!B:B,
HISTORICOS!D:D,
"No encontrado",
2
),
"No encontrado"
)</f>
        <v>331</v>
      </c>
      <c r="Q88" s="109">
        <f>IFERROR(
_xlfn.XLOOKUP(
"*"&amp;LEFT(TRIM(CLEAN(B88)),50)&amp;"*",
HISTORICOS!F:F,
HISTORICOS!H:H,
"No encontrado",
2
),
"No encontrado"
)</f>
        <v>384</v>
      </c>
      <c r="R88" s="109">
        <f>IFERROR(
_xlfn.XLOOKUP(
"*"&amp;LEFT(TRIM(CLEAN(B88)),100)&amp;"*",
HISTORICOS!K:K,
HISTORICOS!M:M,
"No encontrado",
2
),
"No encontrado"
)</f>
        <v>470</v>
      </c>
      <c r="S88" s="109">
        <f>IFERROR(
_xlfn.XLOOKUP("*"&amp;LEFT(TRIM(CLEAN(B88)),100)&amp;"*",HISTORICOS!P:P,HISTORICOS!R:R,"No encontrado",2),
IFERROR(
_xlfn.XLOOKUP("*"&amp;LEFT(TRIM(CLEAN(B88)),70)&amp;"*",HISTORICOS!P:P,HISTORICOS!R:R,"No encontrado",2),
IFERROR(
_xlfn.XLOOKUP("*"&amp;LEFT(TRIM(CLEAN(B88)),50)&amp;"*",HISTORICOS!P:P,HISTORICOS!R:R,"No encontrado",2),
IFERROR(
_xlfn.XLOOKUP("*"&amp;LEFT(TRIM(CLEAN(B88)),30)&amp;"*",HISTORICOS!P:P,HISTORICOS!R:R,"No encontrado",2),
IFERROR(
_xlfn.XLOOKUP("*"&amp;LEFT(TRIM(CLEAN(B88)),10)&amp;"*",HISTORICOS!P:P,HISTORICOS!R:R,"No encontrado",2),
"No encontrado"
)))))</f>
        <v>470</v>
      </c>
      <c r="T88" s="109">
        <f t="shared" si="33"/>
        <v>399.99530335360004</v>
      </c>
      <c r="U88" s="109">
        <f t="shared" si="36"/>
        <v>424.632768</v>
      </c>
      <c r="V88" s="109">
        <f t="shared" si="34"/>
        <v>494.0324</v>
      </c>
      <c r="W88" s="109">
        <f t="shared" si="35"/>
        <v>499.32800000000003</v>
      </c>
      <c r="X88" s="123">
        <f t="shared" si="32"/>
        <v>0.1095352234950227</v>
      </c>
      <c r="Y88" s="124" t="str">
        <f t="shared" si="29"/>
        <v>Bajo</v>
      </c>
      <c r="Z88" s="109">
        <f t="shared" si="30"/>
        <v>459.332584</v>
      </c>
      <c r="AA88" s="109">
        <f t="shared" si="31"/>
        <v>452.43108604686734</v>
      </c>
      <c r="AC88" s="229"/>
      <c r="AD88"/>
    </row>
    <row r="89" spans="1:30" ht="33" customHeight="1">
      <c r="A89" s="3">
        <v>79</v>
      </c>
      <c r="B89" s="330" t="s">
        <v>96</v>
      </c>
      <c r="C89" s="331"/>
      <c r="D89" s="331"/>
      <c r="E89" s="331"/>
      <c r="F89" s="332"/>
      <c r="G89" s="178" t="s">
        <v>19</v>
      </c>
      <c r="H89" s="44">
        <f>'BELPAPEL (2a COTIZACION) '!J93</f>
        <v>1718</v>
      </c>
      <c r="I89" s="181">
        <f>'GRUPO LOS LAGOS SAS'!J93</f>
        <v>3808</v>
      </c>
      <c r="J89" s="16">
        <f>'SUMICORP LTDA'!J93</f>
        <v>6545</v>
      </c>
      <c r="K89" s="16">
        <f>'TELEAMARKETER (2a COTIZACION)'!J93</f>
        <v>6902</v>
      </c>
      <c r="L89" s="49">
        <f t="shared" si="26"/>
        <v>0.51545871277216881</v>
      </c>
      <c r="M89" s="50" t="str">
        <f t="shared" si="28"/>
        <v>Muy alto</v>
      </c>
      <c r="N89" s="51">
        <f t="shared" si="27"/>
        <v>5176.5</v>
      </c>
      <c r="P89" s="109">
        <f>IFERROR(
_xlfn.XLOOKUP(
"*"&amp;LEFT(TRIM(CLEAN(SUBSTITUTE(B89,CHAR(10)," "))),35)&amp;"*",
HISTORICOS!B:B,
HISTORICOS!D:D,
"No encontrado",
2
),
"No encontrado"
)</f>
        <v>2729</v>
      </c>
      <c r="Q89" s="109">
        <f>IFERROR(
_xlfn.XLOOKUP(
"*"&amp;LEFT(TRIM(CLEAN(B89)),50)&amp;"*",
HISTORICOS!F:F,
HISTORICOS!H:H,
"No encontrado",
2
),
"No encontrado"
)</f>
        <v>3962.7</v>
      </c>
      <c r="R89" s="109">
        <f>IFERROR(
_xlfn.XLOOKUP(
"*"&amp;LEFT(TRIM(CLEAN(B89)),100)&amp;"*",
HISTORICOS!K:K,
HISTORICOS!M:M,
"No encontrado",
2
),
"No encontrado"
)</f>
        <v>4165</v>
      </c>
      <c r="S89" s="109">
        <f>IFERROR(
_xlfn.XLOOKUP("*"&amp;LEFT(TRIM(CLEAN(B89)),100)&amp;"*",HISTORICOS!P:P,HISTORICOS!R:R,"No encontrado",2),
IFERROR(
_xlfn.XLOOKUP("*"&amp;LEFT(TRIM(CLEAN(B89)),70)&amp;"*",HISTORICOS!P:P,HISTORICOS!R:R,"No encontrado",2),
IFERROR(
_xlfn.XLOOKUP("*"&amp;LEFT(TRIM(CLEAN(B89)),50)&amp;"*",HISTORICOS!P:P,HISTORICOS!R:R,"No encontrado",2),
IFERROR(
_xlfn.XLOOKUP("*"&amp;LEFT(TRIM(CLEAN(B89)),30)&amp;"*",HISTORICOS!P:P,HISTORICOS!R:R,"No encontrado",2),
IFERROR(
_xlfn.XLOOKUP("*"&amp;LEFT(TRIM(CLEAN(B89)),10)&amp;"*",HISTORICOS!P:P,HISTORICOS!R:R,"No encontrado",2),
"No encontrado"
)))))</f>
        <v>4165</v>
      </c>
      <c r="T89" s="109">
        <f t="shared" si="33"/>
        <v>3297.3944037823999</v>
      </c>
      <c r="U89" s="109">
        <f t="shared" si="36"/>
        <v>4381.4295803999994</v>
      </c>
      <c r="V89" s="109">
        <f t="shared" si="34"/>
        <v>4377.4773999999998</v>
      </c>
      <c r="W89" s="109">
        <f t="shared" si="35"/>
        <v>4424.8959999999997</v>
      </c>
      <c r="X89" s="123">
        <f t="shared" si="32"/>
        <v>0.13324850902031279</v>
      </c>
      <c r="Y89" s="124" t="str">
        <f t="shared" si="29"/>
        <v>Bajo</v>
      </c>
      <c r="Z89" s="109">
        <f t="shared" si="30"/>
        <v>4379.4534901999996</v>
      </c>
      <c r="AA89" s="109">
        <f t="shared" si="31"/>
        <v>4090.0482202367184</v>
      </c>
      <c r="AC89" s="229"/>
      <c r="AD89"/>
    </row>
    <row r="90" spans="1:30" ht="41.7" customHeight="1">
      <c r="A90" s="3">
        <v>80</v>
      </c>
      <c r="B90" s="330" t="s">
        <v>97</v>
      </c>
      <c r="C90" s="331"/>
      <c r="D90" s="331"/>
      <c r="E90" s="331"/>
      <c r="F90" s="332"/>
      <c r="G90" s="178" t="s">
        <v>19</v>
      </c>
      <c r="H90" s="44">
        <f>'BELPAPEL (2a COTIZACION) '!J94</f>
        <v>10040</v>
      </c>
      <c r="I90" s="181">
        <f>'GRUPO LOS LAGOS SAS'!J94</f>
        <v>8234.7999999999993</v>
      </c>
      <c r="J90" s="16">
        <f>'SUMICORP LTDA'!J94</f>
        <v>10115</v>
      </c>
      <c r="K90" s="16">
        <f>'TELEAMARKETER (2a COTIZACION)'!J94</f>
        <v>12971</v>
      </c>
      <c r="L90" s="49">
        <f t="shared" si="26"/>
        <v>0.1893033781493739</v>
      </c>
      <c r="M90" s="50" t="str">
        <f t="shared" si="28"/>
        <v>Moderado</v>
      </c>
      <c r="N90" s="51">
        <f t="shared" si="27"/>
        <v>10077.5</v>
      </c>
      <c r="P90" s="109">
        <f>IFERROR(
_xlfn.XLOOKUP(
"*"&amp;LEFT(TRIM(CLEAN(SUBSTITUTE(B90,CHAR(10)," "))),35)&amp;"*",
HISTORICOS!B:B,
HISTORICOS!D:D,
"No encontrado",
2
),
"No encontrado"
)</f>
        <v>3348</v>
      </c>
      <c r="Q90" s="109">
        <f>IFERROR(
_xlfn.XLOOKUP(
"*"&amp;LEFT(TRIM(CLEAN(B90)),50)&amp;"*",
HISTORICOS!F:F,
HISTORICOS!H:H,
"No encontrado",
2
),
"No encontrado"
)</f>
        <v>3579.52</v>
      </c>
      <c r="R90" s="109">
        <f>IFERROR(
_xlfn.XLOOKUP(
"*"&amp;LEFT(TRIM(CLEAN(B90)),100)&amp;"*",
HISTORICOS!K:K,
HISTORICOS!M:M,
"No encontrado",
2
),
"No encontrado"
)</f>
        <v>5950</v>
      </c>
      <c r="S90" s="109">
        <f>IFERROR(
_xlfn.XLOOKUP("*"&amp;LEFT(TRIM(CLEAN(B90)),100)&amp;"*",HISTORICOS!P:P,HISTORICOS!R:R,"No encontrado",2),
IFERROR(
_xlfn.XLOOKUP("*"&amp;LEFT(TRIM(CLEAN(B90)),70)&amp;"*",HISTORICOS!P:P,HISTORICOS!R:R,"No encontrado",2),
IFERROR(
_xlfn.XLOOKUP("*"&amp;LEFT(TRIM(CLEAN(B90)),50)&amp;"*",HISTORICOS!P:P,HISTORICOS!R:R,"No encontrado",2),
IFERROR(
_xlfn.XLOOKUP("*"&amp;LEFT(TRIM(CLEAN(B90)),30)&amp;"*",HISTORICOS!P:P,HISTORICOS!R:R,"No encontrado",2),
IFERROR(
_xlfn.XLOOKUP("*"&amp;LEFT(TRIM(CLEAN(B90)),10)&amp;"*",HISTORICOS!P:P,HISTORICOS!R:R,"No encontrado",2),
"No encontrado"
)))))</f>
        <v>5950</v>
      </c>
      <c r="T90" s="109">
        <f t="shared" si="33"/>
        <v>4045.3051807487996</v>
      </c>
      <c r="U90" s="109">
        <f t="shared" si="36"/>
        <v>3957.7658470399997</v>
      </c>
      <c r="V90" s="109">
        <f t="shared" si="34"/>
        <v>6253.5123999999996</v>
      </c>
      <c r="W90" s="109">
        <f t="shared" si="35"/>
        <v>6321.28</v>
      </c>
      <c r="X90" s="123">
        <f t="shared" si="32"/>
        <v>0.25668669100520586</v>
      </c>
      <c r="Y90" s="124" t="str">
        <f t="shared" si="29"/>
        <v>Muy alto</v>
      </c>
      <c r="Z90" s="109">
        <f t="shared" si="30"/>
        <v>5149.4087903743994</v>
      </c>
      <c r="AA90" s="109">
        <f t="shared" si="31"/>
        <v>5015.7121851185229</v>
      </c>
      <c r="AC90" s="229"/>
      <c r="AD90"/>
    </row>
    <row r="91" spans="1:30" ht="28.5" customHeight="1">
      <c r="A91" s="3">
        <v>81</v>
      </c>
      <c r="B91" s="330" t="s">
        <v>98</v>
      </c>
      <c r="C91" s="331"/>
      <c r="D91" s="331"/>
      <c r="E91" s="331"/>
      <c r="F91" s="332"/>
      <c r="G91" s="178" t="s">
        <v>19</v>
      </c>
      <c r="H91" s="44">
        <f>'BELPAPEL (2a COTIZACION) '!J95</f>
        <v>10921</v>
      </c>
      <c r="I91" s="181">
        <f>'GRUPO LOS LAGOS SAS'!J95</f>
        <v>14280</v>
      </c>
      <c r="J91" s="16">
        <f>'SUMICORP LTDA'!J95</f>
        <v>19635</v>
      </c>
      <c r="K91" s="16">
        <f>'TELEAMARKETER (2a COTIZACION)'!J95</f>
        <v>34391</v>
      </c>
      <c r="L91" s="49">
        <f t="shared" si="26"/>
        <v>0.52325098916624779</v>
      </c>
      <c r="M91" s="50" t="str">
        <f t="shared" si="28"/>
        <v>Muy alto</v>
      </c>
      <c r="N91" s="51">
        <f t="shared" si="27"/>
        <v>16957.5</v>
      </c>
      <c r="P91" s="109">
        <f>IFERROR(
_xlfn.XLOOKUP(
"*"&amp;LEFT(TRIM(CLEAN(SUBSTITUTE(B91,CHAR(10)," "))),35)&amp;"*",
HISTORICOS!B:B,
HISTORICOS!D:D,
"No encontrado",
2
),
"No encontrado"
)</f>
        <v>12666</v>
      </c>
      <c r="Q91" s="109">
        <f>IFERROR(
_xlfn.XLOOKUP(
"*"&amp;LEFT(TRIM(CLEAN(B91)),50)&amp;"*",
HISTORICOS!F:F,
HISTORICOS!H:H,
"No encontrado",
2
),
"No encontrado"
)</f>
        <v>13209</v>
      </c>
      <c r="R91" s="109">
        <f>IFERROR(
_xlfn.XLOOKUP(
"*"&amp;LEFT(TRIM(CLEAN(B91)),100)&amp;"*",
HISTORICOS!K:K,
HISTORICOS!M:M,
"No encontrado",
2
),
"No encontrado"
)</f>
        <v>14875</v>
      </c>
      <c r="S91" s="109">
        <f>IFERROR(
_xlfn.XLOOKUP("*"&amp;LEFT(TRIM(CLEAN(B91)),100)&amp;"*",HISTORICOS!P:P,HISTORICOS!R:R,"No encontrado",2),
IFERROR(
_xlfn.XLOOKUP("*"&amp;LEFT(TRIM(CLEAN(B91)),70)&amp;"*",HISTORICOS!P:P,HISTORICOS!R:R,"No encontrado",2),
IFERROR(
_xlfn.XLOOKUP("*"&amp;LEFT(TRIM(CLEAN(B91)),50)&amp;"*",HISTORICOS!P:P,HISTORICOS!R:R,"No encontrado",2),
IFERROR(
_xlfn.XLOOKUP("*"&amp;LEFT(TRIM(CLEAN(B91)),30)&amp;"*",HISTORICOS!P:P,HISTORICOS!R:R,"No encontrado",2),
IFERROR(
_xlfn.XLOOKUP("*"&amp;LEFT(TRIM(CLEAN(B91)),10)&amp;"*",HISTORICOS!P:P,HISTORICOS!R:R,"No encontrado",2),
"No encontrado"
)))))</f>
        <v>14875</v>
      </c>
      <c r="T91" s="109">
        <f t="shared" si="33"/>
        <v>15303.839299929599</v>
      </c>
      <c r="U91" s="109">
        <f t="shared" si="36"/>
        <v>14604.619667999999</v>
      </c>
      <c r="V91" s="109">
        <f t="shared" si="34"/>
        <v>15633.687399999999</v>
      </c>
      <c r="W91" s="109">
        <f t="shared" si="35"/>
        <v>15803.2</v>
      </c>
      <c r="X91" s="123">
        <f t="shared" si="32"/>
        <v>3.4561414999111639E-2</v>
      </c>
      <c r="Y91" s="124" t="str">
        <f t="shared" si="29"/>
        <v>Bajo</v>
      </c>
      <c r="Z91" s="109">
        <f t="shared" si="30"/>
        <v>15468.7633499648</v>
      </c>
      <c r="AA91" s="109">
        <f t="shared" si="31"/>
        <v>15329.368954264726</v>
      </c>
      <c r="AC91" s="229"/>
      <c r="AD91"/>
    </row>
    <row r="92" spans="1:30" ht="29.7" customHeight="1">
      <c r="A92" s="4">
        <v>82</v>
      </c>
      <c r="B92" s="330" t="s">
        <v>99</v>
      </c>
      <c r="C92" s="331"/>
      <c r="D92" s="331"/>
      <c r="E92" s="331"/>
      <c r="F92" s="332"/>
      <c r="G92" s="179" t="s">
        <v>19</v>
      </c>
      <c r="H92" s="44">
        <f>'BELPAPEL (2a COTIZACION) '!J96</f>
        <v>89214</v>
      </c>
      <c r="I92" s="181">
        <f>'GRUPO LOS LAGOS SAS'!J96</f>
        <v>95067.91</v>
      </c>
      <c r="J92" s="16">
        <f>'SUMICORP LTDA'!J96</f>
        <v>140420</v>
      </c>
      <c r="K92" s="16">
        <f>'TELEAMARKETER (2a COTIZACION)'!J96</f>
        <v>510510</v>
      </c>
      <c r="L92" s="49">
        <f t="shared" si="26"/>
        <v>0.96950545693509449</v>
      </c>
      <c r="M92" s="50" t="str">
        <f t="shared" si="28"/>
        <v>Muy alto</v>
      </c>
      <c r="N92" s="51">
        <f t="shared" si="27"/>
        <v>117743.955</v>
      </c>
      <c r="P92" s="109">
        <f>IFERROR(
_xlfn.XLOOKUP(
"*"&amp;LEFT(TRIM(CLEAN(SUBSTITUTE(B92,CHAR(10)," "))),35)&amp;"*",
HISTORICOS!B:B,
HISTORICOS!D:D,
"No encontrado",
2
),
"No encontrado"
)</f>
        <v>84734</v>
      </c>
      <c r="Q92" s="109">
        <f>IFERROR(
_xlfn.XLOOKUP(
"*"&amp;LEFT(TRIM(CLEAN(B92)),50)&amp;"*",
HISTORICOS!F:F,
HISTORICOS!H:H,
"No encontrado",
2
),
"No encontrado"
)</f>
        <v>28203</v>
      </c>
      <c r="R92" s="109">
        <f>IFERROR(
_xlfn.XLOOKUP(
"*"&amp;LEFT(TRIM(CLEAN(B92)),100)&amp;"*",
HISTORICOS!K:K,
HISTORICOS!M:M,
"No encontrado",
2
),
"No encontrado"
)</f>
        <v>59500</v>
      </c>
      <c r="S92" s="109">
        <f>IFERROR(
_xlfn.XLOOKUP("*"&amp;LEFT(TRIM(CLEAN(B92)),100)&amp;"*",HISTORICOS!P:P,HISTORICOS!R:R,"No encontrado",2),
IFERROR(
_xlfn.XLOOKUP("*"&amp;LEFT(TRIM(CLEAN(B92)),70)&amp;"*",HISTORICOS!P:P,HISTORICOS!R:R,"No encontrado",2),
IFERROR(
_xlfn.XLOOKUP("*"&amp;LEFT(TRIM(CLEAN(B92)),50)&amp;"*",HISTORICOS!P:P,HISTORICOS!R:R,"No encontrado",2),
IFERROR(
_xlfn.XLOOKUP("*"&amp;LEFT(TRIM(CLEAN(B92)),30)&amp;"*",HISTORICOS!P:P,HISTORICOS!R:R,"No encontrado",2),
IFERROR(
_xlfn.XLOOKUP("*"&amp;LEFT(TRIM(CLEAN(B92)),10)&amp;"*",HISTORICOS!P:P,HISTORICOS!R:R,"No encontrado",2),
"No encontrado"
)))))</f>
        <v>59500</v>
      </c>
      <c r="T92" s="109">
        <f t="shared" si="33"/>
        <v>102380.46914551039</v>
      </c>
      <c r="U92" s="109">
        <f t="shared" si="36"/>
        <v>31182.765755999997</v>
      </c>
      <c r="V92" s="109">
        <f t="shared" si="34"/>
        <v>62534.562399999995</v>
      </c>
      <c r="W92" s="109">
        <f t="shared" si="35"/>
        <v>63212.800000000003</v>
      </c>
      <c r="X92" s="123">
        <f t="shared" si="32"/>
        <v>0.44973238931701059</v>
      </c>
      <c r="Y92" s="124" t="str">
        <f t="shared" si="29"/>
        <v>Muy alto</v>
      </c>
      <c r="Z92" s="109">
        <f t="shared" si="30"/>
        <v>62873.681199999999</v>
      </c>
      <c r="AA92" s="109">
        <f t="shared" si="31"/>
        <v>59602.465171002688</v>
      </c>
      <c r="AC92" s="229"/>
      <c r="AD92"/>
    </row>
    <row r="93" spans="1:30" ht="18" customHeight="1">
      <c r="A93" s="3">
        <v>83</v>
      </c>
      <c r="B93" s="330" t="s">
        <v>100</v>
      </c>
      <c r="C93" s="331"/>
      <c r="D93" s="331"/>
      <c r="E93" s="331"/>
      <c r="F93" s="332"/>
      <c r="G93" s="178" t="s">
        <v>19</v>
      </c>
      <c r="H93" s="44">
        <f>'BELPAPEL (2a COTIZACION) '!J97</f>
        <v>18493</v>
      </c>
      <c r="I93" s="181">
        <f>'GRUPO LOS LAGOS SAS'!J97</f>
        <v>59345.3</v>
      </c>
      <c r="J93" s="16">
        <f>'SUMICORP LTDA'!J97</f>
        <v>95200</v>
      </c>
      <c r="K93" s="16">
        <f>'TELEAMARKETER (2a COTIZACION)'!J97</f>
        <v>65450</v>
      </c>
      <c r="L93" s="49">
        <f t="shared" si="26"/>
        <v>0.52962901800972972</v>
      </c>
      <c r="M93" s="50" t="str">
        <f t="shared" si="28"/>
        <v>Muy alto</v>
      </c>
      <c r="N93" s="51">
        <f t="shared" si="27"/>
        <v>62397.65</v>
      </c>
      <c r="P93" s="109">
        <f>HISTORICOS!D79</f>
        <v>36171</v>
      </c>
      <c r="Q93" s="109">
        <f>IFERROR(
_xlfn.XLOOKUP(
"*"&amp;LEFT(TRIM(CLEAN(B93)),50)&amp;"*",
HISTORICOS!F:F,
HISTORICOS!H:H,
"No encontrado",
2
),
"No encontrado"
)</f>
        <v>23562</v>
      </c>
      <c r="R93" s="109">
        <f>IFERROR(
_xlfn.XLOOKUP(
"*"&amp;LEFT(TRIM(CLEAN(B93)),100)&amp;"*",
HISTORICOS!K:K,
HISTORICOS!M:M,
"No encontrado",
2
),
"No encontrado"
)</f>
        <v>28560</v>
      </c>
      <c r="S93" s="109">
        <f>IFERROR(
_xlfn.XLOOKUP("*"&amp;LEFT(TRIM(CLEAN(B93)),100)&amp;"*",HISTORICOS!P:P,HISTORICOS!R:R,"No encontrado",2),
IFERROR(
_xlfn.XLOOKUP("*"&amp;LEFT(TRIM(CLEAN(B93)),70)&amp;"*",HISTORICOS!P:P,HISTORICOS!R:R,"No encontrado",2),
IFERROR(
_xlfn.XLOOKUP("*"&amp;LEFT(TRIM(CLEAN(B93)),50)&amp;"*",HISTORICOS!P:P,HISTORICOS!R:R,"No encontrado",2),
IFERROR(
_xlfn.XLOOKUP("*"&amp;LEFT(TRIM(CLEAN(B93)),30)&amp;"*",HISTORICOS!P:P,HISTORICOS!R:R,"No encontrado",2),
IFERROR(
_xlfn.XLOOKUP("*"&amp;LEFT(TRIM(CLEAN(B93)),10)&amp;"*",HISTORICOS!P:P,HISTORICOS!R:R,"No encontrado",2),
"No encontrado"
)))))</f>
        <v>28560</v>
      </c>
      <c r="T93" s="109">
        <f t="shared" si="33"/>
        <v>43703.908464057597</v>
      </c>
      <c r="U93" s="109">
        <f t="shared" si="36"/>
        <v>26051.434824</v>
      </c>
      <c r="V93" s="109">
        <f t="shared" si="34"/>
        <v>30016.622399999997</v>
      </c>
      <c r="W93" s="109">
        <f t="shared" si="35"/>
        <v>30342.144</v>
      </c>
      <c r="X93" s="123">
        <f t="shared" si="32"/>
        <v>0.23675642142589831</v>
      </c>
      <c r="Y93" s="124" t="str">
        <f t="shared" si="29"/>
        <v>Alto</v>
      </c>
      <c r="Z93" s="109">
        <f t="shared" si="30"/>
        <v>30179.383199999997</v>
      </c>
      <c r="AA93" s="109">
        <f t="shared" si="31"/>
        <v>31910.969817114532</v>
      </c>
      <c r="AC93" s="229"/>
      <c r="AD93"/>
    </row>
    <row r="94" spans="1:30" ht="18" customHeight="1">
      <c r="A94" s="3">
        <v>84</v>
      </c>
      <c r="B94" s="330" t="s">
        <v>101</v>
      </c>
      <c r="C94" s="331"/>
      <c r="D94" s="331"/>
      <c r="E94" s="331"/>
      <c r="F94" s="332"/>
      <c r="G94" s="178" t="s">
        <v>102</v>
      </c>
      <c r="H94" s="44">
        <f>'BELPAPEL (2a COTIZACION) '!J98</f>
        <v>3605</v>
      </c>
      <c r="I94" s="181">
        <f>'GRUPO LOS LAGOS SAS'!J98</f>
        <v>5450.2</v>
      </c>
      <c r="J94" s="16">
        <f>'SUMICORP LTDA'!J98</f>
        <v>6664</v>
      </c>
      <c r="K94" s="16">
        <f>'TELEAMARKETER (2a COTIZACION)'!J98</f>
        <v>21420</v>
      </c>
      <c r="L94" s="49">
        <f t="shared" si="26"/>
        <v>0.88179674003295749</v>
      </c>
      <c r="M94" s="50" t="str">
        <f t="shared" si="28"/>
        <v>Muy alto</v>
      </c>
      <c r="N94" s="51">
        <f t="shared" si="27"/>
        <v>6057.1</v>
      </c>
      <c r="P94" s="109" t="s">
        <v>576</v>
      </c>
      <c r="Q94" s="109">
        <f>IFERROR(
_xlfn.XLOOKUP(
"*"&amp;LEFT(TRIM(CLEAN(B94)),10)&amp;"*",
HISTORICOS!F:F,
HISTORICOS!H:H,
"No comparable",
2
),
"No comparable"
)</f>
        <v>5087.25</v>
      </c>
      <c r="R94" s="109">
        <f>IFERROR(
_xlfn.XLOOKUP(
"*"&amp;LEFT(TRIM(CLEAN(B94)),100)&amp;"*",
HISTORICOS!K:K,
HISTORICOS!M:M,
"No encontrado",
2
),
"No encontrado"
)</f>
        <v>4760</v>
      </c>
      <c r="S94" s="109">
        <f>IFERROR(
_xlfn.XLOOKUP("*"&amp;LEFT(TRIM(CLEAN(B94)),100)&amp;"*",HISTORICOS!P:P,HISTORICOS!R:R,"No encontrado",2),
IFERROR(
_xlfn.XLOOKUP("*"&amp;LEFT(TRIM(CLEAN(B94)),70)&amp;"*",HISTORICOS!P:P,HISTORICOS!R:R,"No encontrado",2),
IFERROR(
_xlfn.XLOOKUP("*"&amp;LEFT(TRIM(CLEAN(B94)),50)&amp;"*",HISTORICOS!P:P,HISTORICOS!R:R,"No encontrado",2),
IFERROR(
_xlfn.XLOOKUP("*"&amp;LEFT(TRIM(CLEAN(B94)),30)&amp;"*",HISTORICOS!P:P,HISTORICOS!R:R,"No encontrado",2),
IFERROR(
_xlfn.XLOOKUP("*"&amp;LEFT(TRIM(CLEAN(B94)),10)&amp;"*",HISTORICOS!P:P,HISTORICOS!R:R,"No encontrado",2),
"No encontrado"
)))))</f>
        <v>4760</v>
      </c>
      <c r="T94" s="109" t="s">
        <v>576</v>
      </c>
      <c r="U94" s="109">
        <f t="shared" si="36"/>
        <v>5624.7905369999999</v>
      </c>
      <c r="V94" s="109">
        <f t="shared" si="34"/>
        <v>5002.8223999999991</v>
      </c>
      <c r="W94" s="109">
        <f t="shared" si="35"/>
        <v>5057.0240000000003</v>
      </c>
      <c r="X94" s="123">
        <f t="shared" si="32"/>
        <v>6.5895257532071524E-2</v>
      </c>
      <c r="Y94" s="124" t="str">
        <f t="shared" si="29"/>
        <v>Bajo</v>
      </c>
      <c r="Z94" s="109">
        <f t="shared" si="30"/>
        <v>5057.0240000000003</v>
      </c>
      <c r="AA94" s="109">
        <f t="shared" si="31"/>
        <v>5220.8211792941111</v>
      </c>
      <c r="AC94" s="229"/>
      <c r="AD94"/>
    </row>
    <row r="95" spans="1:30" ht="18" customHeight="1">
      <c r="A95" s="3">
        <v>85</v>
      </c>
      <c r="B95" s="330" t="s">
        <v>103</v>
      </c>
      <c r="C95" s="331"/>
      <c r="D95" s="331"/>
      <c r="E95" s="331"/>
      <c r="F95" s="332"/>
      <c r="G95" s="178" t="s">
        <v>102</v>
      </c>
      <c r="H95" s="44">
        <f>'BELPAPEL (2a COTIZACION) '!J99</f>
        <v>3605</v>
      </c>
      <c r="I95" s="181">
        <f>'GRUPO LOS LAGOS SAS'!J99</f>
        <v>5450.2</v>
      </c>
      <c r="J95" s="16">
        <f>'SUMICORP LTDA'!J99</f>
        <v>6664</v>
      </c>
      <c r="K95" s="16">
        <f>'TELEAMARKETER (2a COTIZACION)'!J99</f>
        <v>29750</v>
      </c>
      <c r="L95" s="49">
        <f t="shared" si="26"/>
        <v>1.0837663831499826</v>
      </c>
      <c r="M95" s="50" t="str">
        <f t="shared" si="28"/>
        <v>Muy alto</v>
      </c>
      <c r="N95" s="51">
        <f t="shared" si="27"/>
        <v>6057.1</v>
      </c>
      <c r="P95" s="109" t="s">
        <v>576</v>
      </c>
      <c r="Q95" s="109">
        <f>IFERROR(
_xlfn.XLOOKUP(
"*"&amp;LEFT(TRIM(CLEAN(B95)),10)&amp;"*",
HISTORICOS!F:F,
HISTORICOS!H:H,
"No comparable",
2
),
"No comparable"
)</f>
        <v>5087.25</v>
      </c>
      <c r="R95" s="109">
        <f>IFERROR(
_xlfn.XLOOKUP(
"*"&amp;LEFT(TRIM(CLEAN(B95)),30)&amp;"*",
HISTORICOS!K:K,
HISTORICOS!M:M,
"No encontrado",
2
),
"No encontrado"
)</f>
        <v>4760</v>
      </c>
      <c r="S95" s="109">
        <f>IFERROR(
_xlfn.XLOOKUP("*"&amp;LEFT(TRIM(CLEAN(B95)),100)&amp;"*",HISTORICOS!P:P,HISTORICOS!R:R,"No encontrado",2),
IFERROR(
_xlfn.XLOOKUP("*"&amp;LEFT(TRIM(CLEAN(B95)),70)&amp;"*",HISTORICOS!P:P,HISTORICOS!R:R,"No encontrado",2),
IFERROR(
_xlfn.XLOOKUP("*"&amp;LEFT(TRIM(CLEAN(B95)),50)&amp;"*",HISTORICOS!P:P,HISTORICOS!R:R,"No encontrado",2),
IFERROR(
_xlfn.XLOOKUP("*"&amp;LEFT(TRIM(CLEAN(B95)),30)&amp;"*",HISTORICOS!P:P,HISTORICOS!R:R,"No encontrado",2),
IFERROR(
_xlfn.XLOOKUP("*"&amp;LEFT(TRIM(CLEAN(B95)),10)&amp;"*",HISTORICOS!P:P,HISTORICOS!R:R,"No encontrado",2),
"No encontrado"
)))))</f>
        <v>4760</v>
      </c>
      <c r="T95" s="109" t="s">
        <v>576</v>
      </c>
      <c r="U95" s="109">
        <f t="shared" si="36"/>
        <v>5624.7905369999999</v>
      </c>
      <c r="V95" s="109">
        <f t="shared" si="34"/>
        <v>5002.8223999999991</v>
      </c>
      <c r="W95" s="109">
        <f t="shared" si="35"/>
        <v>5057.0240000000003</v>
      </c>
      <c r="X95" s="123">
        <f t="shared" si="32"/>
        <v>6.5895257532071524E-2</v>
      </c>
      <c r="Y95" s="124" t="str">
        <f t="shared" si="29"/>
        <v>Bajo</v>
      </c>
      <c r="Z95" s="109">
        <f t="shared" si="30"/>
        <v>5057.0240000000003</v>
      </c>
      <c r="AA95" s="109">
        <f t="shared" si="31"/>
        <v>5220.8211792941111</v>
      </c>
      <c r="AC95" s="229"/>
      <c r="AD95"/>
    </row>
    <row r="96" spans="1:30" ht="18" customHeight="1">
      <c r="A96" s="3">
        <v>86</v>
      </c>
      <c r="B96" s="330" t="s">
        <v>104</v>
      </c>
      <c r="C96" s="331"/>
      <c r="D96" s="331"/>
      <c r="E96" s="331"/>
      <c r="F96" s="332"/>
      <c r="G96" s="178" t="s">
        <v>102</v>
      </c>
      <c r="H96" s="44">
        <f>'BELPAPEL (2a COTIZACION) '!J100</f>
        <v>22978</v>
      </c>
      <c r="I96" s="181">
        <f>'GRUPO LOS LAGOS SAS'!J100</f>
        <v>26418</v>
      </c>
      <c r="J96" s="16">
        <f>'SUMICORP LTDA'!J100</f>
        <v>33320</v>
      </c>
      <c r="K96" s="16">
        <f>'TELEAMARKETER (2a COTIZACION)'!J100</f>
        <v>33320</v>
      </c>
      <c r="L96" s="49">
        <f t="shared" si="26"/>
        <v>0.17829719664556581</v>
      </c>
      <c r="M96" s="50" t="str">
        <f t="shared" si="28"/>
        <v>Moderado</v>
      </c>
      <c r="N96" s="51">
        <f t="shared" si="27"/>
        <v>29869</v>
      </c>
      <c r="P96" s="109">
        <f>IFERROR(
_xlfn.XLOOKUP(
"*"&amp;LEFT(TRIM(CLEAN(SUBSTITUTE(B96,CHAR(10)," "))),35)&amp;"*",
HISTORICOS!B:B,
HISTORICOS!D:D,
"No encontrado",
2
),
"No encontrado"
)</f>
        <v>19985</v>
      </c>
      <c r="Q96" s="109">
        <f>IFERROR(
_xlfn.XLOOKUP(
"*"&amp;LEFT(TRIM(CLEAN(B96)),50)&amp;"*",
HISTORICOS!F:F,
HISTORICOS!H:H,
"No encontrado",
2
),
"No encontrado"
)</f>
        <v>14994</v>
      </c>
      <c r="R96" s="109">
        <f>IFERROR(
_xlfn.XLOOKUP(
"*"&amp;LEFT(TRIM(CLEAN(B96)),100)&amp;"*",
HISTORICOS!K:K,
HISTORICOS!M:M,
"No encontrado",
2
),
"No encontrado"
)</f>
        <v>20230</v>
      </c>
      <c r="S96" s="109">
        <f>IFERROR(
_xlfn.XLOOKUP("*"&amp;LEFT(TRIM(CLEAN(B96)),100)&amp;"*",HISTORICOS!P:P,HISTORICOS!R:R,"No encontrado",2),
IFERROR(
_xlfn.XLOOKUP("*"&amp;LEFT(TRIM(CLEAN(B96)),70)&amp;"*",HISTORICOS!P:P,HISTORICOS!R:R,"No encontrado",2),
IFERROR(
_xlfn.XLOOKUP("*"&amp;LEFT(TRIM(CLEAN(B96)),50)&amp;"*",HISTORICOS!P:P,HISTORICOS!R:R,"No encontrado",2),
IFERROR(
_xlfn.XLOOKUP("*"&amp;LEFT(TRIM(CLEAN(B96)),30)&amp;"*",HISTORICOS!P:P,HISTORICOS!R:R,"No encontrado",2),
IFERROR(
_xlfn.XLOOKUP("*"&amp;LEFT(TRIM(CLEAN(B96)),10)&amp;"*",HISTORICOS!P:P,HISTORICOS!R:R,"No encontrado",2),
"No encontrado"
)))))</f>
        <v>20230</v>
      </c>
      <c r="T96" s="109">
        <f t="shared" ref="T96:T112" si="37">P96*(1+$Q$4)*(1+$R$4)*(1+$S$4)*1+($T$4)</f>
        <v>24147.068664415998</v>
      </c>
      <c r="U96" s="109">
        <f t="shared" si="36"/>
        <v>16578.208487999997</v>
      </c>
      <c r="V96" s="109">
        <f t="shared" si="34"/>
        <v>21261.792399999998</v>
      </c>
      <c r="W96" s="109">
        <f t="shared" si="35"/>
        <v>21492.351999999999</v>
      </c>
      <c r="X96" s="123">
        <f t="shared" si="32"/>
        <v>0.15076284730866255</v>
      </c>
      <c r="Y96" s="124" t="str">
        <f t="shared" si="29"/>
        <v>Moderado</v>
      </c>
      <c r="Z96" s="109">
        <f t="shared" si="30"/>
        <v>21377.072199999999</v>
      </c>
      <c r="AA96" s="109">
        <f t="shared" si="31"/>
        <v>20680.996355024465</v>
      </c>
      <c r="AC96" s="229"/>
      <c r="AD96"/>
    </row>
    <row r="97" spans="1:30" ht="18" customHeight="1">
      <c r="A97" s="3">
        <v>87</v>
      </c>
      <c r="B97" s="330" t="s">
        <v>105</v>
      </c>
      <c r="C97" s="331"/>
      <c r="D97" s="331"/>
      <c r="E97" s="331"/>
      <c r="F97" s="332"/>
      <c r="G97" s="178" t="s">
        <v>102</v>
      </c>
      <c r="H97" s="44">
        <f>'BELPAPEL (2a COTIZACION) '!J101</f>
        <v>15819</v>
      </c>
      <c r="I97" s="181">
        <f>'GRUPO LOS LAGOS SAS'!J101</f>
        <v>19040</v>
      </c>
      <c r="J97" s="16">
        <f>'SUMICORP LTDA'!J101</f>
        <v>23205</v>
      </c>
      <c r="K97" s="16">
        <f>'TELEAMARKETER (2a COTIZACION)'!J101</f>
        <v>45220</v>
      </c>
      <c r="L97" s="49">
        <f t="shared" si="26"/>
        <v>0.51436421110175301</v>
      </c>
      <c r="M97" s="50" t="str">
        <f t="shared" si="28"/>
        <v>Muy alto</v>
      </c>
      <c r="N97" s="51">
        <f t="shared" si="27"/>
        <v>21122.5</v>
      </c>
      <c r="P97" s="109">
        <f>IFERROR(
_xlfn.XLOOKUP(
"*"&amp;LEFT(TRIM(CLEAN(SUBSTITUTE(B97,CHAR(10)," "))),35)&amp;"*",
HISTORICOS!B:B,
HISTORICOS!D:D,
"No encontrado",
2
),
"No encontrado"
)</f>
        <v>19985</v>
      </c>
      <c r="Q97" s="109">
        <f>IFERROR(
_xlfn.XLOOKUP(
"*"&amp;LEFT(TRIM(CLEAN(B97)),50)&amp;"*",
HISTORICOS!F:F,
HISTORICOS!H:H,
"No encontrado",
2
),
"No encontrado"
)</f>
        <v>15351</v>
      </c>
      <c r="R97" s="109">
        <f>IFERROR(
_xlfn.XLOOKUP(
"*"&amp;LEFT(TRIM(CLEAN(B97)),100)&amp;"*",
HISTORICOS!K:K,
HISTORICOS!M:M,
"No encontrado",
2
),
"No encontrado"
)</f>
        <v>17255</v>
      </c>
      <c r="S97" s="109">
        <f>IFERROR(
_xlfn.XLOOKUP("*"&amp;LEFT(TRIM(CLEAN(B97)),100)&amp;"*",HISTORICOS!P:P,HISTORICOS!R:R,"No encontrado",2),
IFERROR(
_xlfn.XLOOKUP("*"&amp;LEFT(TRIM(CLEAN(B97)),70)&amp;"*",HISTORICOS!P:P,HISTORICOS!R:R,"No encontrado",2),
IFERROR(
_xlfn.XLOOKUP("*"&amp;LEFT(TRIM(CLEAN(B97)),50)&amp;"*",HISTORICOS!P:P,HISTORICOS!R:R,"No encontrado",2),
IFERROR(
_xlfn.XLOOKUP("*"&amp;LEFT(TRIM(CLEAN(B97)),30)&amp;"*",HISTORICOS!P:P,HISTORICOS!R:R,"No encontrado",2),
IFERROR(
_xlfn.XLOOKUP("*"&amp;LEFT(TRIM(CLEAN(B97)),10)&amp;"*",HISTORICOS!P:P,HISTORICOS!R:R,"No encontrado",2),
"No encontrado"
)))))</f>
        <v>17255</v>
      </c>
      <c r="T97" s="109">
        <f t="shared" si="37"/>
        <v>24147.068664415998</v>
      </c>
      <c r="U97" s="109">
        <f t="shared" si="36"/>
        <v>16972.926251999997</v>
      </c>
      <c r="V97" s="109">
        <f t="shared" si="34"/>
        <v>18135.067399999996</v>
      </c>
      <c r="W97" s="109">
        <f t="shared" si="35"/>
        <v>18331.712</v>
      </c>
      <c r="X97" s="123">
        <f t="shared" si="32"/>
        <v>0.16617143352959532</v>
      </c>
      <c r="Y97" s="124" t="str">
        <f t="shared" si="29"/>
        <v>Moderado</v>
      </c>
      <c r="Z97" s="109">
        <f t="shared" si="30"/>
        <v>18233.3897</v>
      </c>
      <c r="AA97" s="109">
        <f t="shared" si="31"/>
        <v>19212.58647400776</v>
      </c>
      <c r="AC97" s="229"/>
      <c r="AD97"/>
    </row>
    <row r="98" spans="1:30" ht="18" customHeight="1">
      <c r="A98" s="3">
        <v>88</v>
      </c>
      <c r="B98" s="330" t="s">
        <v>106</v>
      </c>
      <c r="C98" s="331"/>
      <c r="D98" s="331"/>
      <c r="E98" s="331"/>
      <c r="F98" s="332"/>
      <c r="G98" s="178" t="s">
        <v>102</v>
      </c>
      <c r="H98" s="44">
        <f>'BELPAPEL (2a COTIZACION) '!J102</f>
        <v>18743</v>
      </c>
      <c r="I98" s="181">
        <f>'GRUPO LOS LAGOS SAS'!J102</f>
        <v>31535</v>
      </c>
      <c r="J98" s="16">
        <f>'SUMICORP LTDA'!J102</f>
        <v>19635</v>
      </c>
      <c r="K98" s="16">
        <f>'TELEAMARKETER (2a COTIZACION)'!J102</f>
        <v>46350.5</v>
      </c>
      <c r="L98" s="49">
        <f t="shared" si="26"/>
        <v>0.44432054107290175</v>
      </c>
      <c r="M98" s="50" t="str">
        <f t="shared" si="28"/>
        <v>Muy alto</v>
      </c>
      <c r="N98" s="51">
        <f t="shared" si="27"/>
        <v>25585</v>
      </c>
      <c r="P98" s="109">
        <f>IFERROR(
_xlfn.XLOOKUP(
"*"&amp;LEFT(TRIM(CLEAN(SUBSTITUTE(B98,CHAR(10)," "))),35)&amp;"*",
HISTORICOS!B:B,
HISTORICOS!D:D,
"No encontrado",
2
),
"No encontrado"
)</f>
        <v>16023</v>
      </c>
      <c r="Q98" s="109">
        <f>IFERROR(
_xlfn.XLOOKUP(
"*"&amp;LEFT(TRIM(CLEAN(B98)),50)&amp;"*",
HISTORICOS!F:F,
HISTORICOS!H:H,
"No encontrado",
2
),
"No encontrado"
)</f>
        <v>7387.52</v>
      </c>
      <c r="R98" s="109">
        <f>IFERROR(
_xlfn.XLOOKUP(
"*"&amp;LEFT(TRIM(CLEAN(B98)),100)&amp;"*",
HISTORICOS!K:K,
HISTORICOS!M:M,
"No encontrado",
2
),
"No encontrado"
)</f>
        <v>9520</v>
      </c>
      <c r="S98" s="109">
        <f>IFERROR(
_xlfn.XLOOKUP("*"&amp;LEFT(TRIM(CLEAN(B98)),100)&amp;"*",HISTORICOS!P:P,HISTORICOS!R:R,"No encontrado",2),
IFERROR(
_xlfn.XLOOKUP("*"&amp;LEFT(TRIM(CLEAN(B98)),70)&amp;"*",HISTORICOS!P:P,HISTORICOS!R:R,"No encontrado",2),
IFERROR(
_xlfn.XLOOKUP("*"&amp;LEFT(TRIM(CLEAN(B98)),50)&amp;"*",HISTORICOS!P:P,HISTORICOS!R:R,"No encontrado",2),
IFERROR(
_xlfn.XLOOKUP("*"&amp;LEFT(TRIM(CLEAN(B98)),30)&amp;"*",HISTORICOS!P:P,HISTORICOS!R:R,"No encontrado",2),
IFERROR(
_xlfn.XLOOKUP("*"&amp;LEFT(TRIM(CLEAN(B98)),10)&amp;"*",HISTORICOS!P:P,HISTORICOS!R:R,"No encontrado",2),
"No encontrado"
)))))</f>
        <v>9520</v>
      </c>
      <c r="T98" s="109">
        <f t="shared" si="37"/>
        <v>19359.956389228795</v>
      </c>
      <c r="U98" s="109">
        <f t="shared" si="36"/>
        <v>8168.08866304</v>
      </c>
      <c r="V98" s="109">
        <f t="shared" si="34"/>
        <v>10005.582399999999</v>
      </c>
      <c r="W98" s="109">
        <f t="shared" si="35"/>
        <v>10114.048000000001</v>
      </c>
      <c r="X98" s="123">
        <f t="shared" si="32"/>
        <v>0.42352513602248099</v>
      </c>
      <c r="Y98" s="124" t="str">
        <f t="shared" si="29"/>
        <v>Muy alto</v>
      </c>
      <c r="Z98" s="109">
        <f t="shared" si="30"/>
        <v>10059.815200000001</v>
      </c>
      <c r="AA98" s="109">
        <f t="shared" si="31"/>
        <v>11247.294070845352</v>
      </c>
      <c r="AC98" s="229"/>
      <c r="AD98"/>
    </row>
    <row r="99" spans="1:30" ht="18" customHeight="1">
      <c r="A99" s="3">
        <v>89</v>
      </c>
      <c r="B99" s="330" t="s">
        <v>107</v>
      </c>
      <c r="C99" s="331"/>
      <c r="D99" s="331"/>
      <c r="E99" s="331"/>
      <c r="F99" s="332"/>
      <c r="G99" s="178" t="s">
        <v>19</v>
      </c>
      <c r="H99" s="44">
        <f>'BELPAPEL (2a COTIZACION) '!J103</f>
        <v>312</v>
      </c>
      <c r="I99" s="181">
        <f>'GRUPO LOS LAGOS SAS'!J103</f>
        <v>2380</v>
      </c>
      <c r="J99" s="16">
        <f>'SUMICORP LTDA'!J103</f>
        <v>2856</v>
      </c>
      <c r="K99" s="16">
        <f>'TELEAMARKETER (2a COTIZACION)'!J103</f>
        <v>892.5</v>
      </c>
      <c r="L99" s="49">
        <f t="shared" si="26"/>
        <v>0.74743938508147878</v>
      </c>
      <c r="M99" s="50" t="str">
        <f t="shared" si="28"/>
        <v>Muy alto</v>
      </c>
      <c r="N99" s="51">
        <f t="shared" si="27"/>
        <v>1636.25</v>
      </c>
      <c r="P99" s="109">
        <f>IFERROR(
_xlfn.XLOOKUP(
"*"&amp;LEFT(TRIM(CLEAN(SUBSTITUTE(B99,CHAR(10)," "))),35)&amp;"*",
HISTORICOS!B:B,
HISTORICOS!D:D,
"No encontrado",
2
),
"No encontrado"
)</f>
        <v>1431</v>
      </c>
      <c r="Q99" s="109">
        <f>IFERROR(
_xlfn.XLOOKUP(
"*"&amp;LEFT(TRIM(CLEAN(B99)),50)&amp;"*",
HISTORICOS!F:F,
HISTORICOS!H:H,
"No encontrado",
2
),
"No encontrado"
)</f>
        <v>3659.25</v>
      </c>
      <c r="R99" s="109">
        <f>IFERROR(
_xlfn.XLOOKUP(
"*"&amp;LEFT(TRIM(CLEAN(B99)),100)&amp;"*",
HISTORICOS!K:K,
HISTORICOS!M:M,
"No encontrado",
2
),
"No encontrado"
)</f>
        <v>1178.0999999999999</v>
      </c>
      <c r="S99" s="109">
        <f>IFERROR(
_xlfn.XLOOKUP("*"&amp;LEFT(TRIM(CLEAN(B99)),100)&amp;"*",HISTORICOS!P:P,HISTORICOS!R:R,"No encontrado",2),
IFERROR(
_xlfn.XLOOKUP("*"&amp;LEFT(TRIM(CLEAN(B99)),70)&amp;"*",HISTORICOS!P:P,HISTORICOS!R:R,"No encontrado",2),
IFERROR(
_xlfn.XLOOKUP("*"&amp;LEFT(TRIM(CLEAN(B99)),50)&amp;"*",HISTORICOS!P:P,HISTORICOS!R:R,"No encontrado",2),
IFERROR(
_xlfn.XLOOKUP("*"&amp;LEFT(TRIM(CLEAN(B99)),30)&amp;"*",HISTORICOS!P:P,HISTORICOS!R:R,"No encontrado",2),
IFERROR(
_xlfn.XLOOKUP("*"&amp;LEFT(TRIM(CLEAN(B99)),10)&amp;"*",HISTORICOS!P:P,HISTORICOS!R:R,"No encontrado",2),
"No encontrado"
)))))</f>
        <v>1178.0999999999999</v>
      </c>
      <c r="T99" s="109">
        <f t="shared" si="37"/>
        <v>1729.0774595136002</v>
      </c>
      <c r="U99" s="109">
        <f t="shared" si="36"/>
        <v>4045.9194809999995</v>
      </c>
      <c r="V99" s="109">
        <f t="shared" si="34"/>
        <v>1238.2454999999998</v>
      </c>
      <c r="W99" s="109">
        <f t="shared" si="35"/>
        <v>1251.6134399999999</v>
      </c>
      <c r="X99" s="123">
        <f t="shared" si="32"/>
        <v>0.64824019410999922</v>
      </c>
      <c r="Y99" s="124" t="str">
        <f t="shared" si="29"/>
        <v>Muy alto</v>
      </c>
      <c r="Z99" s="109">
        <f t="shared" si="30"/>
        <v>1490.3454497568</v>
      </c>
      <c r="AA99" s="109">
        <f t="shared" si="31"/>
        <v>1814.5843681283486</v>
      </c>
      <c r="AC99" s="229"/>
      <c r="AD99"/>
    </row>
    <row r="100" spans="1:30" ht="28.2" customHeight="1">
      <c r="A100" s="3">
        <v>90</v>
      </c>
      <c r="B100" s="330" t="s">
        <v>108</v>
      </c>
      <c r="C100" s="331"/>
      <c r="D100" s="331"/>
      <c r="E100" s="331"/>
      <c r="F100" s="332"/>
      <c r="G100" s="178" t="s">
        <v>19</v>
      </c>
      <c r="H100" s="44">
        <f>'BELPAPEL (2a COTIZACION) '!J104</f>
        <v>1206</v>
      </c>
      <c r="I100" s="181">
        <f>'GRUPO LOS LAGOS SAS'!J104</f>
        <v>1416.1</v>
      </c>
      <c r="J100" s="16">
        <f>'SUMICORP LTDA'!J104</f>
        <v>2737</v>
      </c>
      <c r="K100" s="16">
        <f>'TELEAMARKETER (2a COTIZACION)'!J104</f>
        <v>11781</v>
      </c>
      <c r="L100" s="49">
        <f t="shared" si="26"/>
        <v>1.1769016325941444</v>
      </c>
      <c r="M100" s="50" t="str">
        <f t="shared" si="28"/>
        <v>Muy alto</v>
      </c>
      <c r="N100" s="51">
        <f t="shared" si="27"/>
        <v>2076.5500000000002</v>
      </c>
      <c r="P100" s="109">
        <f>IFERROR(
_xlfn.XLOOKUP(
"*"&amp;LEFT(B100,FIND(" ",B100&amp;" ")-1)&amp;"*",
HISTORICOS!B:B,
HISTORICOS!D:D,
"No encontrado",
2
),
"No encontrado"
)</f>
        <v>694</v>
      </c>
      <c r="Q100" s="109">
        <f>IFERROR(
_xlfn.XLOOKUP(
"*"&amp;LEFT(TRIM(CLEAN(B100)),50)&amp;"*",
HISTORICOS!F:F,
HISTORICOS!H:H,
"No encontrado",
2
),
"No encontrado"
)</f>
        <v>1767.15</v>
      </c>
      <c r="R100" s="109">
        <f>IFERROR(
_xlfn.XLOOKUP(
"*"&amp;LEFT(TRIM(CLEAN(B100)),100)&amp;"*",
HISTORICOS!K:K,
HISTORICOS!M:M,
"No encontrado",
2
),
"No encontrado"
)</f>
        <v>1547</v>
      </c>
      <c r="S100" s="109">
        <f>IFERROR(
_xlfn.XLOOKUP("*"&amp;LEFT(TRIM(CLEAN(B100)),100)&amp;"*",HISTORICOS!P:P,HISTORICOS!R:R,"No encontrado",2),
IFERROR(
_xlfn.XLOOKUP("*"&amp;LEFT(TRIM(CLEAN(B100)),70)&amp;"*",HISTORICOS!P:P,HISTORICOS!R:R,"No encontrado",2),
IFERROR(
_xlfn.XLOOKUP("*"&amp;LEFT(TRIM(CLEAN(B100)),50)&amp;"*",HISTORICOS!P:P,HISTORICOS!R:R,"No encontrado",2),
IFERROR(
_xlfn.XLOOKUP("*"&amp;LEFT(TRIM(CLEAN(B100)),30)&amp;"*",HISTORICOS!P:P,HISTORICOS!R:R,"No encontrado",2),
IFERROR(
_xlfn.XLOOKUP("*"&amp;LEFT(TRIM(CLEAN(B100)),10)&amp;"*",HISTORICOS!P:P,HISTORICOS!R:R,"No encontrado",2),
"No encontrado"
)))))</f>
        <v>1547</v>
      </c>
      <c r="T100" s="109">
        <f t="shared" si="37"/>
        <v>838.59241488639998</v>
      </c>
      <c r="U100" s="109">
        <f t="shared" si="36"/>
        <v>1953.9153318000001</v>
      </c>
      <c r="V100" s="109">
        <f t="shared" si="34"/>
        <v>1625.9594</v>
      </c>
      <c r="W100" s="109">
        <f t="shared" si="35"/>
        <v>1643.5328</v>
      </c>
      <c r="X100" s="123">
        <f t="shared" si="32"/>
        <v>0.31392080590985949</v>
      </c>
      <c r="Y100" s="124" t="str">
        <f t="shared" si="29"/>
        <v>Muy alto</v>
      </c>
      <c r="Z100" s="109">
        <f t="shared" si="30"/>
        <v>1634.7460999999998</v>
      </c>
      <c r="AA100" s="109">
        <f t="shared" si="31"/>
        <v>1446.5591138320251</v>
      </c>
      <c r="AC100" s="229"/>
      <c r="AD100"/>
    </row>
    <row r="101" spans="1:30" ht="27.45" customHeight="1">
      <c r="A101" s="3">
        <v>91</v>
      </c>
      <c r="B101" s="330" t="s">
        <v>200</v>
      </c>
      <c r="C101" s="334"/>
      <c r="D101" s="334"/>
      <c r="E101" s="334"/>
      <c r="F101" s="335"/>
      <c r="G101" s="178" t="s">
        <v>19</v>
      </c>
      <c r="H101" s="44">
        <f>'BELPAPEL (2a COTIZACION) '!J105</f>
        <v>1262</v>
      </c>
      <c r="I101" s="181">
        <f>'GRUPO LOS LAGOS SAS'!J105</f>
        <v>1487.5</v>
      </c>
      <c r="J101" s="16">
        <f>'SUMICORP LTDA'!J105</f>
        <v>2737</v>
      </c>
      <c r="K101" s="16">
        <f>'TELEAMARKETER (2a COTIZACION)'!J105</f>
        <v>12495</v>
      </c>
      <c r="L101" s="49">
        <f t="shared" si="26"/>
        <v>1.1950940160770163</v>
      </c>
      <c r="M101" s="50" t="str">
        <f t="shared" si="28"/>
        <v>Muy alto</v>
      </c>
      <c r="N101" s="51">
        <f t="shared" si="27"/>
        <v>2112.25</v>
      </c>
      <c r="P101" s="109">
        <f>HISTORICOS!D65</f>
        <v>844</v>
      </c>
      <c r="Q101" s="109">
        <f>IFERROR(
_xlfn.XLOOKUP(
"*"&amp;LEFT(TRIM(CLEAN(B101)),50)&amp;"*",
HISTORICOS!F:F,
HISTORICOS!H:H,
"No encontrado",
2
),
"No encontrado"
)</f>
        <v>1767.15</v>
      </c>
      <c r="R101" s="109">
        <f>IFERROR(
_xlfn.XLOOKUP(
"*"&amp;LEFT(TRIM(CLEAN(B101)),30)&amp;"*",
HISTORICOS!K:K,
HISTORICOS!M:M,
"No encontrado",
2
),
"No encontrado"
)</f>
        <v>1666</v>
      </c>
      <c r="S101" s="109">
        <f>IFERROR(
_xlfn.XLOOKUP(
"*"&amp;LEFT(TRIM(CLEAN(B101)),30)&amp;"*",
HISTORICOS!P:P,
HISTORICOS!R:R,
"No encontrado",
2
),
"No encontrado"
)</f>
        <v>1666</v>
      </c>
      <c r="T101" s="109">
        <f t="shared" si="37"/>
        <v>1019.8308907264001</v>
      </c>
      <c r="U101" s="109">
        <f t="shared" si="36"/>
        <v>1953.9153318000001</v>
      </c>
      <c r="V101" s="109">
        <f t="shared" si="34"/>
        <v>1751.0283999999999</v>
      </c>
      <c r="W101" s="109">
        <f t="shared" si="35"/>
        <v>1769.9584</v>
      </c>
      <c r="X101" s="123">
        <f t="shared" si="32"/>
        <v>0.25425979995182368</v>
      </c>
      <c r="Y101" s="124" t="str">
        <f t="shared" si="29"/>
        <v>Muy alto</v>
      </c>
      <c r="Z101" s="109">
        <f t="shared" si="30"/>
        <v>1760.4933999999998</v>
      </c>
      <c r="AA101" s="109">
        <f t="shared" si="31"/>
        <v>1576.4221851195282</v>
      </c>
      <c r="AC101" s="229"/>
      <c r="AD101"/>
    </row>
    <row r="102" spans="1:30" ht="31.2" customHeight="1">
      <c r="A102" s="3">
        <v>92</v>
      </c>
      <c r="B102" s="330" t="s">
        <v>109</v>
      </c>
      <c r="C102" s="331"/>
      <c r="D102" s="331"/>
      <c r="E102" s="331"/>
      <c r="F102" s="332"/>
      <c r="G102" s="178" t="s">
        <v>19</v>
      </c>
      <c r="H102" s="44">
        <f>'BELPAPEL (2a COTIZACION) '!J106</f>
        <v>481</v>
      </c>
      <c r="I102" s="181">
        <f>'GRUPO LOS LAGOS SAS'!J106</f>
        <v>1178.0999999999999</v>
      </c>
      <c r="J102" s="16">
        <f>'SUMICORP LTDA'!J106</f>
        <v>1190</v>
      </c>
      <c r="K102" s="16">
        <f>'TELEAMARKETER (2a COTIZACION)'!J106</f>
        <v>6664</v>
      </c>
      <c r="L102" s="49">
        <f t="shared" si="26"/>
        <v>1.2094109384796654</v>
      </c>
      <c r="M102" s="50" t="str">
        <f t="shared" si="28"/>
        <v>Muy alto</v>
      </c>
      <c r="N102" s="51">
        <f t="shared" si="27"/>
        <v>1184.05</v>
      </c>
      <c r="P102" s="109">
        <f>IFERROR(
_xlfn.XLOOKUP(
"*"&amp;LEFT(TRIM(CLEAN(SUBSTITUTE(B102,CHAR(10)," "))),35)&amp;"*",
HISTORICOS!B:B,
HISTORICOS!D:D,
"No encontrado",
2
),
"No encontrado"
)</f>
        <v>624</v>
      </c>
      <c r="Q102" s="109">
        <f>IFERROR(
_xlfn.XLOOKUP(
"*"&amp;LEFT(TRIM(CLEAN(B102)),50)&amp;"*",
HISTORICOS!F:F,
HISTORICOS!H:H,
"No encontrado",
2
),
"No encontrado"
)</f>
        <v>685.44</v>
      </c>
      <c r="R102" s="109">
        <f>IFERROR(
_xlfn.XLOOKUP(
"*"&amp;LEFT(TRIM(CLEAN(B102)),100)&amp;"*",
HISTORICOS!K:K,
HISTORICOS!M:M,
"No encontrado",
2
),
"No encontrado"
)</f>
        <v>1165.01</v>
      </c>
      <c r="S102" s="109">
        <f>IFERROR(
_xlfn.XLOOKUP("*"&amp;LEFT(TRIM(CLEAN(B102)),100)&amp;"*",HISTORICOS!P:P,HISTORICOS!R:R,"No encontrado",2),
IFERROR(
_xlfn.XLOOKUP("*"&amp;LEFT(TRIM(CLEAN(B102)),70)&amp;"*",HISTORICOS!P:P,HISTORICOS!R:R,"No encontrado",2),
IFERROR(
_xlfn.XLOOKUP("*"&amp;LEFT(TRIM(CLEAN(B102)),50)&amp;"*",HISTORICOS!P:P,HISTORICOS!R:R,"No encontrado",2),
IFERROR(
_xlfn.XLOOKUP("*"&amp;LEFT(TRIM(CLEAN(B102)),30)&amp;"*",HISTORICOS!P:P,HISTORICOS!R:R,"No encontrado",2),
IFERROR(
_xlfn.XLOOKUP("*"&amp;LEFT(TRIM(CLEAN(B102)),10)&amp;"*",HISTORICOS!P:P,HISTORICOS!R:R,"No encontrado",2),
"No encontrado"
)))))</f>
        <v>1165.01</v>
      </c>
      <c r="T102" s="109">
        <f t="shared" si="37"/>
        <v>754.01445949440006</v>
      </c>
      <c r="U102" s="109">
        <f t="shared" si="36"/>
        <v>757.92050688000006</v>
      </c>
      <c r="V102" s="109">
        <f t="shared" si="34"/>
        <v>1224.4879099999998</v>
      </c>
      <c r="W102" s="109">
        <f t="shared" si="35"/>
        <v>1237.7066239999999</v>
      </c>
      <c r="X102" s="123">
        <f t="shared" si="32"/>
        <v>0.27616011928575823</v>
      </c>
      <c r="Y102" s="124" t="str">
        <f t="shared" si="29"/>
        <v>Muy alto</v>
      </c>
      <c r="Z102" s="109">
        <f t="shared" si="30"/>
        <v>991.20420844</v>
      </c>
      <c r="AA102" s="109">
        <f t="shared" si="31"/>
        <v>964.70357336129086</v>
      </c>
      <c r="AC102" s="229"/>
      <c r="AD102"/>
    </row>
    <row r="103" spans="1:30" ht="18" customHeight="1">
      <c r="A103" s="3">
        <v>93</v>
      </c>
      <c r="B103" s="330" t="s">
        <v>110</v>
      </c>
      <c r="C103" s="331"/>
      <c r="D103" s="331"/>
      <c r="E103" s="331"/>
      <c r="F103" s="332"/>
      <c r="G103" s="178" t="s">
        <v>77</v>
      </c>
      <c r="H103" s="44">
        <f>'BELPAPEL (2a COTIZACION) '!J107</f>
        <v>13120</v>
      </c>
      <c r="I103" s="181">
        <f>'GRUPO LOS LAGOS SAS'!J107</f>
        <v>1963.5</v>
      </c>
      <c r="J103" s="16">
        <f>'SUMICORP LTDA'!J107</f>
        <v>23205</v>
      </c>
      <c r="K103" s="16">
        <f>'TELEAMARKETER (2a COTIZACION)'!J107</f>
        <v>24276</v>
      </c>
      <c r="L103" s="49">
        <f t="shared" si="26"/>
        <v>0.66565802726452616</v>
      </c>
      <c r="M103" s="50" t="str">
        <f t="shared" si="28"/>
        <v>Muy alto</v>
      </c>
      <c r="N103" s="51">
        <f t="shared" si="27"/>
        <v>18162.5</v>
      </c>
      <c r="P103" s="109">
        <f>IFERROR(
_xlfn.XLOOKUP(
"*"&amp;LEFT(B103,FIND(" ",B103&amp;" ")-1)&amp;"*",
HISTORICOS!B:B,
HISTORICOS!D:D,
"No encontrado",
2
),
"No encontrado"
)</f>
        <v>12112</v>
      </c>
      <c r="Q103" s="109">
        <f>IFERROR(
_xlfn.XLOOKUP(
"*"&amp;LEFT(TRIM(CLEAN(B103)),10)&amp;"*",
HISTORICOS!F:F,
HISTORICOS!H:H,
"No encontrado",
2
),
"No encontrado"
)</f>
        <v>12947.2</v>
      </c>
      <c r="R103" s="109">
        <f>IFERROR(
_xlfn.XLOOKUP(
"*"&amp;LEFT(TRIM(CLEAN(B103)),100)&amp;"*",
HISTORICOS!K:K,
HISTORICOS!M:M,
"No encontrado",
2
),
"No encontrado"
)</f>
        <v>13685</v>
      </c>
      <c r="S103" s="109">
        <f>IFERROR(
_xlfn.XLOOKUP("*"&amp;LEFT(TRIM(CLEAN(B103)),100)&amp;"*",HISTORICOS!P:P,HISTORICOS!R:R,"No encontrado",2),
IFERROR(
_xlfn.XLOOKUP("*"&amp;LEFT(TRIM(CLEAN(B103)),70)&amp;"*",HISTORICOS!P:P,HISTORICOS!R:R,"No encontrado",2),
IFERROR(
_xlfn.XLOOKUP("*"&amp;LEFT(TRIM(CLEAN(B103)),50)&amp;"*",HISTORICOS!P:P,HISTORICOS!R:R,"No encontrado",2),
IFERROR(
_xlfn.XLOOKUP("*"&amp;LEFT(TRIM(CLEAN(B103)),30)&amp;"*",HISTORICOS!P:P,HISTORICOS!R:R,"No encontrado",2),
IFERROR(
_xlfn.XLOOKUP("*"&amp;LEFT(TRIM(CLEAN(B103)),10)&amp;"*",HISTORICOS!P:P,HISTORICOS!R:R,"No encontrado",2),
"No encontrado"
)))))</f>
        <v>13685</v>
      </c>
      <c r="T103" s="109">
        <f t="shared" si="37"/>
        <v>14634.465195827201</v>
      </c>
      <c r="U103" s="109">
        <f t="shared" si="36"/>
        <v>14315.1599744</v>
      </c>
      <c r="V103" s="109">
        <f t="shared" si="34"/>
        <v>14382.9974</v>
      </c>
      <c r="W103" s="109">
        <f t="shared" si="35"/>
        <v>14538.944</v>
      </c>
      <c r="X103" s="123">
        <f t="shared" si="32"/>
        <v>1.0042366361187943E-2</v>
      </c>
      <c r="Y103" s="124" t="str">
        <f t="shared" si="29"/>
        <v>Bajo</v>
      </c>
      <c r="Z103" s="109">
        <f t="shared" si="30"/>
        <v>14460.9707</v>
      </c>
      <c r="AA103" s="109">
        <f t="shared" si="31"/>
        <v>14467.344792278334</v>
      </c>
      <c r="AC103" s="229"/>
      <c r="AD103"/>
    </row>
    <row r="104" spans="1:30" ht="18" customHeight="1">
      <c r="A104" s="3">
        <v>94</v>
      </c>
      <c r="B104" s="330" t="s">
        <v>111</v>
      </c>
      <c r="C104" s="331"/>
      <c r="D104" s="331"/>
      <c r="E104" s="331"/>
      <c r="F104" s="332"/>
      <c r="G104" s="178" t="s">
        <v>19</v>
      </c>
      <c r="H104" s="44">
        <f>'BELPAPEL (2a COTIZACION) '!J108</f>
        <v>10308</v>
      </c>
      <c r="I104" s="181">
        <f>'GRUPO LOS LAGOS SAS'!J108</f>
        <v>11876.2</v>
      </c>
      <c r="J104" s="16">
        <f>'SUMICORP LTDA'!J108</f>
        <v>42840</v>
      </c>
      <c r="K104" s="16">
        <f>'TELEAMARKETER (2a COTIZACION)'!J108</f>
        <v>47481</v>
      </c>
      <c r="L104" s="49">
        <f t="shared" si="26"/>
        <v>0.70292969047131504</v>
      </c>
      <c r="M104" s="50" t="str">
        <f t="shared" si="28"/>
        <v>Muy alto</v>
      </c>
      <c r="N104" s="51">
        <f t="shared" si="27"/>
        <v>27358.1</v>
      </c>
      <c r="P104" s="109">
        <f>IFERROR(
_xlfn.XLOOKUP(
"*"&amp;LEFT(TRIM(CLEAN(SUBSTITUTE(B104,CHAR(10)," "))),35)&amp;"*",
HISTORICOS!B:B,
HISTORICOS!D:D,
"No encontrado",
2
),
"No encontrado"
)</f>
        <v>8782</v>
      </c>
      <c r="Q104" s="109">
        <f>IFERROR(
_xlfn.XLOOKUP(
"*"&amp;LEFT(TRIM(CLEAN(B104)),50)&amp;"*",
HISTORICOS!F:F,
HISTORICOS!H:H,
"No encontrado",
2
),
"No encontrado"
)</f>
        <v>10357.76</v>
      </c>
      <c r="R104" s="109">
        <f>IFERROR(
_xlfn.XLOOKUP(
"*"&amp;LEFT(TRIM(CLEAN(B104)),100)&amp;"*",
HISTORICOS!K:K,
HISTORICOS!M:M,
"No encontrado",
2
),
"No encontrado"
)</f>
        <v>9163</v>
      </c>
      <c r="S104" s="109">
        <f>IFERROR(
_xlfn.XLOOKUP("*"&amp;LEFT(TRIM(CLEAN(B104)),100)&amp;"*",HISTORICOS!P:P,HISTORICOS!R:R,"No encontrado",2),
IFERROR(
_xlfn.XLOOKUP("*"&amp;LEFT(TRIM(CLEAN(B104)),70)&amp;"*",HISTORICOS!P:P,HISTORICOS!R:R,"No encontrado",2),
IFERROR(
_xlfn.XLOOKUP("*"&amp;LEFT(TRIM(CLEAN(B104)),50)&amp;"*",HISTORICOS!P:P,HISTORICOS!R:R,"No encontrado",2),
IFERROR(
_xlfn.XLOOKUP("*"&amp;LEFT(TRIM(CLEAN(B104)),30)&amp;"*",HISTORICOS!P:P,HISTORICOS!R:R,"No encontrado",2),
IFERROR(
_xlfn.XLOOKUP("*"&amp;LEFT(TRIM(CLEAN(B104)),10)&amp;"*",HISTORICOS!P:P,HISTORICOS!R:R,"No encontrado",2),
"No encontrado"
)))))</f>
        <v>9163</v>
      </c>
      <c r="T104" s="109">
        <f t="shared" si="37"/>
        <v>10610.971032179201</v>
      </c>
      <c r="U104" s="109">
        <f t="shared" si="36"/>
        <v>11452.14045952</v>
      </c>
      <c r="V104" s="109">
        <f t="shared" si="34"/>
        <v>9630.3754000000008</v>
      </c>
      <c r="W104" s="109">
        <f t="shared" si="35"/>
        <v>9734.7711999999992</v>
      </c>
      <c r="X104" s="123">
        <f t="shared" si="32"/>
        <v>8.2286747988950693E-2</v>
      </c>
      <c r="Y104" s="124" t="str">
        <f t="shared" si="29"/>
        <v>Bajo</v>
      </c>
      <c r="Z104" s="109">
        <f t="shared" si="30"/>
        <v>10172.8711160896</v>
      </c>
      <c r="AA104" s="109">
        <f t="shared" si="31"/>
        <v>10331.245696787601</v>
      </c>
      <c r="AC104" s="229"/>
      <c r="AD104"/>
    </row>
    <row r="105" spans="1:30" ht="27.45" customHeight="1">
      <c r="A105" s="3">
        <v>95</v>
      </c>
      <c r="B105" s="330" t="s">
        <v>201</v>
      </c>
      <c r="C105" s="334"/>
      <c r="D105" s="334"/>
      <c r="E105" s="334"/>
      <c r="F105" s="335"/>
      <c r="G105" s="178" t="s">
        <v>19</v>
      </c>
      <c r="H105" s="44">
        <f>'BELPAPEL (2a COTIZACION) '!J109</f>
        <v>1587</v>
      </c>
      <c r="I105" s="181">
        <f>'GRUPO LOS LAGOS SAS'!J109</f>
        <v>2368.1</v>
      </c>
      <c r="J105" s="16">
        <f>'SUMICORP LTDA'!J109</f>
        <v>3332</v>
      </c>
      <c r="K105" s="16">
        <f>'TELEAMARKETER (2a COTIZACION)'!J109</f>
        <v>3510.5</v>
      </c>
      <c r="L105" s="49">
        <f t="shared" si="26"/>
        <v>0.3317058197090495</v>
      </c>
      <c r="M105" s="50" t="str">
        <f t="shared" si="28"/>
        <v>Muy alto</v>
      </c>
      <c r="N105" s="51">
        <f t="shared" si="27"/>
        <v>2850.05</v>
      </c>
      <c r="P105" s="109">
        <f>IFERROR(
_xlfn.XLOOKUP(
"*"&amp;LEFT(B105,FIND(" ",B105&amp;" ")-1)&amp;"*",
HISTORICOS!B:B,
HISTORICOS!D:D,
"No encontrado",
2
),
"No encontrado"
)</f>
        <v>2404</v>
      </c>
      <c r="Q105" s="109">
        <f>IFERROR(
_xlfn.XLOOKUP(
"*"&amp;LEFT(TRIM(CLEAN(B105)),20)&amp;"*",
HISTORICOS!F:F,
HISTORICOS!H:H,
"No encontrado",
2
),
"No encontrado"
)</f>
        <v>2208.64</v>
      </c>
      <c r="R105" s="109">
        <f>IFERROR(
_xlfn.XLOOKUP(
"*"&amp;LEFT(TRIM(CLEAN(B105)),30)&amp;"*",
HISTORICOS!K:K,
HISTORICOS!M:M,
"No encontrado",
2
),
"No encontrado"
)</f>
        <v>2368.1</v>
      </c>
      <c r="S105" s="109">
        <f>IFERROR(
_xlfn.XLOOKUP(
"*"&amp;LEFT(TRIM(CLEAN(B105)),30)&amp;"*",
HISTORICOS!P:P,
HISTORICOS!R:R,
"No encontrado",
2
),
"No encontrado"
)</f>
        <v>2368.1</v>
      </c>
      <c r="T105" s="109">
        <f t="shared" si="37"/>
        <v>2904.7110394623996</v>
      </c>
      <c r="U105" s="109">
        <f t="shared" si="36"/>
        <v>2442.0496332799994</v>
      </c>
      <c r="V105" s="109">
        <f t="shared" si="34"/>
        <v>2488.9354999999996</v>
      </c>
      <c r="W105" s="109">
        <f t="shared" si="35"/>
        <v>2515.8694399999999</v>
      </c>
      <c r="X105" s="123">
        <f t="shared" si="32"/>
        <v>8.2462543065346464E-2</v>
      </c>
      <c r="Y105" s="124" t="str">
        <f t="shared" si="29"/>
        <v>Bajo</v>
      </c>
      <c r="Z105" s="109">
        <f t="shared" si="30"/>
        <v>2502.40247</v>
      </c>
      <c r="AA105" s="109">
        <f t="shared" si="31"/>
        <v>2581.6049845759494</v>
      </c>
      <c r="AC105" s="229"/>
      <c r="AD105"/>
    </row>
    <row r="106" spans="1:30" ht="18" customHeight="1">
      <c r="A106" s="3">
        <v>96</v>
      </c>
      <c r="B106" s="330" t="s">
        <v>112</v>
      </c>
      <c r="C106" s="331"/>
      <c r="D106" s="331"/>
      <c r="E106" s="331"/>
      <c r="F106" s="332"/>
      <c r="G106" s="178" t="s">
        <v>43</v>
      </c>
      <c r="H106" s="44">
        <f>'BELPAPEL (2a COTIZACION) '!J110</f>
        <v>23116</v>
      </c>
      <c r="I106" s="181">
        <f>'GRUPO LOS LAGOS SAS'!J110</f>
        <v>30571.1</v>
      </c>
      <c r="J106" s="16">
        <f>'SUMICORP LTDA'!J110</f>
        <v>26180</v>
      </c>
      <c r="K106" s="16">
        <f>'TELEAMARKETER (2a COTIZACION)'!J110</f>
        <v>29750</v>
      </c>
      <c r="L106" s="49">
        <f t="shared" si="26"/>
        <v>0.12538379162587193</v>
      </c>
      <c r="M106" s="50" t="str">
        <f t="shared" si="28"/>
        <v>Bajo</v>
      </c>
      <c r="N106" s="51">
        <f t="shared" si="27"/>
        <v>27965</v>
      </c>
      <c r="P106" s="109">
        <f>HISTORICOS!D92</f>
        <v>512</v>
      </c>
      <c r="Q106" s="109">
        <f>IFERROR(
_xlfn.XLOOKUP(
"*"&amp;LEFT(TRIM(CLEAN(B106)),50)&amp;"*",
HISTORICOS!F:F,
HISTORICOS!H:H,
"No encontrado",
2
),
"No encontrado"
)</f>
        <v>24371.200000000001</v>
      </c>
      <c r="R106" s="109">
        <f>IFERROR(
_xlfn.XLOOKUP(
"*"&amp;LEFT(TRIM(CLEAN(B106)),100)&amp;"*",
HISTORICOS!K:K,
HISTORICOS!M:M,
"No encontrado",
2
),
"No encontrado"
)</f>
        <v>19040</v>
      </c>
      <c r="S106" s="109">
        <f>IFERROR(
_xlfn.XLOOKUP("*"&amp;LEFT(TRIM(CLEAN(B106)),100)&amp;"*",HISTORICOS!P:P,HISTORICOS!R:R,"No encontrado",2),
IFERROR(
_xlfn.XLOOKUP("*"&amp;LEFT(TRIM(CLEAN(B106)),70)&amp;"*",HISTORICOS!P:P,HISTORICOS!R:R,"No encontrado",2),
IFERROR(
_xlfn.XLOOKUP("*"&amp;LEFT(TRIM(CLEAN(B106)),50)&amp;"*",HISTORICOS!P:P,HISTORICOS!R:R,"No encontrado",2),
IFERROR(
_xlfn.XLOOKUP("*"&amp;LEFT(TRIM(CLEAN(B106)),30)&amp;"*",HISTORICOS!P:P,HISTORICOS!R:R,"No encontrado",2),
IFERROR(
_xlfn.XLOOKUP("*"&amp;LEFT(TRIM(CLEAN(B106)),10)&amp;"*",HISTORICOS!P:P,HISTORICOS!R:R,"No encontrado",2),
"No encontrado"
)))))</f>
        <v>19040</v>
      </c>
      <c r="T106" s="109">
        <f t="shared" si="37"/>
        <v>618.68973086719996</v>
      </c>
      <c r="U106" s="109">
        <f t="shared" si="36"/>
        <v>26946.128422399997</v>
      </c>
      <c r="V106" s="109">
        <f t="shared" si="34"/>
        <v>20011.102399999996</v>
      </c>
      <c r="W106" s="109">
        <f t="shared" si="35"/>
        <v>20228.096000000001</v>
      </c>
      <c r="X106" s="123">
        <f t="shared" si="32"/>
        <v>0.66982199554698119</v>
      </c>
      <c r="Y106" s="124" t="str">
        <f t="shared" si="29"/>
        <v>Muy alto</v>
      </c>
      <c r="Z106" s="109">
        <f t="shared" si="30"/>
        <v>20119.599199999997</v>
      </c>
      <c r="AA106" s="109">
        <f t="shared" si="31"/>
        <v>9063.560244579252</v>
      </c>
      <c r="AC106" s="229"/>
      <c r="AD106"/>
    </row>
    <row r="107" spans="1:30" ht="18" customHeight="1">
      <c r="A107" s="3">
        <v>97</v>
      </c>
      <c r="B107" s="330" t="s">
        <v>202</v>
      </c>
      <c r="C107" s="334"/>
      <c r="D107" s="334"/>
      <c r="E107" s="334"/>
      <c r="F107" s="335"/>
      <c r="G107" s="178" t="s">
        <v>43</v>
      </c>
      <c r="H107" s="44">
        <f>'BELPAPEL (2a COTIZACION) '!J111</f>
        <v>29988</v>
      </c>
      <c r="I107" s="181">
        <f>'GRUPO LOS LAGOS SAS'!J111</f>
        <v>29750</v>
      </c>
      <c r="J107" s="16">
        <f>'SUMICORP LTDA'!J111</f>
        <v>33320</v>
      </c>
      <c r="K107" s="16">
        <f>'TELEAMARKETER (2a COTIZACION)'!J111</f>
        <v>32130</v>
      </c>
      <c r="L107" s="49">
        <f t="shared" ref="L107:L133" si="38">_xlfn.STDEV.S(H107:K107)/AVERAGE(H107:K107)</f>
        <v>5.5012761506237531E-2</v>
      </c>
      <c r="M107" s="50" t="str">
        <f t="shared" si="28"/>
        <v>Bajo</v>
      </c>
      <c r="N107" s="51">
        <f t="shared" ref="N107:N133" si="39">MEDIAN(H107:K107)</f>
        <v>31059</v>
      </c>
      <c r="P107" s="109">
        <f>IFERROR(
_xlfn.XLOOKUP(
"*"&amp;LEFT(TRIM(CLEAN(SUBSTITUTE(B107,CHAR(10)," "))),35)&amp;"*",
HISTORICOS!B:B,
HISTORICOS!D:D,
"No encontrado",
2
),
"No encontrado"
)</f>
        <v>12649</v>
      </c>
      <c r="Q107" s="109">
        <f>IFERROR(
_xlfn.XLOOKUP(
"*"&amp;LEFT(TRIM(CLEAN(B107)),50)&amp;"*",
HISTORICOS!F:F,
HISTORICOS!H:H,
"No encontrado",
2
),
"No encontrado"
)</f>
        <v>27667.5</v>
      </c>
      <c r="R107" s="109">
        <f>IFERROR(
_xlfn.XLOOKUP(
"*"&amp;LEFT(TRIM(CLEAN(B107)),30)&amp;"*",
HISTORICOS!K:K,
HISTORICOS!M:M,
"No encontrado",
2
),
"No encontrado"
)</f>
        <v>23681</v>
      </c>
      <c r="S107" s="109">
        <f>IFERROR(
_xlfn.XLOOKUP(
"*"&amp;LEFT(TRIM(CLEAN(B107)),30)&amp;"*",
HISTORICOS!P:P,
HISTORICOS!R:R,
"No encontrado",
2
),
"No encontrado"
)</f>
        <v>23681</v>
      </c>
      <c r="T107" s="109">
        <f t="shared" si="37"/>
        <v>15283.2989393344</v>
      </c>
      <c r="U107" s="109">
        <f t="shared" si="36"/>
        <v>30590.689109999999</v>
      </c>
      <c r="V107" s="109">
        <f t="shared" si="34"/>
        <v>24888.793399999999</v>
      </c>
      <c r="W107" s="109">
        <f t="shared" si="35"/>
        <v>25158.6944</v>
      </c>
      <c r="X107" s="123">
        <f t="shared" si="32"/>
        <v>0.26543567213768371</v>
      </c>
      <c r="Y107" s="124" t="str">
        <f t="shared" si="29"/>
        <v>Muy alto</v>
      </c>
      <c r="Z107" s="109">
        <f t="shared" si="30"/>
        <v>25023.743900000001</v>
      </c>
      <c r="AA107" s="109">
        <f t="shared" si="31"/>
        <v>23260.79627872413</v>
      </c>
      <c r="AC107" s="229"/>
      <c r="AD107"/>
    </row>
    <row r="108" spans="1:30" ht="18" customHeight="1">
      <c r="A108" s="3">
        <v>98</v>
      </c>
      <c r="B108" s="330" t="s">
        <v>113</v>
      </c>
      <c r="C108" s="331"/>
      <c r="D108" s="331"/>
      <c r="E108" s="331"/>
      <c r="F108" s="332"/>
      <c r="G108" s="178" t="s">
        <v>43</v>
      </c>
      <c r="H108" s="44">
        <f>'BELPAPEL (2a COTIZACION) '!J112</f>
        <v>15369</v>
      </c>
      <c r="I108" s="181">
        <f>'GRUPO LOS LAGOS SAS'!J112</f>
        <v>14280</v>
      </c>
      <c r="J108" s="16">
        <f>'SUMICORP LTDA'!J112</f>
        <v>21420</v>
      </c>
      <c r="K108" s="16">
        <f>'TELEAMARKETER (2a COTIZACION)'!J112</f>
        <v>36295</v>
      </c>
      <c r="L108" s="49">
        <f t="shared" si="38"/>
        <v>0.46403265859179149</v>
      </c>
      <c r="M108" s="50" t="str">
        <f t="shared" si="28"/>
        <v>Muy alto</v>
      </c>
      <c r="N108" s="51">
        <f t="shared" si="39"/>
        <v>18394.5</v>
      </c>
      <c r="P108" s="109">
        <f>IFERROR(
_xlfn.XLOOKUP(
"*"&amp;LEFT(TRIM(CLEAN(SUBSTITUTE(B108,CHAR(10)," "))),35)&amp;"*",
HISTORICOS!B:B,
HISTORICOS!D:D,
"No encontrado",
2
),
"No encontrado"
)</f>
        <v>12701</v>
      </c>
      <c r="Q108" s="109">
        <f>IFERROR(
_xlfn.XLOOKUP(
"*"&amp;LEFT(TRIM(CLEAN(B108)),50)&amp;"*",
HISTORICOS!F:F,
HISTORICOS!H:H,
"No encontrado",
2
),
"No encontrado"
)</f>
        <v>12947.2</v>
      </c>
      <c r="R108" s="109">
        <f>IFERROR(
_xlfn.XLOOKUP(
"*"&amp;LEFT(TRIM(CLEAN(B108)),100)&amp;"*",
HISTORICOS!K:K,
HISTORICOS!M:M,
"No encontrado",
2
),
"No encontrado"
)</f>
        <v>14280</v>
      </c>
      <c r="S108" s="109">
        <f>IFERROR(
_xlfn.XLOOKUP("*"&amp;LEFT(TRIM(CLEAN(B108)),100)&amp;"*",HISTORICOS!P:P,HISTORICOS!R:R,"No encontrado",2),
IFERROR(
_xlfn.XLOOKUP("*"&amp;LEFT(TRIM(CLEAN(B108)),70)&amp;"*",HISTORICOS!P:P,HISTORICOS!R:R,"No encontrado",2),
IFERROR(
_xlfn.XLOOKUP("*"&amp;LEFT(TRIM(CLEAN(B108)),50)&amp;"*",HISTORICOS!P:P,HISTORICOS!R:R,"No encontrado",2),
IFERROR(
_xlfn.XLOOKUP("*"&amp;LEFT(TRIM(CLEAN(B108)),30)&amp;"*",HISTORICOS!P:P,HISTORICOS!R:R,"No encontrado",2),
IFERROR(
_xlfn.XLOOKUP("*"&amp;LEFT(TRIM(CLEAN(B108)),10)&amp;"*",HISTORICOS!P:P,HISTORICOS!R:R,"No encontrado",2),
"No encontrado"
)))))</f>
        <v>14280</v>
      </c>
      <c r="T108" s="109">
        <f t="shared" si="37"/>
        <v>15346.128277625601</v>
      </c>
      <c r="U108" s="109">
        <f t="shared" si="36"/>
        <v>14315.1599744</v>
      </c>
      <c r="V108" s="109">
        <f t="shared" si="34"/>
        <v>15008.3424</v>
      </c>
      <c r="W108" s="109">
        <f t="shared" si="35"/>
        <v>15171.072</v>
      </c>
      <c r="X108" s="123">
        <f t="shared" si="32"/>
        <v>3.0186176783625177E-2</v>
      </c>
      <c r="Y108" s="124" t="str">
        <f t="shared" si="29"/>
        <v>Bajo</v>
      </c>
      <c r="Z108" s="109">
        <f t="shared" si="30"/>
        <v>15089.707200000001</v>
      </c>
      <c r="AA108" s="109">
        <f t="shared" si="31"/>
        <v>14954.985872616418</v>
      </c>
      <c r="AC108" s="229"/>
      <c r="AD108"/>
    </row>
    <row r="109" spans="1:30" ht="18" customHeight="1">
      <c r="A109" s="3">
        <v>99</v>
      </c>
      <c r="B109" s="330" t="s">
        <v>114</v>
      </c>
      <c r="C109" s="331"/>
      <c r="D109" s="331"/>
      <c r="E109" s="331"/>
      <c r="F109" s="332"/>
      <c r="G109" s="178" t="s">
        <v>115</v>
      </c>
      <c r="H109" s="44">
        <f>'BELPAPEL (2a COTIZACION) '!J113</f>
        <v>18243</v>
      </c>
      <c r="I109" s="181">
        <f>'GRUPO LOS LAGOS SAS'!J113</f>
        <v>22610</v>
      </c>
      <c r="J109" s="16">
        <f>'SUMICORP LTDA'!J113</f>
        <v>19040</v>
      </c>
      <c r="K109" s="16">
        <f>'TELEAMARKETER (2a COTIZACION)'!J113</f>
        <v>23205</v>
      </c>
      <c r="L109" s="49">
        <f t="shared" si="38"/>
        <v>0.12015798272054892</v>
      </c>
      <c r="M109" s="50" t="str">
        <f t="shared" si="28"/>
        <v>Bajo</v>
      </c>
      <c r="N109" s="51">
        <f t="shared" si="39"/>
        <v>20825</v>
      </c>
      <c r="P109" s="109">
        <f>IFERROR(
_xlfn.XLOOKUP(
"*"&amp;LEFT(TRIM(CLEAN(SUBSTITUTE(B109,CHAR(10)," "))),35)&amp;"*",
HISTORICOS!B:B,
HISTORICOS!D:D,
"No encontrado",
2
),
"No encontrado"
)</f>
        <v>11212</v>
      </c>
      <c r="Q109" s="109">
        <f>IFERROR(
_xlfn.XLOOKUP(
"*"&amp;LEFT(TRIM(CLEAN(B109)),50)&amp;"*",
HISTORICOS!F:F,
HISTORICOS!H:H,
"No encontrado",
2
),
"No encontrado"
)</f>
        <v>16362.5</v>
      </c>
      <c r="R109" s="109">
        <f>IFERROR(
_xlfn.XLOOKUP(
"*"&amp;LEFT(TRIM(CLEAN(B109)),100)&amp;"*",
HISTORICOS!K:K,
HISTORICOS!M:M,
"No encontrado",
2
),
"No encontrado"
)</f>
        <v>11900</v>
      </c>
      <c r="S109" s="109">
        <f>IFERROR(
_xlfn.XLOOKUP("*"&amp;LEFT(TRIM(CLEAN(B109)),100)&amp;"*",HISTORICOS!P:P,HISTORICOS!R:R,"No encontrado",2),
IFERROR(
_xlfn.XLOOKUP("*"&amp;LEFT(TRIM(CLEAN(B109)),70)&amp;"*",HISTORICOS!P:P,HISTORICOS!R:R,"No encontrado",2),
IFERROR(
_xlfn.XLOOKUP("*"&amp;LEFT(TRIM(CLEAN(B109)),50)&amp;"*",HISTORICOS!P:P,HISTORICOS!R:R,"No encontrado",2),
IFERROR(
_xlfn.XLOOKUP("*"&amp;LEFT(TRIM(CLEAN(B109)),30)&amp;"*",HISTORICOS!P:P,HISTORICOS!R:R,"No encontrado",2),
IFERROR(
_xlfn.XLOOKUP("*"&amp;LEFT(TRIM(CLEAN(B109)),10)&amp;"*",HISTORICOS!P:P,HISTORICOS!R:R,"No encontrado",2),
"No encontrado"
)))))</f>
        <v>11900</v>
      </c>
      <c r="T109" s="109">
        <f t="shared" si="37"/>
        <v>13547.034340787199</v>
      </c>
      <c r="U109" s="109">
        <f t="shared" si="36"/>
        <v>18091.293249999999</v>
      </c>
      <c r="V109" s="109">
        <f t="shared" si="34"/>
        <v>12506.9624</v>
      </c>
      <c r="W109" s="109">
        <f t="shared" si="35"/>
        <v>12642.56</v>
      </c>
      <c r="X109" s="123">
        <f t="shared" si="32"/>
        <v>0.18574030288016469</v>
      </c>
      <c r="Y109" s="124" t="str">
        <f t="shared" si="29"/>
        <v>Moderado</v>
      </c>
      <c r="Z109" s="109">
        <f t="shared" si="30"/>
        <v>13094.797170393598</v>
      </c>
      <c r="AA109" s="109">
        <f t="shared" si="31"/>
        <v>14030.565584561911</v>
      </c>
      <c r="AC109" s="229"/>
      <c r="AD109"/>
    </row>
    <row r="110" spans="1:30" ht="18" customHeight="1">
      <c r="A110" s="3">
        <v>100</v>
      </c>
      <c r="B110" s="330" t="s">
        <v>116</v>
      </c>
      <c r="C110" s="331"/>
      <c r="D110" s="331"/>
      <c r="E110" s="331"/>
      <c r="F110" s="332"/>
      <c r="G110" s="178" t="s">
        <v>115</v>
      </c>
      <c r="H110" s="44">
        <f>'BELPAPEL (2a COTIZACION) '!J114</f>
        <v>10496</v>
      </c>
      <c r="I110" s="181">
        <f>'GRUPO LOS LAGOS SAS'!J114</f>
        <v>24990</v>
      </c>
      <c r="J110" s="16">
        <f>'SUMICORP LTDA'!J114</f>
        <v>16660</v>
      </c>
      <c r="K110" s="16">
        <f>'TELEAMARKETER (2a COTIZACION)'!J114</f>
        <v>25585</v>
      </c>
      <c r="L110" s="49">
        <f t="shared" si="38"/>
        <v>0.37142089237579273</v>
      </c>
      <c r="M110" s="50" t="str">
        <f t="shared" si="28"/>
        <v>Muy alto</v>
      </c>
      <c r="N110" s="51">
        <f t="shared" si="39"/>
        <v>20825</v>
      </c>
      <c r="P110" s="109">
        <f>HISTORICOS!D96</f>
        <v>10851</v>
      </c>
      <c r="Q110" s="109">
        <f>IFERROR(
_xlfn.XLOOKUP(
"*"&amp;LEFT(TRIM(CLEAN(B110)),50)&amp;"*",
HISTORICOS!F:F,
HISTORICOS!H:H,
"No encontrado",
2
),
"No encontrado"
)</f>
        <v>18290.3</v>
      </c>
      <c r="R110" s="109">
        <f>IFERROR(
_xlfn.XLOOKUP(
"*"&amp;LEFT(TRIM(CLEAN(B110)),100)&amp;"*",
HISTORICOS!K:K,
HISTORICOS!M:M,
"No encontrado",
2
),
"No encontrado"
)</f>
        <v>9520</v>
      </c>
      <c r="S110" s="109">
        <f>IFERROR(
_xlfn.XLOOKUP("*"&amp;LEFT(TRIM(CLEAN(B110)),100)&amp;"*",HISTORICOS!P:P,HISTORICOS!R:R,"No encontrado",2),
IFERROR(
_xlfn.XLOOKUP("*"&amp;LEFT(TRIM(CLEAN(B110)),70)&amp;"*",HISTORICOS!P:P,HISTORICOS!R:R,"No encontrado",2),
IFERROR(
_xlfn.XLOOKUP("*"&amp;LEFT(TRIM(CLEAN(B110)),50)&amp;"*",HISTORICOS!P:P,HISTORICOS!R:R,"No encontrado",2),
IFERROR(
_xlfn.XLOOKUP("*"&amp;LEFT(TRIM(CLEAN(B110)),30)&amp;"*",HISTORICOS!P:P,HISTORICOS!R:R,"No encontrado",2),
IFERROR(
_xlfn.XLOOKUP("*"&amp;LEFT(TRIM(CLEAN(B110)),10)&amp;"*",HISTORICOS!P:P,HISTORICOS!R:R,"No encontrado",2),
"No encontrado"
)))))</f>
        <v>9520</v>
      </c>
      <c r="T110" s="109">
        <f t="shared" si="37"/>
        <v>13110.853742265599</v>
      </c>
      <c r="U110" s="109">
        <f t="shared" si="36"/>
        <v>20222.769175599999</v>
      </c>
      <c r="V110" s="109">
        <f t="shared" si="34"/>
        <v>10005.582399999999</v>
      </c>
      <c r="W110" s="109">
        <f t="shared" si="35"/>
        <v>10114.048000000001</v>
      </c>
      <c r="X110" s="123">
        <f t="shared" si="32"/>
        <v>0.35874504242133842</v>
      </c>
      <c r="Y110" s="124" t="str">
        <f t="shared" si="29"/>
        <v>Muy alto</v>
      </c>
      <c r="Z110" s="109">
        <f t="shared" si="30"/>
        <v>11612.4508711328</v>
      </c>
      <c r="AA110" s="109">
        <f t="shared" si="31"/>
        <v>12798.519815851265</v>
      </c>
      <c r="AC110" s="229"/>
      <c r="AD110"/>
    </row>
    <row r="111" spans="1:30" ht="18" customHeight="1">
      <c r="A111" s="3">
        <v>101</v>
      </c>
      <c r="B111" s="330" t="s">
        <v>117</v>
      </c>
      <c r="C111" s="331"/>
      <c r="D111" s="331"/>
      <c r="E111" s="331"/>
      <c r="F111" s="332"/>
      <c r="G111" s="178" t="s">
        <v>43</v>
      </c>
      <c r="H111" s="44">
        <f>'BELPAPEL (2a COTIZACION) '!J115</f>
        <v>18743</v>
      </c>
      <c r="I111" s="181">
        <f>'GRUPO LOS LAGOS SAS'!J115</f>
        <v>16065</v>
      </c>
      <c r="J111" s="16">
        <f>'SUMICORP LTDA'!J115</f>
        <v>22610</v>
      </c>
      <c r="K111" s="16">
        <f>'TELEAMARKETER (2a COTIZACION)'!J115</f>
        <v>48195</v>
      </c>
      <c r="L111" s="49">
        <f t="shared" si="38"/>
        <v>0.55955862082370522</v>
      </c>
      <c r="M111" s="50" t="str">
        <f t="shared" si="28"/>
        <v>Muy alto</v>
      </c>
      <c r="N111" s="51">
        <f t="shared" si="39"/>
        <v>20676.5</v>
      </c>
      <c r="P111" s="109">
        <f>IFERROR(
_xlfn.XLOOKUP(
"*"&amp;LEFT(TRIM(CLEAN(SUBSTITUTE(B111,CHAR(10)," "))),35)&amp;"*",
HISTORICOS!B:B,
HISTORICOS!D:D,
"No encontrado",
2
),
"No encontrado"
)</f>
        <v>15123</v>
      </c>
      <c r="Q111" s="109">
        <f>IFERROR(
_xlfn.XLOOKUP(
"*"&amp;LEFT(TRIM(CLEAN(B111)),50)&amp;"*",
HISTORICOS!F:F,
HISTORICOS!H:H,
"No encontrado",
2
),
"No encontrado"
)</f>
        <v>14458.5</v>
      </c>
      <c r="R111" s="109">
        <f>IFERROR(
_xlfn.XLOOKUP(
"*"&amp;LEFT(TRIM(CLEAN(B111)),100)&amp;"*",
HISTORICOS!K:K,
HISTORICOS!M:M,
"No encontrado",
2
),
"No encontrado"
)</f>
        <v>16065</v>
      </c>
      <c r="S111" s="109">
        <f>IFERROR(
_xlfn.XLOOKUP("*"&amp;LEFT(TRIM(CLEAN(B111)),100)&amp;"*",HISTORICOS!P:P,HISTORICOS!R:R,"No encontrado",2),
IFERROR(
_xlfn.XLOOKUP("*"&amp;LEFT(TRIM(CLEAN(B111)),70)&amp;"*",HISTORICOS!P:P,HISTORICOS!R:R,"No encontrado",2),
IFERROR(
_xlfn.XLOOKUP("*"&amp;LEFT(TRIM(CLEAN(B111)),50)&amp;"*",HISTORICOS!P:P,HISTORICOS!R:R,"No encontrado",2),
IFERROR(
_xlfn.XLOOKUP("*"&amp;LEFT(TRIM(CLEAN(B111)),30)&amp;"*",HISTORICOS!P:P,HISTORICOS!R:R,"No encontrado",2),
IFERROR(
_xlfn.XLOOKUP("*"&amp;LEFT(TRIM(CLEAN(B111)),10)&amp;"*",HISTORICOS!P:P,HISTORICOS!R:R,"No encontrado",2),
"No encontrado"
)))))</f>
        <v>16065</v>
      </c>
      <c r="T111" s="109">
        <f t="shared" si="37"/>
        <v>18272.525534188801</v>
      </c>
      <c r="U111" s="109">
        <f t="shared" si="36"/>
        <v>15986.131842000001</v>
      </c>
      <c r="V111" s="109">
        <f t="shared" si="34"/>
        <v>16884.377399999998</v>
      </c>
      <c r="W111" s="109">
        <f t="shared" si="35"/>
        <v>17067.456000000002</v>
      </c>
      <c r="X111" s="123">
        <f t="shared" si="32"/>
        <v>5.5157705422049799E-2</v>
      </c>
      <c r="Y111" s="124" t="str">
        <f t="shared" si="29"/>
        <v>Bajo</v>
      </c>
      <c r="Z111" s="109">
        <f t="shared" si="30"/>
        <v>16975.916700000002</v>
      </c>
      <c r="AA111" s="109">
        <f t="shared" si="31"/>
        <v>17033.306163607082</v>
      </c>
      <c r="AC111" s="229"/>
      <c r="AD111"/>
    </row>
    <row r="112" spans="1:30" ht="30" customHeight="1">
      <c r="A112" s="4">
        <v>102</v>
      </c>
      <c r="B112" s="330" t="s">
        <v>118</v>
      </c>
      <c r="C112" s="331"/>
      <c r="D112" s="331"/>
      <c r="E112" s="331"/>
      <c r="F112" s="332"/>
      <c r="G112" s="179" t="s">
        <v>19</v>
      </c>
      <c r="H112" s="44">
        <f>'BELPAPEL (2a COTIZACION) '!J116</f>
        <v>5648</v>
      </c>
      <c r="I112" s="181">
        <f>'GRUPO LOS LAGOS SAS'!J116</f>
        <v>8318.1</v>
      </c>
      <c r="J112" s="16">
        <f>'SUMICORP LTDA'!J116</f>
        <v>10234</v>
      </c>
      <c r="K112" s="16">
        <f>'TELEAMARKETER (2a COTIZACION)'!J116</f>
        <v>8925</v>
      </c>
      <c r="L112" s="49">
        <f t="shared" si="38"/>
        <v>0.23293396801832031</v>
      </c>
      <c r="M112" s="50" t="str">
        <f t="shared" si="28"/>
        <v>Alto</v>
      </c>
      <c r="N112" s="51">
        <f t="shared" si="39"/>
        <v>8621.5499999999993</v>
      </c>
      <c r="P112" s="109">
        <f>IFERROR(
_xlfn.XLOOKUP(
"*"&amp;LEFT(TRIM(CLEAN(SUBSTITUTE(B112,CHAR(10)," "))),35)&amp;"*",
HISTORICOS!B:B,
HISTORICOS!D:D,
"No encontrado",
2
),
"No encontrado"
)</f>
        <v>5791</v>
      </c>
      <c r="Q112" s="109">
        <f>IFERROR(
_xlfn.XLOOKUP(
"*"&amp;LEFT(TRIM(CLEAN(B112)),50)&amp;"*",
HISTORICOS!F:F,
HISTORICOS!H:H,
"No encontrado",
2
),
"No encontrado"
)</f>
        <v>5407.36</v>
      </c>
      <c r="R112" s="109">
        <f>IFERROR(
_xlfn.XLOOKUP(
"*"&amp;LEFT(TRIM(CLEAN(B112)),100)&amp;"*",
HISTORICOS!K:K,
HISTORICOS!M:M,
"No encontrado",
2
),
"No encontrado"
)</f>
        <v>8318.1</v>
      </c>
      <c r="S112" s="109">
        <f>IFERROR(
_xlfn.XLOOKUP("*"&amp;LEFT(TRIM(CLEAN(B112)),100)&amp;"*",HISTORICOS!P:P,HISTORICOS!R:R,"No encontrado",2),
IFERROR(
_xlfn.XLOOKUP("*"&amp;LEFT(TRIM(CLEAN(B112)),70)&amp;"*",HISTORICOS!P:P,HISTORICOS!R:R,"No encontrado",2),
IFERROR(
_xlfn.XLOOKUP("*"&amp;LEFT(TRIM(CLEAN(B112)),50)&amp;"*",HISTORICOS!P:P,HISTORICOS!R:R,"No encontrado",2),
IFERROR(
_xlfn.XLOOKUP("*"&amp;LEFT(TRIM(CLEAN(B112)),30)&amp;"*",HISTORICOS!P:P,HISTORICOS!R:R,"No encontrado",2),
IFERROR(
_xlfn.XLOOKUP("*"&amp;LEFT(TRIM(CLEAN(B112)),10)&amp;"*",HISTORICOS!P:P,HISTORICOS!R:R,"No encontrado",2),
"No encontrado"
)))))</f>
        <v>8318.1</v>
      </c>
      <c r="T112" s="109">
        <f t="shared" si="37"/>
        <v>6997.0758239296001</v>
      </c>
      <c r="U112" s="109">
        <f t="shared" si="36"/>
        <v>5978.720798719999</v>
      </c>
      <c r="V112" s="109">
        <f t="shared" si="34"/>
        <v>8742.3855000000003</v>
      </c>
      <c r="W112" s="109">
        <f t="shared" si="35"/>
        <v>8837.1494400000011</v>
      </c>
      <c r="X112" s="123">
        <f t="shared" si="32"/>
        <v>0.18236190123873289</v>
      </c>
      <c r="Y112" s="124" t="str">
        <f t="shared" si="29"/>
        <v>Moderado</v>
      </c>
      <c r="Z112" s="109">
        <f t="shared" si="30"/>
        <v>7869.7306619648007</v>
      </c>
      <c r="AA112" s="109">
        <f t="shared" si="31"/>
        <v>7539.9202312194639</v>
      </c>
      <c r="AC112" s="229"/>
      <c r="AD112"/>
    </row>
    <row r="113" spans="1:30" ht="18" customHeight="1">
      <c r="A113" s="3">
        <v>103</v>
      </c>
      <c r="B113" s="330" t="s">
        <v>119</v>
      </c>
      <c r="C113" s="331"/>
      <c r="D113" s="331"/>
      <c r="E113" s="331"/>
      <c r="F113" s="332"/>
      <c r="G113" s="178" t="s">
        <v>19</v>
      </c>
      <c r="H113" s="44">
        <f>'BELPAPEL (2a COTIZACION) '!J117</f>
        <v>137820</v>
      </c>
      <c r="I113" s="181">
        <f>'GRUPO LOS LAGOS SAS'!J117</f>
        <v>135541</v>
      </c>
      <c r="J113" s="16">
        <f>'SUMICORP LTDA'!J117</f>
        <v>226100</v>
      </c>
      <c r="K113" s="16">
        <f>'TELEAMARKETER (2a COTIZACION)'!J117</f>
        <v>165410</v>
      </c>
      <c r="L113" s="49">
        <f t="shared" si="38"/>
        <v>0.25368206387915759</v>
      </c>
      <c r="M113" s="50" t="str">
        <f t="shared" si="28"/>
        <v>Muy alto</v>
      </c>
      <c r="N113" s="51">
        <f t="shared" si="39"/>
        <v>151615</v>
      </c>
      <c r="P113" s="109" t="str">
        <f>IFERROR(
_xlfn.XLOOKUP(
"*"&amp;LEFT(TRIM(CLEAN(A113)),30)&amp;"*",
HISTORICOS!E:E,
HISTORICOS!G:G,
"No comparable",
2
),
"No comparable"
)</f>
        <v>No comparable</v>
      </c>
      <c r="Q113" s="109" t="str">
        <f>IFERROR(
_xlfn.XLOOKUP(
"*"&amp;LEFT(TRIM(CLEAN(B113)),30)&amp;"*",
HISTORICOS!F:F,
HISTORICOS!H:H,
"No comparable",
2
),
"No comparable"
)</f>
        <v>No comparable</v>
      </c>
      <c r="R113" s="109" t="str">
        <f>IFERROR(
_xlfn.XLOOKUP(
"*"&amp;LEFT(TRIM(CLEAN(B113)),30)&amp;"*",
HISTORICOS!K:K,
HISTORICOS!M:M,
"No comparable",
2
),
"No comparable"
)</f>
        <v>No comparable</v>
      </c>
      <c r="S113" s="109" t="str">
        <f>IFERROR(
_xlfn.XLOOKUP(
"*"&amp;LEFT(TRIM(CLEAN(B113)),30)&amp;"*",
HISTORICOS!P:P,
HISTORICOS!R:R,
"No comparable",
2
),
"No encontrado"
)</f>
        <v>No comparable</v>
      </c>
      <c r="T113" s="109" t="s">
        <v>576</v>
      </c>
      <c r="U113" s="109" t="s">
        <v>576</v>
      </c>
      <c r="V113" s="109" t="s">
        <v>576</v>
      </c>
      <c r="W113" s="109" t="s">
        <v>576</v>
      </c>
      <c r="X113" s="211" t="s">
        <v>576</v>
      </c>
      <c r="Y113" s="211" t="s">
        <v>576</v>
      </c>
      <c r="Z113" s="109" t="s">
        <v>576</v>
      </c>
      <c r="AA113" s="109" t="s">
        <v>576</v>
      </c>
      <c r="AC113" s="229"/>
      <c r="AD113"/>
    </row>
    <row r="114" spans="1:30" ht="18" customHeight="1">
      <c r="A114" s="3">
        <v>104</v>
      </c>
      <c r="B114" s="330" t="s">
        <v>203</v>
      </c>
      <c r="C114" s="334"/>
      <c r="D114" s="334"/>
      <c r="E114" s="334"/>
      <c r="F114" s="335"/>
      <c r="G114" s="178" t="s">
        <v>19</v>
      </c>
      <c r="H114" s="44">
        <f>'BELPAPEL (2a COTIZACION) '!J118</f>
        <v>373351</v>
      </c>
      <c r="I114" s="181">
        <f>'GRUPO LOS LAGOS SAS'!J118</f>
        <v>236453</v>
      </c>
      <c r="J114" s="16">
        <f>'SUMICORP LTDA'!J118</f>
        <v>247639</v>
      </c>
      <c r="K114" s="16">
        <f>'TELEAMARKETER (2a COTIZACION)'!J118</f>
        <v>470050</v>
      </c>
      <c r="L114" s="49">
        <f t="shared" si="38"/>
        <v>0.33469412334222837</v>
      </c>
      <c r="M114" s="50" t="str">
        <f t="shared" si="28"/>
        <v>Muy alto</v>
      </c>
      <c r="N114" s="51">
        <f t="shared" si="39"/>
        <v>310495</v>
      </c>
      <c r="P114" s="109" t="str">
        <f>IFERROR(
_xlfn.XLOOKUP(
"*"&amp;LEFT(TRIM(CLEAN(A114)),30)&amp;"*",
HISTORICOS!E:E,
HISTORICOS!G:G,
"No comparable",
2
),
"No comparable"
)</f>
        <v>No comparable</v>
      </c>
      <c r="Q114" s="109" t="str">
        <f>IFERROR(
_xlfn.XLOOKUP(
"*"&amp;LEFT(TRIM(CLEAN(B114)),30)&amp;"*",
HISTORICOS!F:F,
HISTORICOS!H:H,
"No comparable",
2
),
"No comparable"
)</f>
        <v>No comparable</v>
      </c>
      <c r="R114" s="109">
        <f>IFERROR(
_xlfn.XLOOKUP(
"*"&amp;LEFT(TRIM(CLEAN(B114)),30)&amp;"*",
HISTORICOS!K:K,
HISTORICOS!M:M,
"No comparable",
2
),
"No comparable"
)</f>
        <v>65450</v>
      </c>
      <c r="S114" s="109">
        <f>IFERROR(
_xlfn.XLOOKUP(
"*"&amp;LEFT(TRIM(CLEAN(B114)),30)&amp;"*",
HISTORICOS!P:P,
HISTORICOS!R:R,
"No comparable",
2
),
"No encontrado"
)</f>
        <v>65450</v>
      </c>
      <c r="T114" s="109" t="s">
        <v>576</v>
      </c>
      <c r="U114" s="109" t="s">
        <v>576</v>
      </c>
      <c r="V114" s="109">
        <f>R114*(1+$S$4)*1+($T$4)</f>
        <v>68788.012399999992</v>
      </c>
      <c r="W114" s="109">
        <f>S114*(1+($T$4))</f>
        <v>69534.080000000002</v>
      </c>
      <c r="X114" s="123">
        <f>_xlfn.STDEV.S(T114:W114)/AVERAGE(T114:W114)</f>
        <v>7.6278409331462559E-3</v>
      </c>
      <c r="Y114" s="124" t="str">
        <f t="shared" si="29"/>
        <v>Bajo</v>
      </c>
      <c r="Z114" s="109">
        <f t="shared" ref="Z114" si="40">MEDIAN(T114:W114)</f>
        <v>69161.046199999997</v>
      </c>
      <c r="AA114" s="109">
        <f t="shared" ref="AA114" si="41">GEOMEAN(T114:W114)</f>
        <v>69160.04017684338</v>
      </c>
      <c r="AC114" s="229"/>
      <c r="AD114"/>
    </row>
    <row r="115" spans="1:30" ht="18" customHeight="1">
      <c r="A115" s="3">
        <v>105</v>
      </c>
      <c r="B115" s="341" t="s">
        <v>157</v>
      </c>
      <c r="C115" s="334"/>
      <c r="D115" s="334"/>
      <c r="E115" s="334"/>
      <c r="F115" s="335"/>
      <c r="G115" s="178" t="s">
        <v>19</v>
      </c>
      <c r="H115" s="44">
        <f>'BELPAPEL (2a COTIZACION) '!J119</f>
        <v>198171</v>
      </c>
      <c r="I115" s="181">
        <f>'GRUPO LOS LAGOS SAS'!J119</f>
        <v>130662</v>
      </c>
      <c r="J115" s="16">
        <f>'SUMICORP LTDA'!J119</f>
        <v>273700</v>
      </c>
      <c r="K115" s="16">
        <f>'TELEAMARKETER (2a COTIZACION)'!J119</f>
        <v>124950</v>
      </c>
      <c r="L115" s="49">
        <f t="shared" si="38"/>
        <v>0.38305964912500134</v>
      </c>
      <c r="M115" s="50" t="str">
        <f t="shared" si="28"/>
        <v>Muy alto</v>
      </c>
      <c r="N115" s="51">
        <f t="shared" si="39"/>
        <v>164416.5</v>
      </c>
      <c r="P115" s="109" t="str">
        <f>IFERROR(
_xlfn.XLOOKUP(
"*"&amp;LEFT(TRIM(CLEAN(A115)),30)&amp;"*",
HISTORICOS!E:E,
HISTORICOS!G:G,
"No comparable",
2
),
"No comparable"
)</f>
        <v>No comparable</v>
      </c>
      <c r="Q115" s="109" t="str">
        <f>IFERROR(
_xlfn.XLOOKUP(
"*"&amp;LEFT(TRIM(CLEAN(B115)),50)&amp;"*",
HISTORICOS!F:F,
HISTORICOS!H:H,
"No comparable",
2
),
"No comparable"
)</f>
        <v>No comparable</v>
      </c>
      <c r="R115" s="109">
        <f>IFERROR(
_xlfn.XLOOKUP(
"*"&amp;LEFT(TRIM(CLEAN(B115)),70)&amp;"*",
HISTORICOS!K:K,
HISTORICOS!M:M,
"No encontrado",
2
),
"No encontrado"
)</f>
        <v>83181</v>
      </c>
      <c r="S115" s="109">
        <f>IFERROR(
_xlfn.XLOOKUP(
"*"&amp;LEFT(TRIM(CLEAN(B115)),70)&amp;"*",
HISTORICOS!P:P,
HISTORICOS!R:R,
"No encontrado",
2
),
"No encontrado"
)</f>
        <v>83181</v>
      </c>
      <c r="T115" s="109" t="s">
        <v>576</v>
      </c>
      <c r="U115" s="109" t="s">
        <v>576</v>
      </c>
      <c r="V115" s="109">
        <f t="shared" ref="V115:V131" si="42">R115*(1+$S$4)*1+($T$4)</f>
        <v>87423.293399999995</v>
      </c>
      <c r="W115" s="109">
        <f t="shared" ref="W115:W131" si="43">S115*(1+($T$4))</f>
        <v>88371.494399999996</v>
      </c>
      <c r="X115" s="123">
        <f>_xlfn.STDEV.S(T115:W115)/AVERAGE(T115:W115)</f>
        <v>7.6279776598457971E-3</v>
      </c>
      <c r="Y115" s="124" t="str">
        <f t="shared" si="29"/>
        <v>Bajo</v>
      </c>
      <c r="Z115" s="109">
        <f t="shared" si="30"/>
        <v>87897.393899999995</v>
      </c>
      <c r="AA115" s="109">
        <f t="shared" si="31"/>
        <v>87896.115290311078</v>
      </c>
      <c r="AC115" s="229"/>
      <c r="AD115"/>
    </row>
    <row r="116" spans="1:30" ht="18" customHeight="1">
      <c r="A116" s="3">
        <v>106</v>
      </c>
      <c r="B116" s="330" t="s">
        <v>120</v>
      </c>
      <c r="C116" s="331"/>
      <c r="D116" s="331"/>
      <c r="E116" s="331"/>
      <c r="F116" s="332"/>
      <c r="G116" s="178" t="s">
        <v>19</v>
      </c>
      <c r="H116" s="44">
        <f>'BELPAPEL (2a COTIZACION) '!J120</f>
        <v>128074</v>
      </c>
      <c r="I116" s="181">
        <f>'GRUPO LOS LAGOS SAS'!J120</f>
        <v>129710</v>
      </c>
      <c r="J116" s="16">
        <f>'SUMICORP LTDA'!J120</f>
        <v>214200</v>
      </c>
      <c r="K116" s="16">
        <f>'TELEAMARKETER (2a COTIZACION)'!J120</f>
        <v>166600</v>
      </c>
      <c r="L116" s="49">
        <f t="shared" si="38"/>
        <v>0.25360126149786572</v>
      </c>
      <c r="M116" s="50" t="str">
        <f t="shared" si="28"/>
        <v>Muy alto</v>
      </c>
      <c r="N116" s="51">
        <f t="shared" si="39"/>
        <v>148155</v>
      </c>
      <c r="P116" s="109">
        <f>IFERROR(
_xlfn.XLOOKUP(
"*"&amp;LEFT(TRIM(CLEAN(SUBSTITUTE(B116,CHAR(10)," "))),35)&amp;"*",
HISTORICOS!B:B,
HISTORICOS!D:D,
"No encontrado",
2
),
"No encontrado"
)</f>
        <v>33012</v>
      </c>
      <c r="Q116" s="109">
        <f>IFERROR(
_xlfn.XLOOKUP(
"*"&amp;LEFT(TRIM(CLEAN(B116)),50)&amp;"*",
HISTORICOS!F:F,
HISTORICOS!H:H,
"No encontrado",
2
),
"No encontrado"
)</f>
        <v>75416.25</v>
      </c>
      <c r="R116" s="109">
        <f>IFERROR(
_xlfn.XLOOKUP(
"*"&amp;LEFT(TRIM(CLEAN(B116)),100)&amp;"*",
HISTORICOS!K:K,
HISTORICOS!M:M,
"No encontrado",
2
),
"No encontrado"
)</f>
        <v>95081</v>
      </c>
      <c r="S116" s="109">
        <f>IFERROR(
_xlfn.XLOOKUP("*"&amp;LEFT(TRIM(CLEAN(B116)),100)&amp;"*",HISTORICOS!P:P,HISTORICOS!R:R,"No encontrado",2),
IFERROR(
_xlfn.XLOOKUP("*"&amp;LEFT(TRIM(CLEAN(B116)),70)&amp;"*",HISTORICOS!P:P,HISTORICOS!R:R,"No encontrado",2),
IFERROR(
_xlfn.XLOOKUP("*"&amp;LEFT(TRIM(CLEAN(B116)),50)&amp;"*",HISTORICOS!P:P,HISTORICOS!R:R,"No encontrado",2),
IFERROR(
_xlfn.XLOOKUP("*"&amp;LEFT(TRIM(CLEAN(B116)),30)&amp;"*",HISTORICOS!P:P,HISTORICOS!R:R,"No encontrado",2),
IFERROR(
_xlfn.XLOOKUP("*"&amp;LEFT(TRIM(CLEAN(B116)),10)&amp;"*",HISTORICOS!P:P,HISTORICOS!R:R,"No encontrado",2),
"No encontrado"
)))))</f>
        <v>95081</v>
      </c>
      <c r="T116" s="109">
        <f t="shared" ref="T116:T121" si="44">P116*(1+$Q$4)*(1+$R$4)*(1+$S$4)*1+($T$4)</f>
        <v>39887.026162867201</v>
      </c>
      <c r="U116" s="109">
        <f t="shared" ref="U116:U122" si="45">Q116*(1+$R$4)*(1+$S$4)*1+($T$4)</f>
        <v>83384.190044999996</v>
      </c>
      <c r="V116" s="109">
        <f t="shared" si="42"/>
        <v>99930.193399999989</v>
      </c>
      <c r="W116" s="109">
        <f t="shared" si="43"/>
        <v>101014.05440000001</v>
      </c>
      <c r="X116" s="123">
        <f t="shared" si="32"/>
        <v>0.35292250602888708</v>
      </c>
      <c r="Y116" s="124" t="str">
        <f t="shared" si="29"/>
        <v>Muy alto</v>
      </c>
      <c r="Z116" s="109">
        <f t="shared" si="30"/>
        <v>91657.191722499992</v>
      </c>
      <c r="AA116" s="109">
        <f t="shared" si="31"/>
        <v>76119.946752822972</v>
      </c>
      <c r="AC116" s="229"/>
      <c r="AD116"/>
    </row>
    <row r="117" spans="1:30" ht="25.5" customHeight="1">
      <c r="A117" s="3">
        <v>107</v>
      </c>
      <c r="B117" s="330" t="s">
        <v>205</v>
      </c>
      <c r="C117" s="334"/>
      <c r="D117" s="334"/>
      <c r="E117" s="334"/>
      <c r="F117" s="335"/>
      <c r="G117" s="178" t="s">
        <v>31</v>
      </c>
      <c r="H117" s="44">
        <f>'BELPAPEL (2a COTIZACION) '!J121</f>
        <v>10196</v>
      </c>
      <c r="I117" s="181">
        <f>'GRUPO LOS LAGOS SAS'!J121</f>
        <v>11483.5</v>
      </c>
      <c r="J117" s="16">
        <f>'SUMICORP LTDA'!J121</f>
        <v>19040</v>
      </c>
      <c r="K117" s="16">
        <f>'TELEAMARKETER (2a COTIZACION)'!J121</f>
        <v>45220</v>
      </c>
      <c r="L117" s="49">
        <f t="shared" si="38"/>
        <v>0.75854463711943465</v>
      </c>
      <c r="M117" s="50" t="str">
        <f t="shared" si="28"/>
        <v>Muy alto</v>
      </c>
      <c r="N117" s="51">
        <f t="shared" si="39"/>
        <v>15261.75</v>
      </c>
      <c r="P117" s="109">
        <f>IFERROR(
_xlfn.XLOOKUP(
"*"&amp;LEFT(TRIM(CLEAN(SUBSTITUTE(B117,CHAR(10)," "))),35)&amp;"*",
HISTORICOS!B:B,
HISTORICOS!D:D,
"No encontrado",
2
),
"No encontrado"
)</f>
        <v>4955</v>
      </c>
      <c r="Q117" s="109">
        <f>IFERROR(
_xlfn.XLOOKUP(
"*"&amp;LEFT(TRIM(CLEAN(B117)),50)&amp;"*",
HISTORICOS!F:F,
HISTORICOS!H:H,
"No encontrado",
2
),
"No encontrado"
)</f>
        <v>10967.04</v>
      </c>
      <c r="R117" s="109">
        <f>IFERROR(
_xlfn.XLOOKUP(
"*"&amp;LEFT(TRIM(CLEAN(B117)),70)&amp;"*",
HISTORICOS!K:K,
HISTORICOS!M:M,
"No encontrado",
2
),
"No encontrado"
)</f>
        <v>12852</v>
      </c>
      <c r="S117" s="109">
        <f>IFERROR(
_xlfn.XLOOKUP(
"*"&amp;LEFT(TRIM(CLEAN(B117)),70)&amp;"*",
HISTORICOS!P:P,
HISTORICOS!R:R,
"No encontrado",
2
),
"No encontrado"
)</f>
        <v>12852</v>
      </c>
      <c r="T117" s="109">
        <f t="shared" si="44"/>
        <v>5986.9733852479994</v>
      </c>
      <c r="U117" s="109">
        <f t="shared" si="45"/>
        <v>12125.792110080001</v>
      </c>
      <c r="V117" s="109">
        <f t="shared" si="42"/>
        <v>13507.5144</v>
      </c>
      <c r="W117" s="109">
        <f t="shared" si="43"/>
        <v>13653.9648</v>
      </c>
      <c r="X117" s="123">
        <f t="shared" si="32"/>
        <v>0.31986880955407515</v>
      </c>
      <c r="Y117" s="124" t="str">
        <f t="shared" si="29"/>
        <v>Muy alto</v>
      </c>
      <c r="Z117" s="109">
        <f t="shared" si="30"/>
        <v>12816.653255040001</v>
      </c>
      <c r="AA117" s="109">
        <f t="shared" si="31"/>
        <v>10756.919435400019</v>
      </c>
      <c r="AC117" s="229"/>
      <c r="AD117"/>
    </row>
    <row r="118" spans="1:30" ht="19.95" customHeight="1">
      <c r="A118" s="3">
        <v>108</v>
      </c>
      <c r="B118" s="330" t="s">
        <v>121</v>
      </c>
      <c r="C118" s="331"/>
      <c r="D118" s="331"/>
      <c r="E118" s="331"/>
      <c r="F118" s="332"/>
      <c r="G118" s="178" t="s">
        <v>33</v>
      </c>
      <c r="H118" s="44">
        <f>'BELPAPEL (2a COTIZACION) '!J122</f>
        <v>9434</v>
      </c>
      <c r="I118" s="181">
        <f>'GRUPO LOS LAGOS SAS'!J122</f>
        <v>18326</v>
      </c>
      <c r="J118" s="16">
        <f>'SUMICORP LTDA'!J122</f>
        <v>29750</v>
      </c>
      <c r="K118" s="16">
        <f>'TELEAMARKETER (2a COTIZACION)'!J122</f>
        <v>30821</v>
      </c>
      <c r="L118" s="49">
        <f t="shared" si="38"/>
        <v>0.45976881848102852</v>
      </c>
      <c r="M118" s="50" t="str">
        <f t="shared" si="28"/>
        <v>Muy alto</v>
      </c>
      <c r="N118" s="51">
        <f t="shared" si="39"/>
        <v>24038</v>
      </c>
      <c r="P118" s="109">
        <f>IFERROR(
_xlfn.XLOOKUP(
"*"&amp;LEFT(TRIM(CLEAN(SUBSTITUTE(B118,CHAR(10)," "))),35)&amp;"*",
HISTORICOS!B:B,
HISTORICOS!D:D,
"No encontrado",
2
),
"No encontrado"
)</f>
        <v>21217</v>
      </c>
      <c r="Q118" s="109">
        <f>IFERROR(
_xlfn.XLOOKUP(
"*"&amp;LEFT(TRIM(CLEAN(B118)),50)&amp;"*",
HISTORICOS!F:F,
HISTORICOS!H:H,
"No encontrado",
2
),
"No encontrado"
)</f>
        <v>8834.56</v>
      </c>
      <c r="R118" s="109">
        <f>IFERROR(
_xlfn.XLOOKUP(
"*"&amp;LEFT(TRIM(CLEAN(B118)),100)&amp;"*",
HISTORICOS!K:K,
HISTORICOS!M:M,
"No encontrado",
2
),
"No encontrado"
)</f>
        <v>17850</v>
      </c>
      <c r="S118" s="109">
        <f>IFERROR(
_xlfn.XLOOKUP("*"&amp;LEFT(TRIM(CLEAN(B118)),100)&amp;"*",HISTORICOS!P:P,HISTORICOS!R:R,"No encontrado",2),
IFERROR(
_xlfn.XLOOKUP("*"&amp;LEFT(TRIM(CLEAN(B118)),70)&amp;"*",HISTORICOS!P:P,HISTORICOS!R:R,"No encontrado",2),
IFERROR(
_xlfn.XLOOKUP("*"&amp;LEFT(TRIM(CLEAN(B118)),50)&amp;"*",HISTORICOS!P:P,HISTORICOS!R:R,"No encontrado",2),
IFERROR(
_xlfn.XLOOKUP("*"&amp;LEFT(TRIM(CLEAN(B118)),30)&amp;"*",HISTORICOS!P:P,HISTORICOS!R:R,"No encontrado",2),
IFERROR(
_xlfn.XLOOKUP("*"&amp;LEFT(TRIM(CLEAN(B118)),10)&amp;"*",HISTORICOS!P:P,HISTORICOS!R:R,"No encontrado",2),
"No encontrado"
)))))</f>
        <v>17850</v>
      </c>
      <c r="T118" s="109">
        <f t="shared" si="44"/>
        <v>25635.640679315198</v>
      </c>
      <c r="U118" s="109">
        <f t="shared" si="45"/>
        <v>9768.0113331199991</v>
      </c>
      <c r="V118" s="109">
        <f t="shared" si="42"/>
        <v>18760.412399999997</v>
      </c>
      <c r="W118" s="109">
        <f t="shared" si="43"/>
        <v>18963.84</v>
      </c>
      <c r="X118" s="123">
        <f t="shared" si="32"/>
        <v>0.35625295283623687</v>
      </c>
      <c r="Y118" s="124" t="str">
        <f t="shared" si="29"/>
        <v>Muy alto</v>
      </c>
      <c r="Z118" s="109">
        <f t="shared" si="30"/>
        <v>18862.126199999999</v>
      </c>
      <c r="AA118" s="109">
        <f t="shared" si="31"/>
        <v>17276.459583032207</v>
      </c>
      <c r="AC118" s="229"/>
      <c r="AD118"/>
    </row>
    <row r="119" spans="1:30" ht="26.7" customHeight="1">
      <c r="A119" s="3">
        <v>109</v>
      </c>
      <c r="B119" s="330" t="s">
        <v>206</v>
      </c>
      <c r="C119" s="334"/>
      <c r="D119" s="334"/>
      <c r="E119" s="334"/>
      <c r="F119" s="335"/>
      <c r="G119" s="178" t="s">
        <v>43</v>
      </c>
      <c r="H119" s="44">
        <f>'BELPAPEL (2a COTIZACION) '!J123</f>
        <v>88652</v>
      </c>
      <c r="I119" s="181">
        <f>'GRUPO LOS LAGOS SAS'!J123</f>
        <v>59488.1</v>
      </c>
      <c r="J119" s="16">
        <f>'SUMICORP LTDA'!J123</f>
        <v>95200</v>
      </c>
      <c r="K119" s="16">
        <f>'TELEAMARKETER (2a COTIZACION)'!J123</f>
        <v>89250</v>
      </c>
      <c r="L119" s="49">
        <f t="shared" si="38"/>
        <v>0.19300073534160342</v>
      </c>
      <c r="M119" s="50" t="str">
        <f t="shared" si="28"/>
        <v>Moderado</v>
      </c>
      <c r="N119" s="51">
        <f t="shared" si="39"/>
        <v>88951</v>
      </c>
      <c r="P119" s="109">
        <f>IFERROR(
_xlfn.XLOOKUP(
"*"&amp;LEFT(TRIM(CLEAN(SUBSTITUTE(B119,CHAR(10)," "))),35)&amp;"*",
HISTORICOS!B:B,
HISTORICOS!D:D,
"No encontrado",
2
),
"No encontrado"
)</f>
        <v>46121</v>
      </c>
      <c r="Q119" s="109">
        <f>IFERROR(
_xlfn.XLOOKUP(
"*"&amp;LEFT(TRIM(CLEAN(B119)),50)&amp;"*",
HISTORICOS!F:F,
HISTORICOS!H:H,
"No encontrado",
2
),
"No encontrado"
)</f>
        <v>41412</v>
      </c>
      <c r="R119" s="109">
        <f>IFERROR(
_xlfn.XLOOKUP(
"*"&amp;LEFT(TRIM(CLEAN(B119)),70)&amp;"*",
HISTORICOS!K:K,
HISTORICOS!M:M,
"No encontrado",
2
),
"No encontrado"
)</f>
        <v>47600</v>
      </c>
      <c r="S119" s="109">
        <f>IFERROR(
_xlfn.XLOOKUP(
"*"&amp;LEFT(TRIM(CLEAN(B119)),70)&amp;"*",
HISTORICOS!P:P,
HISTORICOS!R:R,
"No encontrado",
2
),
"No encontrado"
)</f>
        <v>47600</v>
      </c>
      <c r="T119" s="109">
        <f t="shared" si="44"/>
        <v>55726.060694777603</v>
      </c>
      <c r="U119" s="109">
        <f t="shared" si="45"/>
        <v>45787.323023999998</v>
      </c>
      <c r="V119" s="109">
        <f t="shared" si="42"/>
        <v>50027.662400000001</v>
      </c>
      <c r="W119" s="109">
        <f t="shared" si="43"/>
        <v>50570.239999999998</v>
      </c>
      <c r="X119" s="123">
        <f t="shared" si="32"/>
        <v>8.0591227723106312E-2</v>
      </c>
      <c r="Y119" s="124" t="str">
        <f t="shared" si="29"/>
        <v>Bajo</v>
      </c>
      <c r="Z119" s="109">
        <f t="shared" si="30"/>
        <v>50298.951199999996</v>
      </c>
      <c r="AA119" s="109">
        <f t="shared" si="31"/>
        <v>50405.41624464788</v>
      </c>
      <c r="AC119" s="229"/>
      <c r="AD119"/>
    </row>
    <row r="120" spans="1:30" ht="18" customHeight="1">
      <c r="A120" s="3">
        <v>110</v>
      </c>
      <c r="B120" s="330" t="s">
        <v>122</v>
      </c>
      <c r="C120" s="331"/>
      <c r="D120" s="331"/>
      <c r="E120" s="331"/>
      <c r="F120" s="332"/>
      <c r="G120" s="178" t="s">
        <v>19</v>
      </c>
      <c r="H120" s="44">
        <f>'BELPAPEL (2a COTIZACION) '!J124</f>
        <v>3561</v>
      </c>
      <c r="I120" s="181">
        <f>'GRUPO LOS LAGOS SAS'!J124</f>
        <v>5831</v>
      </c>
      <c r="J120" s="16">
        <f>'SUMICORP LTDA'!J124</f>
        <v>10234</v>
      </c>
      <c r="K120" s="16">
        <f>'TELEAMARKETER (2a COTIZACION)'!J124</f>
        <v>11186</v>
      </c>
      <c r="L120" s="49">
        <f t="shared" si="38"/>
        <v>0.46925651402601887</v>
      </c>
      <c r="M120" s="50" t="str">
        <f t="shared" si="28"/>
        <v>Muy alto</v>
      </c>
      <c r="N120" s="51">
        <f t="shared" si="39"/>
        <v>8032.5</v>
      </c>
      <c r="P120" s="109">
        <f>IFERROR(
_xlfn.XLOOKUP(
"*"&amp;LEFT(TRIM(CLEAN(SUBSTITUTE(B120,CHAR(10)," "))),35)&amp;"*",
HISTORICOS!B:B,
HISTORICOS!D:D,
"No encontrado",
2
),
"No encontrado"
)</f>
        <v>4158</v>
      </c>
      <c r="Q120" s="109">
        <f>IFERROR(
_xlfn.XLOOKUP(
"*"&amp;LEFT(TRIM(CLEAN(B120)),50)&amp;"*",
HISTORICOS!F:F,
HISTORICOS!H:H,
"No encontrado",
2
),
"No encontrado"
)</f>
        <v>4645.76</v>
      </c>
      <c r="R120" s="109">
        <f>IFERROR(
_xlfn.XLOOKUP(
"*"&amp;LEFT(TRIM(CLEAN(B120)),100)&amp;"*",
HISTORICOS!K:K,
HISTORICOS!M:M,
"No encontrado",
2
),
"No encontrado"
)</f>
        <v>4165</v>
      </c>
      <c r="S120" s="109">
        <f>IFERROR(
_xlfn.XLOOKUP("*"&amp;LEFT(TRIM(CLEAN(B120)),100)&amp;"*",HISTORICOS!P:P,HISTORICOS!R:R,"No encontrado",2),
IFERROR(
_xlfn.XLOOKUP("*"&amp;LEFT(TRIM(CLEAN(B120)),70)&amp;"*",HISTORICOS!P:P,HISTORICOS!R:R,"No encontrado",2),
IFERROR(
_xlfn.XLOOKUP("*"&amp;LEFT(TRIM(CLEAN(B120)),50)&amp;"*",HISTORICOS!P:P,HISTORICOS!R:R,"No encontrado",2),
IFERROR(
_xlfn.XLOOKUP("*"&amp;LEFT(TRIM(CLEAN(B120)),30)&amp;"*",HISTORICOS!P:P,HISTORICOS!R:R,"No encontrado",2),
IFERROR(
_xlfn.XLOOKUP("*"&amp;LEFT(TRIM(CLEAN(B120)),10)&amp;"*",HISTORICOS!P:P,HISTORICOS!R:R,"No encontrado",2),
"No encontrado"
)))))</f>
        <v>4165</v>
      </c>
      <c r="T120" s="109">
        <f t="shared" si="44"/>
        <v>5023.9929502847999</v>
      </c>
      <c r="U120" s="109">
        <f t="shared" si="45"/>
        <v>5136.6562355200003</v>
      </c>
      <c r="V120" s="109">
        <f t="shared" si="42"/>
        <v>4377.4773999999998</v>
      </c>
      <c r="W120" s="109">
        <f t="shared" si="43"/>
        <v>4424.8959999999997</v>
      </c>
      <c r="X120" s="123">
        <f t="shared" si="32"/>
        <v>8.337557403790205E-2</v>
      </c>
      <c r="Y120" s="124" t="str">
        <f t="shared" si="29"/>
        <v>Bajo</v>
      </c>
      <c r="Z120" s="109">
        <f t="shared" si="30"/>
        <v>4724.4444751423998</v>
      </c>
      <c r="AA120" s="109">
        <f t="shared" si="31"/>
        <v>4728.3990993334164</v>
      </c>
      <c r="AC120" s="229"/>
      <c r="AD120"/>
    </row>
    <row r="121" spans="1:30" ht="18" customHeight="1">
      <c r="A121" s="3">
        <v>111</v>
      </c>
      <c r="B121" s="330" t="s">
        <v>123</v>
      </c>
      <c r="C121" s="331"/>
      <c r="D121" s="331"/>
      <c r="E121" s="331"/>
      <c r="F121" s="332"/>
      <c r="G121" s="178" t="s">
        <v>19</v>
      </c>
      <c r="H121" s="44">
        <f>'BELPAPEL (2a COTIZACION) '!J125</f>
        <v>812</v>
      </c>
      <c r="I121" s="181">
        <f>'GRUPO LOS LAGOS SAS'!J125</f>
        <v>2011.1</v>
      </c>
      <c r="J121" s="16">
        <f>'SUMICORP LTDA'!J125</f>
        <v>4641</v>
      </c>
      <c r="K121" s="16">
        <f>'TELEAMARKETER (2a COTIZACION)'!J125</f>
        <v>5355</v>
      </c>
      <c r="L121" s="49">
        <f t="shared" si="38"/>
        <v>0.67012225636514333</v>
      </c>
      <c r="M121" s="50" t="str">
        <f t="shared" si="28"/>
        <v>Muy alto</v>
      </c>
      <c r="N121" s="51">
        <f t="shared" si="39"/>
        <v>3326.05</v>
      </c>
      <c r="P121" s="109">
        <f>IFERROR(
_xlfn.XLOOKUP(
"*"&amp;LEFT(TRIM(CLEAN(SUBSTITUTE(B121,CHAR(10)," "))),35)&amp;"*",
HISTORICOS!B:B,
HISTORICOS!D:D,
"No encontrado",
2
),
"No encontrado"
)</f>
        <v>1876</v>
      </c>
      <c r="Q121" s="109">
        <f>IFERROR(
_xlfn.XLOOKUP(
"*"&amp;LEFT(TRIM(CLEAN(B121)),50)&amp;"*",
HISTORICOS!F:F,
HISTORICOS!H:H,
"No encontrado",
2
),
"No encontrado"
)</f>
        <v>1523.2</v>
      </c>
      <c r="R121" s="109">
        <f>IFERROR(
_xlfn.XLOOKUP(
"*"&amp;LEFT(TRIM(CLEAN(B121)),100)&amp;"*",
HISTORICOS!K:K,
HISTORICOS!M:M,
"No encontrado",
2
),
"No encontrado"
)</f>
        <v>1905.1899999999998</v>
      </c>
      <c r="S121" s="109">
        <f>IFERROR(
_xlfn.XLOOKUP("*"&amp;LEFT(TRIM(CLEAN(B121)),100)&amp;"*",HISTORICOS!P:P,HISTORICOS!R:R,"No encontrado",2),
IFERROR(
_xlfn.XLOOKUP("*"&amp;LEFT(TRIM(CLEAN(B121)),70)&amp;"*",HISTORICOS!P:P,HISTORICOS!R:R,"No encontrado",2),
IFERROR(
_xlfn.XLOOKUP("*"&amp;LEFT(TRIM(CLEAN(B121)),50)&amp;"*",HISTORICOS!P:P,HISTORICOS!R:R,"No encontrado",2),
IFERROR(
_xlfn.XLOOKUP("*"&amp;LEFT(TRIM(CLEAN(B121)),30)&amp;"*",HISTORICOS!P:P,HISTORICOS!R:R,"No encontrado",2),
IFERROR(
_xlfn.XLOOKUP("*"&amp;LEFT(TRIM(CLEAN(B121)),10)&amp;"*",HISTORICOS!P:P,HISTORICOS!R:R,"No encontrado",2),
"No encontrado"
)))))</f>
        <v>1905.1899999999998</v>
      </c>
      <c r="T121" s="109">
        <f t="shared" si="44"/>
        <v>2266.7516045055995</v>
      </c>
      <c r="U121" s="109">
        <f t="shared" si="45"/>
        <v>1684.1915263999999</v>
      </c>
      <c r="V121" s="109">
        <f t="shared" si="42"/>
        <v>2002.4170899999997</v>
      </c>
      <c r="W121" s="109">
        <f t="shared" si="43"/>
        <v>2024.0738559999998</v>
      </c>
      <c r="X121" s="123">
        <f t="shared" si="32"/>
        <v>0.11983331080850811</v>
      </c>
      <c r="Y121" s="124" t="str">
        <f t="shared" si="29"/>
        <v>Bajo</v>
      </c>
      <c r="Z121" s="109">
        <f t="shared" si="30"/>
        <v>2013.2454729999997</v>
      </c>
      <c r="AA121" s="109">
        <f t="shared" si="31"/>
        <v>1983.3258715193838</v>
      </c>
      <c r="AC121" s="229"/>
      <c r="AD121"/>
    </row>
    <row r="122" spans="1:30" ht="18" customHeight="1">
      <c r="A122" s="3">
        <v>112</v>
      </c>
      <c r="B122" s="330" t="s">
        <v>554</v>
      </c>
      <c r="C122" s="331"/>
      <c r="D122" s="331"/>
      <c r="E122" s="331"/>
      <c r="F122" s="332"/>
      <c r="G122" s="178" t="s">
        <v>19</v>
      </c>
      <c r="H122" s="44">
        <f>'BELPAPEL (2a COTIZACION) '!J126</f>
        <v>1099560</v>
      </c>
      <c r="I122" s="181">
        <f>'GRUPO LOS LAGOS SAS'!J126</f>
        <v>773500</v>
      </c>
      <c r="J122" s="16">
        <f>'SUMICORP LTDA'!J126</f>
        <v>1106700</v>
      </c>
      <c r="K122" s="16">
        <f>'TELEAMARKETER (2a COTIZACION)'!J126</f>
        <v>539070</v>
      </c>
      <c r="L122" s="49">
        <f t="shared" si="38"/>
        <v>0.31281028061676669</v>
      </c>
      <c r="M122" s="50" t="str">
        <f t="shared" si="28"/>
        <v>Muy alto</v>
      </c>
      <c r="N122" s="51">
        <f t="shared" si="39"/>
        <v>936530</v>
      </c>
      <c r="P122" s="109" t="str">
        <f>IFERROR(
_xlfn.XLOOKUP(
"*"&amp;LEFT(TRIM(CLEAN(A122)),30)&amp;"*",
HISTORICOS!E:E,
HISTORICOS!G:G,
"No comparable",
2
),
"No comparable"
)</f>
        <v>No comparable</v>
      </c>
      <c r="Q122" s="109">
        <f>IFERROR(
_xlfn.XLOOKUP(
"*"&amp;LEFT(TRIM(CLEAN(B122)),100)&amp;"*",
HISTORICOS!F:F,
HISTORICOS!H:H,
"No encontrado",
2
),
"No encontrado"
)</f>
        <v>440300</v>
      </c>
      <c r="R122" s="109">
        <f>IFERROR(
_xlfn.XLOOKUP(
"*"&amp;LEFT(TRIM(CLEAN(B122)),70)&amp;"*",
HISTORICOS!K:K,
HISTORICOS!M:M,
"No encontrado",
2
),
"No encontrado"
)</f>
        <v>821100</v>
      </c>
      <c r="S122" s="109">
        <f>IFERROR(
_xlfn.XLOOKUP(
"*"&amp;LEFT(TRIM(CLEAN(B122)),70)&amp;"*",
HISTORICOS!P:P,
HISTORICOS!R:R,
"No encontrado",
2
),
"No encontrado"
)</f>
        <v>821100</v>
      </c>
      <c r="T122" s="109" t="s">
        <v>576</v>
      </c>
      <c r="U122" s="109">
        <f t="shared" si="45"/>
        <v>486818.63799999998</v>
      </c>
      <c r="V122" s="109">
        <f t="shared" si="42"/>
        <v>862976.16240000003</v>
      </c>
      <c r="W122" s="109">
        <f t="shared" si="43"/>
        <v>872336.64</v>
      </c>
      <c r="X122" s="123">
        <f t="shared" si="32"/>
        <v>0.29691302677416009</v>
      </c>
      <c r="Y122" s="124" t="str">
        <f t="shared" si="29"/>
        <v>Muy alto</v>
      </c>
      <c r="Z122" s="109">
        <f t="shared" si="30"/>
        <v>862976.16240000003</v>
      </c>
      <c r="AA122" s="109">
        <f t="shared" si="31"/>
        <v>715621.48397499067</v>
      </c>
      <c r="AC122" s="229"/>
      <c r="AD122"/>
    </row>
    <row r="123" spans="1:30" ht="18" customHeight="1">
      <c r="A123" s="3">
        <v>113</v>
      </c>
      <c r="B123" s="330" t="s">
        <v>125</v>
      </c>
      <c r="C123" s="331"/>
      <c r="D123" s="331"/>
      <c r="E123" s="331"/>
      <c r="F123" s="332"/>
      <c r="G123" s="178" t="s">
        <v>19</v>
      </c>
      <c r="H123" s="44">
        <f>'BELPAPEL (2a COTIZACION) '!J127</f>
        <v>1099560</v>
      </c>
      <c r="I123" s="181">
        <f>'GRUPO LOS LAGOS SAS'!J127</f>
        <v>773500</v>
      </c>
      <c r="J123" s="16">
        <f>'SUMICORP LTDA'!J127</f>
        <v>1011500</v>
      </c>
      <c r="K123" s="16">
        <f>'TELEAMARKETER (2a COTIZACION)'!J127</f>
        <v>1698130</v>
      </c>
      <c r="L123" s="49">
        <f t="shared" si="38"/>
        <v>0.34321621389507823</v>
      </c>
      <c r="M123" s="50" t="str">
        <f t="shared" si="28"/>
        <v>Muy alto</v>
      </c>
      <c r="N123" s="51">
        <f t="shared" si="39"/>
        <v>1055530</v>
      </c>
      <c r="P123" s="109" t="str">
        <f>IFERROR(
_xlfn.XLOOKUP(
"*"&amp;LEFT(TRIM(CLEAN(A123)),30)&amp;"*",
HISTORICOS!E:E,
HISTORICOS!G:G,
"No comparable",
2
),
"No comparable"
)</f>
        <v>No comparable</v>
      </c>
      <c r="Q123" s="109">
        <f>HISTORICOS!H114</f>
        <v>352240</v>
      </c>
      <c r="R123" s="109">
        <f>IFERROR(
_xlfn.XLOOKUP(
"*"&amp;LEFT(TRIM(CLEAN(B123)),70)&amp;"*",
HISTORICOS!K:K,
HISTORICOS!M:M,
"No encontrado",
2
),
"No encontrado"
)</f>
        <v>940100</v>
      </c>
      <c r="S123" s="109">
        <f>IFERROR(
_xlfn.XLOOKUP("*"&amp;LEFT(TRIM(CLEAN(B123)),100)&amp;"*",HISTORICOS!P:P,HISTORICOS!R:R,"No encontrado",2),
IFERROR(
_xlfn.XLOOKUP("*"&amp;LEFT(TRIM(CLEAN(B123)),70)&amp;"*",HISTORICOS!P:P,HISTORICOS!R:R,"No encontrado",2),
IFERROR(
_xlfn.XLOOKUP("*"&amp;LEFT(TRIM(CLEAN(B123)),50)&amp;"*",HISTORICOS!P:P,HISTORICOS!R:R,"No encontrado",2),
IFERROR(
_xlfn.XLOOKUP("*"&amp;LEFT(TRIM(CLEAN(B123)),30)&amp;"*",HISTORICOS!P:P,HISTORICOS!R:R,"No encontrado",2),
IFERROR(
_xlfn.XLOOKUP("*"&amp;LEFT(TRIM(CLEAN(B123)),10)&amp;"*",HISTORICOS!P:P,HISTORICOS!R:R,"No encontrado",2),
"No encontrado"
)))))</f>
        <v>940100</v>
      </c>
      <c r="T123" s="109" t="s">
        <v>576</v>
      </c>
      <c r="U123" s="109" t="s">
        <v>576</v>
      </c>
      <c r="V123" s="109">
        <f t="shared" si="42"/>
        <v>988045.16240000003</v>
      </c>
      <c r="W123" s="109">
        <f t="shared" si="43"/>
        <v>998762.24</v>
      </c>
      <c r="X123" s="123">
        <f t="shared" si="32"/>
        <v>7.6284376999082E-3</v>
      </c>
      <c r="Y123" s="124" t="str">
        <f t="shared" si="29"/>
        <v>Bajo</v>
      </c>
      <c r="Z123" s="109">
        <f t="shared" si="30"/>
        <v>993403.70120000001</v>
      </c>
      <c r="AA123" s="109">
        <f t="shared" si="31"/>
        <v>993389.24879414099</v>
      </c>
      <c r="AC123" s="229"/>
      <c r="AD123"/>
    </row>
    <row r="124" spans="1:30" ht="18" customHeight="1">
      <c r="A124" s="3">
        <v>114</v>
      </c>
      <c r="B124" s="330" t="s">
        <v>556</v>
      </c>
      <c r="C124" s="331"/>
      <c r="D124" s="331"/>
      <c r="E124" s="331"/>
      <c r="F124" s="332"/>
      <c r="G124" s="178" t="s">
        <v>19</v>
      </c>
      <c r="H124" s="44">
        <f>'BELPAPEL (2a COTIZACION) '!J128</f>
        <v>1099560</v>
      </c>
      <c r="I124" s="181">
        <f>'GRUPO LOS LAGOS SAS'!J128</f>
        <v>773500</v>
      </c>
      <c r="J124" s="16">
        <f>'SUMICORP LTDA'!J128</f>
        <v>1011500</v>
      </c>
      <c r="K124" s="16">
        <f>'TELEAMARKETER (2a COTIZACION)'!J128</f>
        <v>892500</v>
      </c>
      <c r="L124" s="49">
        <f t="shared" si="38"/>
        <v>0.15036334345554828</v>
      </c>
      <c r="M124" s="50" t="str">
        <f t="shared" si="28"/>
        <v>Moderado</v>
      </c>
      <c r="N124" s="51">
        <f t="shared" si="39"/>
        <v>952000</v>
      </c>
      <c r="P124" s="109" t="str">
        <f>IFERROR(
_xlfn.XLOOKUP(
"*"&amp;LEFT(TRIM(CLEAN(A124)),30)&amp;"*",
HISTORICOS!E:E,
HISTORICOS!G:G,
"No comparable",
2
),
"No comparable"
)</f>
        <v>No comparable</v>
      </c>
      <c r="Q124" s="109">
        <f>IFERROR(
_xlfn.XLOOKUP(
"*"&amp;LEFT(TRIM(CLEAN(B124)),50)&amp;"*",
HISTORICOS!F:F,
HISTORICOS!H:H,
"No encontrado",
2
),
"No encontrado"
)</f>
        <v>352240</v>
      </c>
      <c r="R124" s="109">
        <f>IFERROR(
_xlfn.XLOOKUP(
"*"&amp;LEFT(TRIM(CLEAN(B124)),30)&amp;"*",
HISTORICOS!K:K,
HISTORICOS!M:M,
"No encontrado",
2
),
"No encontrado"
)</f>
        <v>372470</v>
      </c>
      <c r="S124" s="109">
        <f>IFERROR(
_xlfn.XLOOKUP("*"&amp;LEFT(TRIM(CLEAN(B124)),100)&amp;"*",HISTORICOS!P:P,HISTORICOS!R:R,"No encontrado",2),
IFERROR(
_xlfn.XLOOKUP("*"&amp;LEFT(TRIM(CLEAN(B124)),70)&amp;"*",HISTORICOS!P:P,HISTORICOS!R:R,"No encontrado",2),
IFERROR(
_xlfn.XLOOKUP("*"&amp;LEFT(TRIM(CLEAN(B124)),50)&amp;"*",HISTORICOS!P:P,HISTORICOS!R:R,"No encontrado",2),
IFERROR(
_xlfn.XLOOKUP("*"&amp;LEFT(TRIM(CLEAN(B124)),30)&amp;"*",HISTORICOS!P:P,HISTORICOS!R:R,"No encontrado",2),
IFERROR(
_xlfn.XLOOKUP("*"&amp;LEFT(TRIM(CLEAN(B124)),10)&amp;"*",HISTORICOS!P:P,HISTORICOS!R:R,"No encontrado",2),
"No encontrado"
)))))</f>
        <v>372470</v>
      </c>
      <c r="T124" s="109" t="s">
        <v>576</v>
      </c>
      <c r="U124" s="109">
        <f t="shared" ref="U124:U133" si="46">Q124*(1+$R$4)*(1+$S$4)*1+($T$4)</f>
        <v>389454.92288000003</v>
      </c>
      <c r="V124" s="109">
        <f t="shared" si="42"/>
        <v>391466.03239999997</v>
      </c>
      <c r="W124" s="109">
        <f t="shared" si="43"/>
        <v>395712.12800000003</v>
      </c>
      <c r="X124" s="123">
        <f t="shared" si="32"/>
        <v>8.1446853270212023E-3</v>
      </c>
      <c r="Y124" s="124" t="str">
        <f t="shared" si="29"/>
        <v>Bajo</v>
      </c>
      <c r="Z124" s="109">
        <f t="shared" si="30"/>
        <v>391466.03239999997</v>
      </c>
      <c r="AA124" s="109">
        <f t="shared" si="31"/>
        <v>392202.37058919179</v>
      </c>
      <c r="AC124" s="229"/>
      <c r="AD124"/>
    </row>
    <row r="125" spans="1:30" ht="18" customHeight="1">
      <c r="A125" s="3">
        <v>115</v>
      </c>
      <c r="B125" s="330" t="s">
        <v>557</v>
      </c>
      <c r="C125" s="331"/>
      <c r="D125" s="331"/>
      <c r="E125" s="331"/>
      <c r="F125" s="332"/>
      <c r="G125" s="178" t="s">
        <v>19</v>
      </c>
      <c r="H125" s="44">
        <f>'BELPAPEL (2a COTIZACION) '!J129</f>
        <v>1099560</v>
      </c>
      <c r="I125" s="181">
        <f>'GRUPO LOS LAGOS SAS'!J129</f>
        <v>773500</v>
      </c>
      <c r="J125" s="16">
        <f>'SUMICORP LTDA'!J129</f>
        <v>1011500</v>
      </c>
      <c r="K125" s="16">
        <f>'TELEAMARKETER (2a COTIZACION)'!J129</f>
        <v>892500</v>
      </c>
      <c r="L125" s="49">
        <f t="shared" si="38"/>
        <v>0.15036334345554828</v>
      </c>
      <c r="M125" s="50" t="str">
        <f t="shared" si="28"/>
        <v>Moderado</v>
      </c>
      <c r="N125" s="51">
        <f t="shared" si="39"/>
        <v>952000</v>
      </c>
      <c r="P125" s="109">
        <f>HISTORICOS!D107</f>
        <v>140044</v>
      </c>
      <c r="Q125" s="109">
        <f>IFERROR(
_xlfn.XLOOKUP(
"*"&amp;LEFT(TRIM(CLEAN(B125)),50)&amp;"*",
HISTORICOS!F:F,
HISTORICOS!H:H,
"No encontrado",
2
),
"No encontrado"
)</f>
        <v>352240</v>
      </c>
      <c r="R125" s="109">
        <f>IFERROR(
_xlfn.XLOOKUP(
"*"&amp;LEFT(TRIM(CLEAN(B125)),30)&amp;"*",
HISTORICOS!K:K,
HISTORICOS!M:M,
"No encontrado",
2
),
"No encontrado"
)</f>
        <v>372470</v>
      </c>
      <c r="S125" s="109">
        <f>IFERROR(
_xlfn.XLOOKUP("*"&amp;LEFT(TRIM(CLEAN(B125)),100)&amp;"*",HISTORICOS!P:P,HISTORICOS!R:R,"No encontrado",2),
IFERROR(
_xlfn.XLOOKUP("*"&amp;LEFT(TRIM(CLEAN(B125)),70)&amp;"*",HISTORICOS!P:P,HISTORICOS!R:R,"No encontrado",2),
IFERROR(
_xlfn.XLOOKUP("*"&amp;LEFT(TRIM(CLEAN(B125)),50)&amp;"*",HISTORICOS!P:P,HISTORICOS!R:R,"No encontrado",2),
IFERROR(
_xlfn.XLOOKUP("*"&amp;LEFT(TRIM(CLEAN(B125)),30)&amp;"*",HISTORICOS!P:P,HISTORICOS!R:R,"No encontrado",2),
IFERROR(
_xlfn.XLOOKUP("*"&amp;LEFT(TRIM(CLEAN(B125)),10)&amp;"*",HISTORICOS!P:P,HISTORICOS!R:R,"No encontrado",2),
"No encontrado"
)))))</f>
        <v>372470</v>
      </c>
      <c r="T125" s="109">
        <f>P125*(1+$Q$4)*(1+$R$4)*(1+$S$4)*1+($T$4)</f>
        <v>169209.13647024639</v>
      </c>
      <c r="U125" s="109">
        <f t="shared" si="46"/>
        <v>389454.92288000003</v>
      </c>
      <c r="V125" s="109">
        <f t="shared" si="42"/>
        <v>391466.03239999997</v>
      </c>
      <c r="W125" s="109">
        <f>S125*(1+($T$4))</f>
        <v>395712.12800000003</v>
      </c>
      <c r="X125" s="123">
        <f t="shared" si="32"/>
        <v>0.33148446692286787</v>
      </c>
      <c r="Y125" s="124" t="str">
        <f t="shared" si="29"/>
        <v>Muy alto</v>
      </c>
      <c r="Z125" s="109">
        <f t="shared" si="30"/>
        <v>390460.47764</v>
      </c>
      <c r="AA125" s="109">
        <f t="shared" si="31"/>
        <v>317862.00100932288</v>
      </c>
      <c r="AC125" s="229"/>
      <c r="AD125"/>
    </row>
    <row r="126" spans="1:30" ht="18" customHeight="1">
      <c r="A126" s="3">
        <v>116</v>
      </c>
      <c r="B126" s="330" t="s">
        <v>558</v>
      </c>
      <c r="C126" s="331"/>
      <c r="D126" s="331"/>
      <c r="E126" s="331"/>
      <c r="F126" s="332"/>
      <c r="G126" s="178" t="s">
        <v>19</v>
      </c>
      <c r="H126" s="44">
        <f>'BELPAPEL (2a COTIZACION) '!J130</f>
        <v>1099560</v>
      </c>
      <c r="I126" s="181">
        <f>'GRUPO LOS LAGOS SAS'!J130</f>
        <v>773500</v>
      </c>
      <c r="J126" s="16">
        <f>'SUMICORP LTDA'!J130</f>
        <v>1011500</v>
      </c>
      <c r="K126" s="16">
        <f>'TELEAMARKETER (2a COTIZACION)'!J130</f>
        <v>892500</v>
      </c>
      <c r="L126" s="49">
        <f t="shared" si="38"/>
        <v>0.15036334345554828</v>
      </c>
      <c r="M126" s="50" t="str">
        <f t="shared" si="28"/>
        <v>Moderado</v>
      </c>
      <c r="N126" s="51">
        <f t="shared" si="39"/>
        <v>952000</v>
      </c>
      <c r="P126" s="109">
        <f>HISTORICOS!D108</f>
        <v>140044</v>
      </c>
      <c r="Q126" s="109">
        <f>IFERROR(
_xlfn.XLOOKUP(
"*"&amp;LEFT(TRIM(CLEAN(B126)),50)&amp;"*",
HISTORICOS!F:F,
HISTORICOS!H:H,
"No encontrado",
2
),
"No encontrado"
)</f>
        <v>352240</v>
      </c>
      <c r="R126" s="109">
        <f>IFERROR(
_xlfn.XLOOKUP(
"*"&amp;LEFT(TRIM(CLEAN(B126)),30)&amp;"*",
HISTORICOS!K:K,
HISTORICOS!M:M,
"No encontrado",
2
),
"No encontrado"
)</f>
        <v>372470</v>
      </c>
      <c r="S126" s="109">
        <f>IFERROR(
_xlfn.XLOOKUP("*"&amp;LEFT(TRIM(CLEAN(B126)),100)&amp;"*",HISTORICOS!P:P,HISTORICOS!R:R,"No encontrado",2),
IFERROR(
_xlfn.XLOOKUP("*"&amp;LEFT(TRIM(CLEAN(B126)),70)&amp;"*",HISTORICOS!P:P,HISTORICOS!R:R,"No encontrado",2),
IFERROR(
_xlfn.XLOOKUP("*"&amp;LEFT(TRIM(CLEAN(B126)),50)&amp;"*",HISTORICOS!P:P,HISTORICOS!R:R,"No encontrado",2),
IFERROR(
_xlfn.XLOOKUP("*"&amp;LEFT(TRIM(CLEAN(B126)),30)&amp;"*",HISTORICOS!P:P,HISTORICOS!R:R,"No encontrado",2),
IFERROR(
_xlfn.XLOOKUP("*"&amp;LEFT(TRIM(CLEAN(B126)),10)&amp;"*",HISTORICOS!P:P,HISTORICOS!R:R,"No encontrado",2),
"No encontrado"
)))))</f>
        <v>372470</v>
      </c>
      <c r="T126" s="109">
        <f>P126*(1+$Q$4)*(1+$R$4)*(1+$S$4)*1+($T$4)</f>
        <v>169209.13647024639</v>
      </c>
      <c r="U126" s="109">
        <f t="shared" si="46"/>
        <v>389454.92288000003</v>
      </c>
      <c r="V126" s="109">
        <f t="shared" si="42"/>
        <v>391466.03239999997</v>
      </c>
      <c r="W126" s="109">
        <f t="shared" si="43"/>
        <v>395712.12800000003</v>
      </c>
      <c r="X126" s="123">
        <f t="shared" si="32"/>
        <v>0.33148446692286787</v>
      </c>
      <c r="Y126" s="124" t="str">
        <f t="shared" si="29"/>
        <v>Muy alto</v>
      </c>
      <c r="Z126" s="109">
        <f t="shared" si="30"/>
        <v>390460.47764</v>
      </c>
      <c r="AA126" s="109">
        <f t="shared" si="31"/>
        <v>317862.00100932288</v>
      </c>
      <c r="AC126" s="229"/>
      <c r="AD126"/>
    </row>
    <row r="127" spans="1:30" ht="18" customHeight="1">
      <c r="A127" s="3">
        <v>117</v>
      </c>
      <c r="B127" s="330" t="s">
        <v>559</v>
      </c>
      <c r="C127" s="331"/>
      <c r="D127" s="331"/>
      <c r="E127" s="331"/>
      <c r="F127" s="332"/>
      <c r="G127" s="178" t="s">
        <v>19</v>
      </c>
      <c r="H127" s="44">
        <f>'BELPAPEL (2a COTIZACION) '!J131</f>
        <v>1099560</v>
      </c>
      <c r="I127" s="181">
        <f>'GRUPO LOS LAGOS SAS'!J131</f>
        <v>773500</v>
      </c>
      <c r="J127" s="16">
        <f>'SUMICORP LTDA'!J131</f>
        <v>1011500</v>
      </c>
      <c r="K127" s="16">
        <f>'TELEAMARKETER (2a COTIZACION)'!J131</f>
        <v>892500</v>
      </c>
      <c r="L127" s="49">
        <f t="shared" si="38"/>
        <v>0.15036334345554828</v>
      </c>
      <c r="M127" s="50" t="str">
        <f t="shared" si="28"/>
        <v>Moderado</v>
      </c>
      <c r="N127" s="51">
        <f t="shared" si="39"/>
        <v>952000</v>
      </c>
      <c r="P127" s="109">
        <f>HISTORICOS!D109</f>
        <v>140044</v>
      </c>
      <c r="Q127" s="109">
        <f>IFERROR(
_xlfn.XLOOKUP(
"*"&amp;LEFT(TRIM(CLEAN(B127)),50)&amp;"*",
HISTORICOS!F:F,
HISTORICOS!H:H,
"No encontrado",
2
),
"No encontrado"
)</f>
        <v>352240</v>
      </c>
      <c r="R127" s="109">
        <f>IFERROR(
_xlfn.XLOOKUP(
"*"&amp;LEFT(TRIM(CLEAN(B127)),30)&amp;"*",
HISTORICOS!K:K,
HISTORICOS!M:M,
"No encontrado",
2
),
"No encontrado"
)</f>
        <v>372470</v>
      </c>
      <c r="S127" s="109">
        <f>IFERROR(
_xlfn.XLOOKUP("*"&amp;LEFT(TRIM(CLEAN(B127)),100)&amp;"*",HISTORICOS!P:P,HISTORICOS!R:R,"No encontrado",2),
IFERROR(
_xlfn.XLOOKUP("*"&amp;LEFT(TRIM(CLEAN(B127)),70)&amp;"*",HISTORICOS!P:P,HISTORICOS!R:R,"No encontrado",2),
IFERROR(
_xlfn.XLOOKUP("*"&amp;LEFT(TRIM(CLEAN(B127)),50)&amp;"*",HISTORICOS!P:P,HISTORICOS!R:R,"No encontrado",2),
IFERROR(
_xlfn.XLOOKUP("*"&amp;LEFT(TRIM(CLEAN(B127)),30)&amp;"*",HISTORICOS!P:P,HISTORICOS!R:R,"No encontrado",2),
IFERROR(
_xlfn.XLOOKUP("*"&amp;LEFT(TRIM(CLEAN(B127)),10)&amp;"*",HISTORICOS!P:P,HISTORICOS!R:R,"No encontrado",2),
"No encontrado"
)))))</f>
        <v>372470</v>
      </c>
      <c r="T127" s="109">
        <f>P127*(1+$Q$4)*(1+$R$4)*(1+$S$4)*1+($T$4)</f>
        <v>169209.13647024639</v>
      </c>
      <c r="U127" s="109">
        <f t="shared" si="46"/>
        <v>389454.92288000003</v>
      </c>
      <c r="V127" s="109">
        <f t="shared" si="42"/>
        <v>391466.03239999997</v>
      </c>
      <c r="W127" s="109">
        <f t="shared" si="43"/>
        <v>395712.12800000003</v>
      </c>
      <c r="X127" s="123">
        <f t="shared" si="32"/>
        <v>0.33148446692286787</v>
      </c>
      <c r="Y127" s="124" t="str">
        <f t="shared" si="29"/>
        <v>Muy alto</v>
      </c>
      <c r="Z127" s="109">
        <f t="shared" si="30"/>
        <v>390460.47764</v>
      </c>
      <c r="AA127" s="109">
        <f t="shared" si="31"/>
        <v>317862.00100932288</v>
      </c>
      <c r="AC127" s="229"/>
      <c r="AD127"/>
    </row>
    <row r="128" spans="1:30" ht="18" customHeight="1">
      <c r="A128" s="3">
        <v>118</v>
      </c>
      <c r="B128" s="330" t="s">
        <v>130</v>
      </c>
      <c r="C128" s="331"/>
      <c r="D128" s="331"/>
      <c r="E128" s="331"/>
      <c r="F128" s="332"/>
      <c r="G128" s="178" t="s">
        <v>19</v>
      </c>
      <c r="H128" s="44">
        <f>'BELPAPEL (2a COTIZACION) '!J132</f>
        <v>2030</v>
      </c>
      <c r="I128" s="181">
        <f>'GRUPO LOS LAGOS SAS'!J132</f>
        <v>3153.5</v>
      </c>
      <c r="J128" s="16">
        <f>'SUMICORP LTDA'!J132</f>
        <v>7378</v>
      </c>
      <c r="K128" s="16">
        <f>'TELEAMARKETER (2a COTIZACION)'!J132</f>
        <v>10591</v>
      </c>
      <c r="L128" s="49">
        <f t="shared" si="38"/>
        <v>0.68135607488351657</v>
      </c>
      <c r="M128" s="50" t="str">
        <f t="shared" si="28"/>
        <v>Muy alto</v>
      </c>
      <c r="N128" s="51">
        <f t="shared" si="39"/>
        <v>5265.75</v>
      </c>
      <c r="P128" s="109">
        <f>HISTORICOS!D110</f>
        <v>2369</v>
      </c>
      <c r="Q128" s="109">
        <f>IFERROR(
_xlfn.XLOOKUP(
"*"&amp;LEFT(TRIM(CLEAN(B128)),20)&amp;"*",
HISTORICOS!F:F,
HISTORICOS!H:H,
"No encontrado",
2
),
"No encontrado"
)</f>
        <v>2208.64</v>
      </c>
      <c r="R128" s="109">
        <f>IFERROR(
_xlfn.XLOOKUP(
"*"&amp;LEFT(TRIM(CLEAN(B128)),15)&amp;"*",
HISTORICOS!K:K,
HISTORICOS!M:M,
"No encontrado",
2
),
"No encontrado"
)</f>
        <v>3034.5</v>
      </c>
      <c r="S128" s="109">
        <f>IFERROR(
_xlfn.XLOOKUP(
"*"&amp;LEFT(TRIM(CLEAN(B128)),15)&amp;"*",
HISTORICOS!P:P,
HISTORICOS!R:R,
"No encontrado",
2
),
"No encontrado"
)</f>
        <v>3034.5</v>
      </c>
      <c r="T128" s="109">
        <f>P128*(1+$Q$4)*(1+$R$4)*(1+$S$4)*1+($T$4)</f>
        <v>2862.4220617663991</v>
      </c>
      <c r="U128" s="109">
        <f t="shared" si="46"/>
        <v>2442.0496332799994</v>
      </c>
      <c r="V128" s="109">
        <f t="shared" si="42"/>
        <v>3189.3218999999995</v>
      </c>
      <c r="W128" s="109">
        <f t="shared" si="43"/>
        <v>3223.8528000000001</v>
      </c>
      <c r="X128" s="123">
        <f t="shared" si="32"/>
        <v>0.12406467578794331</v>
      </c>
      <c r="Y128" s="124" t="str">
        <f t="shared" si="29"/>
        <v>Bajo</v>
      </c>
      <c r="Z128" s="109">
        <f t="shared" si="30"/>
        <v>3025.8719808831993</v>
      </c>
      <c r="AA128" s="109">
        <f t="shared" si="31"/>
        <v>2911.6584496195815</v>
      </c>
      <c r="AC128" s="229"/>
      <c r="AD128"/>
    </row>
    <row r="129" spans="1:31" ht="18" customHeight="1">
      <c r="A129" s="3">
        <v>119</v>
      </c>
      <c r="B129" s="330" t="s">
        <v>131</v>
      </c>
      <c r="C129" s="331"/>
      <c r="D129" s="331"/>
      <c r="E129" s="331"/>
      <c r="F129" s="332"/>
      <c r="G129" s="178" t="s">
        <v>19</v>
      </c>
      <c r="H129" s="44">
        <f>'BELPAPEL (2a COTIZACION) '!J133</f>
        <v>2030</v>
      </c>
      <c r="I129" s="181">
        <f>'GRUPO LOS LAGOS SAS'!J133</f>
        <v>3153.5</v>
      </c>
      <c r="J129" s="16">
        <f>'SUMICORP LTDA'!J133</f>
        <v>7378</v>
      </c>
      <c r="K129" s="16">
        <f>'TELEAMARKETER (2a COTIZACION)'!J133</f>
        <v>10591</v>
      </c>
      <c r="L129" s="49">
        <f t="shared" si="38"/>
        <v>0.68135607488351657</v>
      </c>
      <c r="M129" s="50" t="str">
        <f t="shared" si="28"/>
        <v>Muy alto</v>
      </c>
      <c r="N129" s="51">
        <f t="shared" si="39"/>
        <v>5265.75</v>
      </c>
      <c r="P129" s="109" t="str">
        <f>IFERROR(
_xlfn.XLOOKUP(
"*"&amp;LEFT(TRIM(CLEAN(A129)),30)&amp;"*",
HISTORICOS!E:E,
HISTORICOS!G:G,
"No comparable",
2
),
"No comparable"
)</f>
        <v>No comparable</v>
      </c>
      <c r="Q129" s="109">
        <f>IFERROR(
_xlfn.XLOOKUP(
"*"&amp;LEFT(TRIM(CLEAN(B129)),20)&amp;"*",
HISTORICOS!F:F,
HISTORICOS!H:H,
"No encontrado",
2
),
"No encontrado"
)</f>
        <v>2208.64</v>
      </c>
      <c r="R129" s="109">
        <f>IFERROR(
_xlfn.XLOOKUP(
"*"&amp;LEFT(TRIM(CLEAN(B129)),15)&amp;"*",
HISTORICOS!K:K,
HISTORICOS!M:M,
"No encontrado",
2
),
"No encontrado"
)</f>
        <v>3034.5</v>
      </c>
      <c r="S129" s="109">
        <f>IFERROR(
_xlfn.XLOOKUP(
"*"&amp;LEFT(TRIM(CLEAN(B129)),15)&amp;"*",
HISTORICOS!P:P,
HISTORICOS!R:R,
"No encontrado",
2
),
"No encontrado"
)</f>
        <v>3034.5</v>
      </c>
      <c r="T129" s="109" t="s">
        <v>576</v>
      </c>
      <c r="U129" s="109">
        <f t="shared" si="46"/>
        <v>2442.0496332799994</v>
      </c>
      <c r="V129" s="109">
        <f t="shared" si="42"/>
        <v>3189.3218999999995</v>
      </c>
      <c r="W129" s="109">
        <f t="shared" si="43"/>
        <v>3223.8528000000001</v>
      </c>
      <c r="X129" s="123">
        <f t="shared" si="32"/>
        <v>0.1496552465592243</v>
      </c>
      <c r="Y129" s="124" t="str">
        <f t="shared" si="29"/>
        <v>Bajo</v>
      </c>
      <c r="Z129" s="109">
        <f t="shared" si="30"/>
        <v>3189.3218999999995</v>
      </c>
      <c r="AA129" s="109">
        <f t="shared" si="31"/>
        <v>2928.2580674650308</v>
      </c>
      <c r="AC129" s="229"/>
      <c r="AD129"/>
    </row>
    <row r="130" spans="1:31" ht="18" customHeight="1">
      <c r="A130" s="3">
        <v>120</v>
      </c>
      <c r="B130" s="330" t="s">
        <v>132</v>
      </c>
      <c r="C130" s="331"/>
      <c r="D130" s="331"/>
      <c r="E130" s="331"/>
      <c r="F130" s="332"/>
      <c r="G130" s="178" t="s">
        <v>48</v>
      </c>
      <c r="H130" s="44">
        <f>'BELPAPEL (2a COTIZACION) '!J134</f>
        <v>57627</v>
      </c>
      <c r="I130" s="181">
        <f>'GRUPO LOS LAGOS SAS'!J134</f>
        <v>53550</v>
      </c>
      <c r="J130" s="16">
        <f>'SUMICORP LTDA'!J134</f>
        <v>113050</v>
      </c>
      <c r="K130" s="16">
        <f>'TELEAMARKETER (2a COTIZACION)'!J134</f>
        <v>58905</v>
      </c>
      <c r="L130" s="49">
        <f t="shared" si="38"/>
        <v>0.3993950226640916</v>
      </c>
      <c r="M130" s="50" t="str">
        <f t="shared" si="28"/>
        <v>Muy alto</v>
      </c>
      <c r="N130" s="51">
        <f t="shared" si="39"/>
        <v>58266</v>
      </c>
      <c r="P130" s="109">
        <f>IFERROR(
_xlfn.XLOOKUP(
"*"&amp;LEFT(TRIM(CLEAN(SUBSTITUTE(B130,CHAR(10)," "))),35)&amp;"*",
HISTORICOS!B:B,
HISTORICOS!D:D,
"No encontrado",
2
),
"No encontrado"
)</f>
        <v>72346</v>
      </c>
      <c r="Q130" s="109">
        <f>IFERROR(
_xlfn.XLOOKUP(
"*"&amp;LEFT(TRIM(CLEAN(B130)),50)&amp;"*",
HISTORICOS!F:F,
HISTORICOS!H:H,
"No encontrado",
2
),
"No encontrado"
)</f>
        <v>57881.599999999999</v>
      </c>
      <c r="R130" s="109">
        <f>IFERROR(
_xlfn.XLOOKUP(
"*"&amp;LEFT(TRIM(CLEAN(B130)),100)&amp;"*",
HISTORICOS!K:K,
HISTORICOS!M:M,
"No encontrado",
2
),
"No encontrado"
)</f>
        <v>34800.36</v>
      </c>
      <c r="S130" s="109">
        <f>IFERROR(
_xlfn.XLOOKUP("*"&amp;LEFT(TRIM(CLEAN(B130)),100)&amp;"*",HISTORICOS!P:P,HISTORICOS!R:R,"No encontrado",2),
IFERROR(
_xlfn.XLOOKUP("*"&amp;LEFT(TRIM(CLEAN(B130)),70)&amp;"*",HISTORICOS!P:P,HISTORICOS!R:R,"No encontrado",2),
IFERROR(
_xlfn.XLOOKUP("*"&amp;LEFT(TRIM(CLEAN(B130)),50)&amp;"*",HISTORICOS!P:P,HISTORICOS!R:R,"No encontrado",2),
IFERROR(
_xlfn.XLOOKUP("*"&amp;LEFT(TRIM(CLEAN(B130)),30)&amp;"*",HISTORICOS!P:P,HISTORICOS!R:R,"No encontrado",2),
IFERROR(
_xlfn.XLOOKUP("*"&amp;LEFT(TRIM(CLEAN(B130)),10)&amp;"*",HISTORICOS!P:P,HISTORICOS!R:R,"No encontrado",2),
"No encontrado"
)))))</f>
        <v>34800.36</v>
      </c>
      <c r="T130" s="109">
        <f>P130*(1+$Q$4)*(1+$R$4)*(1+$S$4)*1+($T$4)</f>
        <v>87412.587554137586</v>
      </c>
      <c r="U130" s="109">
        <f t="shared" si="46"/>
        <v>63996.969203200002</v>
      </c>
      <c r="V130" s="109">
        <f t="shared" si="42"/>
        <v>36575.240760000001</v>
      </c>
      <c r="W130" s="109">
        <f t="shared" si="43"/>
        <v>36971.902463999999</v>
      </c>
      <c r="X130" s="123">
        <f>_xlfn.STDEV.S(T130:W130)/AVERAGE(T130:W130)</f>
        <v>0.43432051287767914</v>
      </c>
      <c r="Y130" s="124" t="str">
        <f t="shared" si="29"/>
        <v>Muy alto</v>
      </c>
      <c r="Z130" s="109">
        <f t="shared" si="30"/>
        <v>50484.4358336</v>
      </c>
      <c r="AA130" s="109">
        <f t="shared" si="31"/>
        <v>52444.275947379283</v>
      </c>
      <c r="AC130" s="229"/>
      <c r="AD130"/>
    </row>
    <row r="131" spans="1:31" ht="18" customHeight="1">
      <c r="A131" s="3">
        <v>121</v>
      </c>
      <c r="B131" s="330" t="s">
        <v>133</v>
      </c>
      <c r="C131" s="331"/>
      <c r="D131" s="331"/>
      <c r="E131" s="331"/>
      <c r="F131" s="332"/>
      <c r="G131" s="178" t="s">
        <v>19</v>
      </c>
      <c r="H131" s="44">
        <f>'BELPAPEL (2a COTIZACION) '!J135</f>
        <v>1237005</v>
      </c>
      <c r="I131" s="181">
        <f>'GRUPO LOS LAGOS SAS'!J135</f>
        <v>902117.58</v>
      </c>
      <c r="J131" s="16">
        <f>'SUMICORP LTDA'!J135</f>
        <v>2356200</v>
      </c>
      <c r="K131" s="16">
        <f>'TELEAMARKETER (2a COTIZACION)'!J135</f>
        <v>784210</v>
      </c>
      <c r="L131" s="49">
        <f t="shared" si="38"/>
        <v>0.543234874202011</v>
      </c>
      <c r="M131" s="50" t="str">
        <f t="shared" si="28"/>
        <v>Muy alto</v>
      </c>
      <c r="N131" s="51">
        <f t="shared" si="39"/>
        <v>1069561.29</v>
      </c>
      <c r="P131" s="109">
        <f>IFERROR(
_xlfn.XLOOKUP(
"*"&amp;LEFT(B131,FIND(" ",B131&amp;" ")-1)&amp;"*",
HISTORICOS!B:B,
HISTORICOS!D:D,
"No encontrado",
2
),
"No encontrado"
)</f>
        <v>148812</v>
      </c>
      <c r="Q131" s="109">
        <f>IFERROR(
_xlfn.XLOOKUP(
"*"&amp;LEFT(TRIM(CLEAN(B131)),20)&amp;"*",
HISTORICOS!F:F,
HISTORICOS!H:H,
"No encontrado",
2
),
"No encontrado"
)</f>
        <v>497420</v>
      </c>
      <c r="R131" s="109">
        <f>IFERROR(
_xlfn.XLOOKUP(
"*"&amp;LEFT(TRIM(CLEAN(B131)),20)&amp;"*",
HISTORICOS!K:K,
HISTORICOS!M:M,
"No encontrado",
2
),
"No encontrado"
)</f>
        <v>737681</v>
      </c>
      <c r="S131" s="109">
        <f>IFERROR(
_xlfn.XLOOKUP(
"*"&amp;LEFT(TRIM(CLEAN(B131)),20)&amp;"*",
HISTORICOS!P:P,
HISTORICOS!R:R,
"No encontrado",
2
),
"No encontrado"
)</f>
        <v>737681</v>
      </c>
      <c r="T131" s="109">
        <f>P131*(1+$Q$4)*(1+$R$4)*(1+$S$4)*1+($T$4)</f>
        <v>179803.12951134719</v>
      </c>
      <c r="U131" s="109">
        <f t="shared" si="46"/>
        <v>549973.48024000006</v>
      </c>
      <c r="V131" s="109">
        <f t="shared" si="42"/>
        <v>775302.79339999997</v>
      </c>
      <c r="W131" s="109">
        <f t="shared" si="43"/>
        <v>783712.29440000001</v>
      </c>
      <c r="X131" s="123">
        <f>_xlfn.STDEV.S(T131:W131)/AVERAGE(T131:W131)</f>
        <v>0.49478015704022515</v>
      </c>
      <c r="Y131" s="124" t="str">
        <f t="shared" si="29"/>
        <v>Muy alto</v>
      </c>
      <c r="Z131" s="109">
        <f t="shared" si="30"/>
        <v>662638.13682000001</v>
      </c>
      <c r="AA131" s="109">
        <f t="shared" si="31"/>
        <v>495098.65989370749</v>
      </c>
      <c r="AC131" s="229"/>
      <c r="AD131"/>
    </row>
    <row r="132" spans="1:31" ht="18" customHeight="1">
      <c r="A132" s="4">
        <v>122</v>
      </c>
      <c r="B132" s="333" t="s">
        <v>599</v>
      </c>
      <c r="C132" s="334"/>
      <c r="D132" s="334"/>
      <c r="E132" s="334"/>
      <c r="F132" s="335"/>
      <c r="G132" s="179" t="s">
        <v>19</v>
      </c>
      <c r="H132" s="44">
        <f>'BELPAPEL (2a COTIZACION) '!J136</f>
        <v>5748</v>
      </c>
      <c r="I132" s="181">
        <f>'GRUPO LOS LAGOS SAS'!J136</f>
        <v>7794.5</v>
      </c>
      <c r="J132" s="16">
        <f>'SUMICORP LTDA'!J136</f>
        <v>11305</v>
      </c>
      <c r="K132" s="16">
        <f>'TELEAMARKETER (2a COTIZACION)'!J136</f>
        <v>8925</v>
      </c>
      <c r="L132" s="49">
        <f t="shared" si="38"/>
        <v>0.27443705105463317</v>
      </c>
      <c r="M132" s="50" t="str">
        <f t="shared" si="28"/>
        <v>Muy alto</v>
      </c>
      <c r="N132" s="51">
        <f t="shared" si="39"/>
        <v>8359.75</v>
      </c>
      <c r="P132" s="109">
        <f>IFERROR(
_xlfn.XLOOKUP(
"*"&amp;LEFT(B132,FIND(" ",B132&amp;" ")-1)&amp;"*",
HISTORICOS!B:B,
HISTORICOS!D:D,
"No encontrado",
2
),
"No encontrado"
)</f>
        <v>4279</v>
      </c>
      <c r="Q132" s="109">
        <f>IFERROR(
_xlfn.XLOOKUP(
"*"&amp;LEFT(TRIM(CLEAN(B132)),10)&amp;"*",
HISTORICOS!F:F,
HISTORICOS!H:H,
"No encontrado",
2
),
"No encontrado"
)</f>
        <v>8163.4</v>
      </c>
      <c r="R132" s="109">
        <f>HISTORICOS!$S$139</f>
        <v>3213</v>
      </c>
      <c r="S132" s="109">
        <f>HISTORICOS!$S$139</f>
        <v>3213</v>
      </c>
      <c r="T132" s="109">
        <f>P132*(1+$Q$4)*(1+$R$4)*(1+$S$4)*1+($T$4)</f>
        <v>5170.1919874624</v>
      </c>
      <c r="U132" s="109">
        <f t="shared" si="46"/>
        <v>9025.9419367999999</v>
      </c>
      <c r="V132" s="109">
        <f t="shared" ref="V132:V133" si="47">R132*(1+$S$4)*1+($T$4)</f>
        <v>3376.9253999999996</v>
      </c>
      <c r="W132" s="109">
        <f t="shared" ref="W132:W133" si="48">S132*(1+($T$4))</f>
        <v>3413.4911999999999</v>
      </c>
      <c r="X132" s="123">
        <f>_xlfn.STDEV.S(T132:W132)/AVERAGE(T132:W132)</f>
        <v>0.50601635866975658</v>
      </c>
      <c r="Y132" s="124" t="str">
        <f t="shared" si="29"/>
        <v>Muy alto</v>
      </c>
      <c r="Z132" s="109">
        <f t="shared" si="30"/>
        <v>4291.8415937312002</v>
      </c>
      <c r="AA132" s="109">
        <f t="shared" si="31"/>
        <v>4815.9266644753025</v>
      </c>
      <c r="AC132" s="229"/>
      <c r="AD132"/>
    </row>
    <row r="133" spans="1:31" ht="109.2" customHeight="1">
      <c r="A133" s="4">
        <v>123</v>
      </c>
      <c r="B133" s="336" t="s">
        <v>246</v>
      </c>
      <c r="C133" s="337"/>
      <c r="D133" s="337"/>
      <c r="E133" s="337"/>
      <c r="F133" s="338"/>
      <c r="G133" s="179" t="s">
        <v>134</v>
      </c>
      <c r="H133" s="44">
        <f>'BELPAPEL (2a COTIZACION) '!J137</f>
        <v>5748</v>
      </c>
      <c r="I133" s="181">
        <f>'GRUPO LOS LAGOS SAS'!J137</f>
        <v>8212.19</v>
      </c>
      <c r="J133" s="16">
        <f>'SUMICORP LTDA'!J137</f>
        <v>7735</v>
      </c>
      <c r="K133" s="16">
        <f>'TELEAMARKETER (2a COTIZACION)'!J137</f>
        <v>6902</v>
      </c>
      <c r="L133" s="49">
        <f t="shared" si="38"/>
        <v>0.15102879106179329</v>
      </c>
      <c r="M133" s="50" t="str">
        <f t="shared" si="28"/>
        <v>Moderado</v>
      </c>
      <c r="N133" s="51">
        <f t="shared" si="39"/>
        <v>7318.5</v>
      </c>
      <c r="O133" s="138"/>
      <c r="P133" s="109">
        <f>HISTORICOS!D17</f>
        <v>3621</v>
      </c>
      <c r="Q133" s="109">
        <f>HISTORICOS!H18</f>
        <v>7630.875</v>
      </c>
      <c r="R133" s="109">
        <f>HISTORICOS!$S$140</f>
        <v>1903</v>
      </c>
      <c r="S133" s="109">
        <f>HISTORICOS!$S$140</f>
        <v>1903</v>
      </c>
      <c r="T133" s="109">
        <f>P133*(1+$Q$4)*(1+$R$4)*(1+$S$4)*1+($T$4)</f>
        <v>4375.1592067776</v>
      </c>
      <c r="U133" s="109">
        <f t="shared" si="46"/>
        <v>8437.1546054999999</v>
      </c>
      <c r="V133" s="109">
        <f t="shared" si="47"/>
        <v>2000.1153999999999</v>
      </c>
      <c r="W133" s="109">
        <f t="shared" si="48"/>
        <v>2021.7472</v>
      </c>
      <c r="X133" s="123">
        <f>_xlfn.STDEV.S(T133:W133)/AVERAGE(T133:W133)</f>
        <v>0.72029643504504992</v>
      </c>
      <c r="Y133" s="124" t="str">
        <f t="shared" si="29"/>
        <v>Muy alto</v>
      </c>
      <c r="Z133" s="109">
        <f t="shared" si="30"/>
        <v>3198.4532033887999</v>
      </c>
      <c r="AA133" s="109">
        <f t="shared" si="31"/>
        <v>3495.3682990794773</v>
      </c>
      <c r="AC133" s="229"/>
      <c r="AD133"/>
    </row>
    <row r="134" spans="1:31" hidden="1">
      <c r="A134" s="339" t="s">
        <v>161</v>
      </c>
      <c r="B134" s="340"/>
      <c r="C134" s="340"/>
      <c r="D134" s="340"/>
      <c r="E134" s="340"/>
      <c r="F134" s="340"/>
      <c r="G134" s="340"/>
      <c r="H134" s="226">
        <f>SUM(H11:H133)</f>
        <v>14540713</v>
      </c>
      <c r="I134" s="225">
        <f>SUM(I11:I133)</f>
        <v>10990000.119999997</v>
      </c>
      <c r="J134" s="222">
        <f>SUM(J11:J133)</f>
        <v>17673297</v>
      </c>
      <c r="K134" s="222">
        <f>SUM(K11:K133)</f>
        <v>15684729.550000001</v>
      </c>
      <c r="L134" s="216"/>
      <c r="M134" s="47"/>
      <c r="N134" s="217"/>
      <c r="O134" s="138"/>
      <c r="P134" s="218"/>
      <c r="Q134" s="218"/>
      <c r="R134" s="218"/>
      <c r="S134" s="218"/>
      <c r="T134" s="218"/>
      <c r="U134" s="218"/>
      <c r="V134" s="218"/>
      <c r="W134" s="218"/>
      <c r="X134" s="220"/>
      <c r="Y134" s="221"/>
      <c r="Z134" s="218"/>
      <c r="AA134" s="218"/>
      <c r="AC134" s="230"/>
      <c r="AD134" s="50"/>
      <c r="AE134" s="219"/>
    </row>
    <row r="135" spans="1:31" hidden="1">
      <c r="A135" s="223"/>
      <c r="B135" s="136"/>
      <c r="C135" s="6"/>
      <c r="D135" s="6"/>
      <c r="E135" s="6"/>
      <c r="F135" s="6"/>
      <c r="G135" s="137"/>
      <c r="H135" s="224"/>
      <c r="I135" s="214"/>
      <c r="J135" s="214"/>
      <c r="K135" s="215"/>
      <c r="L135" s="216"/>
      <c r="M135" s="47"/>
      <c r="N135" s="217"/>
      <c r="O135" s="138"/>
      <c r="P135" s="218"/>
      <c r="Q135" s="218"/>
      <c r="R135" s="218"/>
      <c r="S135" s="218"/>
      <c r="T135" s="218"/>
      <c r="U135" s="218"/>
      <c r="V135" s="218"/>
      <c r="W135" s="218"/>
      <c r="X135" s="220"/>
      <c r="Y135" s="221"/>
      <c r="Z135" s="218"/>
      <c r="AA135" s="218"/>
      <c r="AC135" s="230"/>
      <c r="AD135" s="50"/>
      <c r="AE135" s="219"/>
    </row>
    <row r="136" spans="1:31" hidden="1">
      <c r="A136" s="223"/>
      <c r="B136" s="136"/>
      <c r="C136" s="6"/>
      <c r="D136" s="6"/>
      <c r="E136" s="6"/>
      <c r="F136" s="6"/>
      <c r="G136" s="137"/>
      <c r="H136" s="224"/>
      <c r="I136" s="214"/>
      <c r="J136" s="214"/>
      <c r="K136" s="215"/>
      <c r="L136" s="216"/>
      <c r="M136" s="47"/>
      <c r="N136" s="217"/>
      <c r="O136" s="138"/>
      <c r="P136" s="218"/>
      <c r="Q136" s="218"/>
      <c r="R136" s="218"/>
      <c r="S136" s="218"/>
      <c r="T136" s="218"/>
      <c r="U136" s="218"/>
      <c r="V136" s="218"/>
      <c r="W136" s="218"/>
      <c r="X136" s="220"/>
      <c r="Y136" s="221"/>
      <c r="Z136" s="218"/>
      <c r="AA136" s="218"/>
      <c r="AC136" s="261"/>
      <c r="AD136" s="262"/>
      <c r="AE136" s="260"/>
    </row>
    <row r="137" spans="1:31" ht="24.75" customHeight="1">
      <c r="G137" s="1"/>
      <c r="AC137" s="108"/>
      <c r="AD137" s="47"/>
      <c r="AE137" s="288"/>
    </row>
    <row r="138" spans="1:31" hidden="1">
      <c r="AC138" s="108"/>
      <c r="AD138" s="47"/>
      <c r="AE138" s="288"/>
    </row>
    <row r="139" spans="1:31" hidden="1">
      <c r="H139" s="48">
        <f>H134-15445838</f>
        <v>-905125</v>
      </c>
      <c r="I139" s="41">
        <f>I134-'GRUPO LOS LAGOS SAS'!J138</f>
        <v>0</v>
      </c>
      <c r="J139" s="41">
        <f>J134-'SUMICORP LTDA'!J138</f>
        <v>0</v>
      </c>
      <c r="K139" s="41">
        <f>K134-'TELEAMARKETER BPO &amp; LOGISTICS S'!J138</f>
        <v>6902</v>
      </c>
      <c r="AC139" s="108"/>
      <c r="AD139" s="47"/>
      <c r="AE139" s="288"/>
    </row>
    <row r="140" spans="1:31" hidden="1">
      <c r="AC140" s="108"/>
      <c r="AD140" s="47"/>
      <c r="AE140" s="288"/>
    </row>
    <row r="141" spans="1:31" hidden="1">
      <c r="AC141" s="108"/>
      <c r="AD141" s="47"/>
      <c r="AE141" s="288"/>
    </row>
  </sheetData>
  <mergeCells count="153">
    <mergeCell ref="A1:H1"/>
    <mergeCell ref="A2:H2"/>
    <mergeCell ref="A4:C4"/>
    <mergeCell ref="D4:H4"/>
    <mergeCell ref="A7:C7"/>
    <mergeCell ref="D7:F7"/>
    <mergeCell ref="H8:N8"/>
    <mergeCell ref="P8:AA8"/>
    <mergeCell ref="AC8:AC10"/>
    <mergeCell ref="A9:A10"/>
    <mergeCell ref="B9:F10"/>
    <mergeCell ref="G9:G10"/>
    <mergeCell ref="L9:L10"/>
    <mergeCell ref="M9:M10"/>
    <mergeCell ref="AA9:AA10"/>
    <mergeCell ref="Y9:Y10"/>
    <mergeCell ref="Z9:Z10"/>
    <mergeCell ref="Q1:T1"/>
    <mergeCell ref="Q2:T2"/>
    <mergeCell ref="B11:F11"/>
    <mergeCell ref="B12:F12"/>
    <mergeCell ref="B13:F13"/>
    <mergeCell ref="B14:F14"/>
    <mergeCell ref="B15:F15"/>
    <mergeCell ref="U9:U10"/>
    <mergeCell ref="V9:V10"/>
    <mergeCell ref="W9:W10"/>
    <mergeCell ref="X9:X10"/>
    <mergeCell ref="N9:N10"/>
    <mergeCell ref="P9:P10"/>
    <mergeCell ref="Q9:Q10"/>
    <mergeCell ref="R9:R10"/>
    <mergeCell ref="S9:S10"/>
    <mergeCell ref="T9:T10"/>
    <mergeCell ref="B22:F22"/>
    <mergeCell ref="B23:F23"/>
    <mergeCell ref="B24:F24"/>
    <mergeCell ref="B25:F25"/>
    <mergeCell ref="B26:F26"/>
    <mergeCell ref="B27:F27"/>
    <mergeCell ref="B16:F16"/>
    <mergeCell ref="B17:F17"/>
    <mergeCell ref="B18:F18"/>
    <mergeCell ref="B19:F19"/>
    <mergeCell ref="B20:F20"/>
    <mergeCell ref="B21:F21"/>
    <mergeCell ref="B34:F34"/>
    <mergeCell ref="B35:F35"/>
    <mergeCell ref="B36:F36"/>
    <mergeCell ref="B37:F37"/>
    <mergeCell ref="B38:F38"/>
    <mergeCell ref="B39:F39"/>
    <mergeCell ref="B28:F28"/>
    <mergeCell ref="B29:F29"/>
    <mergeCell ref="B30:F30"/>
    <mergeCell ref="B31:F31"/>
    <mergeCell ref="B32:F32"/>
    <mergeCell ref="B33:F33"/>
    <mergeCell ref="B46:F46"/>
    <mergeCell ref="B47:F47"/>
    <mergeCell ref="B48:F48"/>
    <mergeCell ref="B49:F49"/>
    <mergeCell ref="B50:F50"/>
    <mergeCell ref="B51:F51"/>
    <mergeCell ref="B40:F40"/>
    <mergeCell ref="B41:F41"/>
    <mergeCell ref="B42:F42"/>
    <mergeCell ref="B43:F43"/>
    <mergeCell ref="B44:F44"/>
    <mergeCell ref="B45:F45"/>
    <mergeCell ref="B58:F58"/>
    <mergeCell ref="B59:F59"/>
    <mergeCell ref="B60:F60"/>
    <mergeCell ref="B61:F61"/>
    <mergeCell ref="B62:F62"/>
    <mergeCell ref="B63:F63"/>
    <mergeCell ref="B52:F52"/>
    <mergeCell ref="B53:F53"/>
    <mergeCell ref="B54:F54"/>
    <mergeCell ref="B55:F55"/>
    <mergeCell ref="B56:F56"/>
    <mergeCell ref="B57:F57"/>
    <mergeCell ref="B70:F70"/>
    <mergeCell ref="B71:F71"/>
    <mergeCell ref="B72:F72"/>
    <mergeCell ref="B73:F73"/>
    <mergeCell ref="B74:F74"/>
    <mergeCell ref="B75:F75"/>
    <mergeCell ref="B64:F64"/>
    <mergeCell ref="B65:F65"/>
    <mergeCell ref="B66:F66"/>
    <mergeCell ref="B67:F67"/>
    <mergeCell ref="B68:F68"/>
    <mergeCell ref="B69:F69"/>
    <mergeCell ref="B82:F82"/>
    <mergeCell ref="B83:F83"/>
    <mergeCell ref="B84:F84"/>
    <mergeCell ref="B85:F85"/>
    <mergeCell ref="B86:F86"/>
    <mergeCell ref="B87:F87"/>
    <mergeCell ref="B76:F76"/>
    <mergeCell ref="B77:F77"/>
    <mergeCell ref="B78:F78"/>
    <mergeCell ref="B79:F79"/>
    <mergeCell ref="B80:F80"/>
    <mergeCell ref="B81:F81"/>
    <mergeCell ref="B94:F94"/>
    <mergeCell ref="B95:F95"/>
    <mergeCell ref="B96:F96"/>
    <mergeCell ref="B97:F97"/>
    <mergeCell ref="B98:F98"/>
    <mergeCell ref="B99:F99"/>
    <mergeCell ref="B88:F88"/>
    <mergeCell ref="B89:F89"/>
    <mergeCell ref="B90:F90"/>
    <mergeCell ref="B91:F91"/>
    <mergeCell ref="B92:F92"/>
    <mergeCell ref="B93:F93"/>
    <mergeCell ref="B106:F106"/>
    <mergeCell ref="B107:F107"/>
    <mergeCell ref="B108:F108"/>
    <mergeCell ref="B109:F109"/>
    <mergeCell ref="B110:F110"/>
    <mergeCell ref="B111:F111"/>
    <mergeCell ref="B100:F100"/>
    <mergeCell ref="B101:F101"/>
    <mergeCell ref="B102:F102"/>
    <mergeCell ref="B103:F103"/>
    <mergeCell ref="B104:F104"/>
    <mergeCell ref="B105:F105"/>
    <mergeCell ref="B118:F118"/>
    <mergeCell ref="B119:F119"/>
    <mergeCell ref="B120:F120"/>
    <mergeCell ref="B121:F121"/>
    <mergeCell ref="B122:F122"/>
    <mergeCell ref="B123:F123"/>
    <mergeCell ref="B112:F112"/>
    <mergeCell ref="B113:F113"/>
    <mergeCell ref="B114:F114"/>
    <mergeCell ref="B115:F115"/>
    <mergeCell ref="B116:F116"/>
    <mergeCell ref="B117:F117"/>
    <mergeCell ref="B130:F130"/>
    <mergeCell ref="B131:F131"/>
    <mergeCell ref="B132:F132"/>
    <mergeCell ref="B133:F133"/>
    <mergeCell ref="A134:G134"/>
    <mergeCell ref="B124:F124"/>
    <mergeCell ref="B125:F125"/>
    <mergeCell ref="B126:F126"/>
    <mergeCell ref="B127:F127"/>
    <mergeCell ref="B128:F128"/>
    <mergeCell ref="B129:F129"/>
  </mergeCells>
  <pageMargins left="0.7" right="0.7" top="0.75" bottom="0.75" header="0.3" footer="0.3"/>
  <pageSetup paperSize="9" orientation="portrait" r:id="rId1"/>
  <ignoredErrors>
    <ignoredError sqref="Q130 Q85"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8D6D1-8874-4A4A-8241-4225C60FCC1A}">
  <sheetPr>
    <tabColor rgb="FF00B050"/>
    <pageSetUpPr fitToPage="1"/>
  </sheetPr>
  <dimension ref="A1:U136"/>
  <sheetViews>
    <sheetView showGridLines="0" topLeftCell="A11" zoomScaleNormal="100" workbookViewId="0">
      <selection activeCell="B23" sqref="B23:F23"/>
    </sheetView>
  </sheetViews>
  <sheetFormatPr baseColWidth="10" defaultColWidth="0" defaultRowHeight="13.8" zeroHeight="1"/>
  <cols>
    <col min="1" max="1" width="7.33203125" style="1" customWidth="1"/>
    <col min="2" max="2" width="8" style="1" customWidth="1"/>
    <col min="3" max="3" width="17.33203125" style="1" customWidth="1"/>
    <col min="4" max="4" width="18.44140625" style="1" customWidth="1"/>
    <col min="5" max="5" width="15.6640625" style="1" customWidth="1"/>
    <col min="6" max="6" width="14.88671875" style="1" customWidth="1"/>
    <col min="7" max="7" width="14.44140625" style="47" customWidth="1"/>
    <col min="8" max="11" width="13" style="1" customWidth="1"/>
    <col min="12" max="13" width="11" style="1" customWidth="1"/>
    <col min="14" max="14" width="15.88671875" style="1" customWidth="1"/>
    <col min="15" max="15" width="17.5546875" style="1" customWidth="1"/>
    <col min="16" max="16" width="15.44140625" style="47" customWidth="1"/>
    <col min="17" max="17" width="17.5546875" style="1" customWidth="1"/>
    <col min="18" max="18" width="15.5546875" style="1" customWidth="1"/>
    <col min="19" max="19" width="43.33203125" style="1" bestFit="1" customWidth="1"/>
    <col min="20" max="21" width="8" style="1" customWidth="1"/>
    <col min="22" max="16384" width="8" style="1" hidden="1"/>
  </cols>
  <sheetData>
    <row r="1" spans="1:19" ht="45.75" customHeight="1">
      <c r="A1" s="361" t="s">
        <v>2</v>
      </c>
      <c r="B1" s="362"/>
      <c r="C1" s="362"/>
      <c r="D1" s="362"/>
      <c r="E1" s="362"/>
      <c r="F1" s="362"/>
      <c r="G1" s="362"/>
      <c r="H1" s="363"/>
    </row>
    <row r="2" spans="1:19" ht="18" customHeight="1">
      <c r="A2" s="364" t="s">
        <v>160</v>
      </c>
      <c r="B2" s="364"/>
      <c r="C2" s="364"/>
      <c r="D2" s="364"/>
      <c r="E2" s="364"/>
      <c r="F2" s="364"/>
      <c r="G2" s="364"/>
      <c r="H2" s="364"/>
    </row>
    <row r="3" spans="1:19" ht="17.25" customHeight="1">
      <c r="A3" s="5"/>
      <c r="B3" s="5"/>
      <c r="C3" s="5"/>
      <c r="D3" s="5"/>
      <c r="E3" s="5"/>
      <c r="F3" s="5"/>
      <c r="G3" s="9"/>
      <c r="H3" s="5"/>
    </row>
    <row r="4" spans="1:19" ht="42.75" customHeight="1">
      <c r="A4" s="365" t="s">
        <v>136</v>
      </c>
      <c r="B4" s="365"/>
      <c r="C4" s="365"/>
      <c r="D4" s="366" t="s">
        <v>3</v>
      </c>
      <c r="E4" s="366"/>
      <c r="F4" s="366"/>
      <c r="G4" s="366"/>
      <c r="H4" s="366"/>
      <c r="R4" s="413" t="s">
        <v>620</v>
      </c>
      <c r="S4" s="207" t="s">
        <v>748</v>
      </c>
    </row>
    <row r="5" spans="1:19" ht="24" customHeight="1">
      <c r="A5" s="5"/>
      <c r="B5" s="5"/>
      <c r="C5" s="5"/>
      <c r="D5" s="5"/>
      <c r="E5" s="5"/>
      <c r="F5" s="5"/>
      <c r="G5" s="9"/>
      <c r="H5" s="5"/>
      <c r="R5" s="414"/>
      <c r="S5" s="207" t="s">
        <v>749</v>
      </c>
    </row>
    <row r="6" spans="1:19" ht="9" customHeight="1">
      <c r="A6" s="5"/>
      <c r="B6" s="5"/>
      <c r="C6" s="5"/>
      <c r="D6" s="5"/>
      <c r="E6" s="5"/>
      <c r="F6" s="5"/>
      <c r="G6" s="9"/>
      <c r="H6" s="5"/>
    </row>
    <row r="7" spans="1:19" ht="15.9" customHeight="1">
      <c r="A7" s="395" t="s">
        <v>13</v>
      </c>
      <c r="B7" s="396"/>
      <c r="C7" s="397"/>
      <c r="D7" s="401" t="s">
        <v>628</v>
      </c>
      <c r="E7" s="402"/>
      <c r="F7" s="403"/>
      <c r="G7" s="11"/>
      <c r="H7" s="6"/>
      <c r="K7" s="110"/>
      <c r="L7" s="110"/>
    </row>
    <row r="8" spans="1:19" ht="15.9" customHeight="1">
      <c r="A8" s="10"/>
      <c r="B8" s="10"/>
      <c r="C8" s="10"/>
      <c r="D8" s="11"/>
      <c r="E8" s="11"/>
      <c r="F8" s="11"/>
      <c r="G8" s="11"/>
      <c r="H8" s="126"/>
      <c r="I8" s="126"/>
      <c r="K8" s="110"/>
      <c r="L8" s="110"/>
    </row>
    <row r="9" spans="1:19" ht="25.5" customHeight="1">
      <c r="A9" s="404" t="s">
        <v>14</v>
      </c>
      <c r="B9" s="406" t="s">
        <v>15</v>
      </c>
      <c r="C9" s="407"/>
      <c r="D9" s="407"/>
      <c r="E9" s="407"/>
      <c r="F9" s="408"/>
      <c r="G9" s="404" t="s">
        <v>16</v>
      </c>
      <c r="H9" s="389" t="s">
        <v>593</v>
      </c>
      <c r="I9" s="389" t="s">
        <v>594</v>
      </c>
      <c r="J9" s="391" t="s">
        <v>595</v>
      </c>
      <c r="K9" s="391" t="s">
        <v>596</v>
      </c>
      <c r="L9" s="393" t="s">
        <v>597</v>
      </c>
      <c r="M9" s="393" t="s">
        <v>598</v>
      </c>
      <c r="N9" s="350" t="s">
        <v>616</v>
      </c>
      <c r="O9" s="350" t="s">
        <v>617</v>
      </c>
      <c r="P9" s="350" t="s">
        <v>618</v>
      </c>
      <c r="Q9" s="350" t="s">
        <v>620</v>
      </c>
      <c r="R9" s="350" t="s">
        <v>619</v>
      </c>
      <c r="S9" s="412" t="s">
        <v>621</v>
      </c>
    </row>
    <row r="10" spans="1:19" ht="29.1" customHeight="1">
      <c r="A10" s="405"/>
      <c r="B10" s="409"/>
      <c r="C10" s="410"/>
      <c r="D10" s="410"/>
      <c r="E10" s="410"/>
      <c r="F10" s="411"/>
      <c r="G10" s="405"/>
      <c r="H10" s="390"/>
      <c r="I10" s="390"/>
      <c r="J10" s="392"/>
      <c r="K10" s="392"/>
      <c r="L10" s="394"/>
      <c r="M10" s="394"/>
      <c r="N10" s="351"/>
      <c r="O10" s="351"/>
      <c r="P10" s="351"/>
      <c r="Q10" s="351"/>
      <c r="R10" s="351"/>
      <c r="S10" s="412"/>
    </row>
    <row r="11" spans="1:19" ht="26.25" customHeight="1">
      <c r="A11" s="7">
        <v>1</v>
      </c>
      <c r="B11" s="398" t="s">
        <v>175</v>
      </c>
      <c r="C11" s="399"/>
      <c r="D11" s="399"/>
      <c r="E11" s="399"/>
      <c r="F11" s="400"/>
      <c r="G11" s="8" t="s">
        <v>19</v>
      </c>
      <c r="H11" s="129">
        <f>'ANÁLISIS CONSOLIDADO'!L11</f>
        <v>0.84738165443520508</v>
      </c>
      <c r="I11" s="16">
        <f>'ANÁLISIS CONSOLIDADO'!N11</f>
        <v>23333</v>
      </c>
      <c r="J11" s="49">
        <f>'ANÁLISIS CONSOLIDADO'!X11</f>
        <v>0.17535125770428048</v>
      </c>
      <c r="K11" s="16">
        <f>'ANÁLISIS CONSOLIDADO'!Z11</f>
        <v>31789.300642000002</v>
      </c>
      <c r="L11" s="123">
        <f>IFERROR(J11/(H11+J11),0)</f>
        <v>0.17145361767761824</v>
      </c>
      <c r="M11" s="49">
        <f>IFERROR(H11/(H11+J11),0)</f>
        <v>0.82854638232238187</v>
      </c>
      <c r="N11" s="130">
        <f>ROUNDUP((I11*L11)+(K11*M11),0)</f>
        <v>30340</v>
      </c>
      <c r="O11" s="189">
        <f>MIN('ANÁLISIS CONSOLIDADO'!H11:K11)</f>
        <v>6545</v>
      </c>
      <c r="P11" s="50">
        <f>COUNTIFS('ANÁLISIS CONSOLIDADO'!H11:K11,"&gt;0",'ANÁLISIS CONSOLIDADO'!H11:K11,"&lt;="&amp;'PRECIOS UNITARIOS TECHO'!N11)</f>
        <v>3</v>
      </c>
      <c r="Q11" s="190" t="str">
        <f>IF(AND(P11&gt;=0,P11&lt;=2),"MAYOR RIESGO",IF(AND(P11&gt;=3,P11&lt;=4),"MENOR RIESGO","REVISAR"))</f>
        <v>MENOR RIESGO</v>
      </c>
      <c r="R11" s="130">
        <f t="shared" ref="R11:R18" si="0">N11</f>
        <v>30340</v>
      </c>
      <c r="S11" s="191" t="s">
        <v>623</v>
      </c>
    </row>
    <row r="12" spans="1:19" ht="18" customHeight="1">
      <c r="A12" s="3">
        <v>2</v>
      </c>
      <c r="B12" s="330" t="s">
        <v>20</v>
      </c>
      <c r="C12" s="331"/>
      <c r="D12" s="331"/>
      <c r="E12" s="331"/>
      <c r="F12" s="332"/>
      <c r="G12" s="2" t="s">
        <v>19</v>
      </c>
      <c r="H12" s="129">
        <f>'ANÁLISIS CONSOLIDADO'!L12</f>
        <v>0.68117879301565942</v>
      </c>
      <c r="I12" s="16">
        <f>'ANÁLISIS CONSOLIDADO'!N12</f>
        <v>4611.25</v>
      </c>
      <c r="J12" s="49">
        <f>'ANÁLISIS CONSOLIDADO'!X12</f>
        <v>0.34322882710327396</v>
      </c>
      <c r="K12" s="16">
        <f>'ANÁLISIS CONSOLIDADO'!Z12</f>
        <v>4338.3130499999997</v>
      </c>
      <c r="L12" s="123">
        <f t="shared" ref="L12:L75" si="1">IFERROR(J12/(H12+J12),0)</f>
        <v>0.33505102887015348</v>
      </c>
      <c r="M12" s="49">
        <f t="shared" ref="M12:M75" si="2">IFERROR(H12/(H12+J12),0)</f>
        <v>0.66494897112984652</v>
      </c>
      <c r="N12" s="130">
        <f t="shared" ref="N12:N75" si="3">ROUNDUP((I12*L12)+(K12*M12),0)</f>
        <v>4430</v>
      </c>
      <c r="O12" s="189">
        <f>MIN('ANÁLISIS CONSOLIDADO'!H12:K12)</f>
        <v>1874</v>
      </c>
      <c r="P12" s="50">
        <f>COUNTIFS('ANÁLISIS CONSOLIDADO'!H12:K12,"&gt;0",'ANÁLISIS CONSOLIDADO'!H12:K12,"&lt;="&amp;'PRECIOS UNITARIOS TECHO'!N12)</f>
        <v>2</v>
      </c>
      <c r="Q12" s="190" t="str">
        <f t="shared" ref="Q12:Q75" si="4">IF(AND(P12&gt;=0,P12&lt;=2),"MAYOR RIESGO",IF(AND(P12&gt;=3,P12&lt;=4),"MENOR RIESGO","REVISAR"))</f>
        <v>MAYOR RIESGO</v>
      </c>
      <c r="R12" s="130">
        <f t="shared" si="0"/>
        <v>4430</v>
      </c>
      <c r="S12" s="191" t="s">
        <v>623</v>
      </c>
    </row>
    <row r="13" spans="1:19" ht="18" customHeight="1">
      <c r="A13" s="3">
        <v>3</v>
      </c>
      <c r="B13" s="330" t="s">
        <v>21</v>
      </c>
      <c r="C13" s="331"/>
      <c r="D13" s="331"/>
      <c r="E13" s="331"/>
      <c r="F13" s="332"/>
      <c r="G13" s="2" t="s">
        <v>19</v>
      </c>
      <c r="H13" s="129">
        <f>'ANÁLISIS CONSOLIDADO'!L13</f>
        <v>0.60194324662060206</v>
      </c>
      <c r="I13" s="16">
        <f>'ANÁLISIS CONSOLIDADO'!N13</f>
        <v>5979.75</v>
      </c>
      <c r="J13" s="49">
        <f>'ANÁLISIS CONSOLIDADO'!X13</f>
        <v>0.48409747883346688</v>
      </c>
      <c r="K13" s="16">
        <f>'ANÁLISIS CONSOLIDADO'!Z13</f>
        <v>3780.1254399999998</v>
      </c>
      <c r="L13" s="123">
        <f t="shared" si="1"/>
        <v>0.44574523541100891</v>
      </c>
      <c r="M13" s="49">
        <f t="shared" si="2"/>
        <v>0.55425476458899103</v>
      </c>
      <c r="N13" s="130">
        <f t="shared" si="3"/>
        <v>4761</v>
      </c>
      <c r="O13" s="189">
        <f>MIN('ANÁLISIS CONSOLIDADO'!H13:K13)</f>
        <v>3049</v>
      </c>
      <c r="P13" s="50">
        <f>COUNTIFS('ANÁLISIS CONSOLIDADO'!H13:K13,"&gt;0",'ANÁLISIS CONSOLIDADO'!H13:K13,"&lt;="&amp;'PRECIOS UNITARIOS TECHO'!N13)</f>
        <v>2</v>
      </c>
      <c r="Q13" s="190" t="str">
        <f t="shared" si="4"/>
        <v>MAYOR RIESGO</v>
      </c>
      <c r="R13" s="130">
        <f t="shared" si="0"/>
        <v>4761</v>
      </c>
      <c r="S13" s="191" t="s">
        <v>623</v>
      </c>
    </row>
    <row r="14" spans="1:19" ht="18" customHeight="1">
      <c r="A14" s="3">
        <v>4</v>
      </c>
      <c r="B14" s="330" t="s">
        <v>22</v>
      </c>
      <c r="C14" s="331"/>
      <c r="D14" s="331"/>
      <c r="E14" s="331"/>
      <c r="F14" s="332"/>
      <c r="G14" s="2" t="s">
        <v>23</v>
      </c>
      <c r="H14" s="129">
        <f>'ANÁLISIS CONSOLIDADO'!L14</f>
        <v>1.0781588525621837</v>
      </c>
      <c r="I14" s="16">
        <f>'ANÁLISIS CONSOLIDADO'!N14</f>
        <v>1428</v>
      </c>
      <c r="J14" s="49">
        <f>'ANÁLISIS CONSOLIDADO'!X14</f>
        <v>0.17785476540932241</v>
      </c>
      <c r="K14" s="16">
        <f>'ANÁLISIS CONSOLIDADO'!Z14</f>
        <v>1220.8108814000002</v>
      </c>
      <c r="L14" s="123">
        <f t="shared" si="1"/>
        <v>0.14160257728460174</v>
      </c>
      <c r="M14" s="49">
        <f t="shared" si="2"/>
        <v>0.85839742271539832</v>
      </c>
      <c r="N14" s="130">
        <f t="shared" si="3"/>
        <v>1251</v>
      </c>
      <c r="O14" s="189">
        <f>MIN('ANÁLISIS CONSOLIDADO'!H14:K14)</f>
        <v>837</v>
      </c>
      <c r="P14" s="50">
        <f>COUNTIFS('ANÁLISIS CONSOLIDADO'!H14:K14,"&gt;0",'ANÁLISIS CONSOLIDADO'!H14:K14,"&lt;="&amp;'PRECIOS UNITARIOS TECHO'!N14)</f>
        <v>2</v>
      </c>
      <c r="Q14" s="190" t="str">
        <f t="shared" si="4"/>
        <v>MAYOR RIESGO</v>
      </c>
      <c r="R14" s="130">
        <f t="shared" si="0"/>
        <v>1251</v>
      </c>
      <c r="S14" s="191" t="s">
        <v>623</v>
      </c>
    </row>
    <row r="15" spans="1:19" ht="29.25" customHeight="1">
      <c r="A15" s="3">
        <v>5</v>
      </c>
      <c r="B15" s="330" t="s">
        <v>176</v>
      </c>
      <c r="C15" s="331"/>
      <c r="D15" s="331"/>
      <c r="E15" s="331"/>
      <c r="F15" s="332"/>
      <c r="G15" s="2" t="s">
        <v>24</v>
      </c>
      <c r="H15" s="129">
        <f>'ANÁLISIS CONSOLIDADO'!L15</f>
        <v>1.0430337669517915</v>
      </c>
      <c r="I15" s="16">
        <f>'ANÁLISIS CONSOLIDADO'!N15</f>
        <v>4046</v>
      </c>
      <c r="J15" s="49">
        <f>'ANÁLISIS CONSOLIDADO'!X15</f>
        <v>0.1809160666317994</v>
      </c>
      <c r="K15" s="16">
        <f>'ANÁLISIS CONSOLIDADO'!Z15</f>
        <v>3792.768</v>
      </c>
      <c r="L15" s="123">
        <f t="shared" si="1"/>
        <v>0.14781330220218011</v>
      </c>
      <c r="M15" s="49">
        <f t="shared" si="2"/>
        <v>0.85218669779781986</v>
      </c>
      <c r="N15" s="130">
        <f t="shared" si="3"/>
        <v>3831</v>
      </c>
      <c r="O15" s="189">
        <f>MIN('ANÁLISIS CONSOLIDADO'!H15:K15)</f>
        <v>1781</v>
      </c>
      <c r="P15" s="50">
        <f>COUNTIFS('ANÁLISIS CONSOLIDADO'!H15:K15,"&gt;0",'ANÁLISIS CONSOLIDADO'!H15:K15,"&lt;="&amp;'PRECIOS UNITARIOS TECHO'!N15)</f>
        <v>2</v>
      </c>
      <c r="Q15" s="190" t="str">
        <f t="shared" si="4"/>
        <v>MAYOR RIESGO</v>
      </c>
      <c r="R15" s="130">
        <f t="shared" si="0"/>
        <v>3831</v>
      </c>
      <c r="S15" s="191" t="s">
        <v>623</v>
      </c>
    </row>
    <row r="16" spans="1:19" ht="18" customHeight="1">
      <c r="A16" s="3">
        <v>6</v>
      </c>
      <c r="B16" s="330" t="s">
        <v>25</v>
      </c>
      <c r="C16" s="331"/>
      <c r="D16" s="331"/>
      <c r="E16" s="331"/>
      <c r="F16" s="332"/>
      <c r="G16" s="2" t="s">
        <v>19</v>
      </c>
      <c r="H16" s="129">
        <f>'ANÁLISIS CONSOLIDADO'!L16</f>
        <v>0.89988940105360415</v>
      </c>
      <c r="I16" s="16">
        <f>'ANÁLISIS CONSOLIDADO'!N16</f>
        <v>3004.75</v>
      </c>
      <c r="J16" s="49">
        <f>'ANÁLISIS CONSOLIDADO'!X16</f>
        <v>0.48759242893334265</v>
      </c>
      <c r="K16" s="16">
        <f>'ANÁLISIS CONSOLIDADO'!Z16</f>
        <v>2513.7197269999997</v>
      </c>
      <c r="L16" s="123">
        <f t="shared" si="1"/>
        <v>0.35142256885477902</v>
      </c>
      <c r="M16" s="49">
        <f t="shared" si="2"/>
        <v>0.64857743114522093</v>
      </c>
      <c r="N16" s="130">
        <f t="shared" si="3"/>
        <v>2687</v>
      </c>
      <c r="O16" s="189">
        <f>MIN('ANÁLISIS CONSOLIDADO'!H16:K16)</f>
        <v>625</v>
      </c>
      <c r="P16" s="50">
        <f>COUNTIFS('ANÁLISIS CONSOLIDADO'!H16:K16,"&gt;0",'ANÁLISIS CONSOLIDADO'!H16:K16,"&lt;="&amp;'PRECIOS UNITARIOS TECHO'!N16)</f>
        <v>2</v>
      </c>
      <c r="Q16" s="190" t="str">
        <f t="shared" si="4"/>
        <v>MAYOR RIESGO</v>
      </c>
      <c r="R16" s="130">
        <f t="shared" si="0"/>
        <v>2687</v>
      </c>
      <c r="S16" s="191" t="s">
        <v>623</v>
      </c>
    </row>
    <row r="17" spans="1:19" ht="18" customHeight="1">
      <c r="A17" s="3">
        <v>7</v>
      </c>
      <c r="B17" s="330" t="s">
        <v>26</v>
      </c>
      <c r="C17" s="331"/>
      <c r="D17" s="331"/>
      <c r="E17" s="331"/>
      <c r="F17" s="332"/>
      <c r="G17" s="2" t="s">
        <v>19</v>
      </c>
      <c r="H17" s="129">
        <f>'ANÁLISIS CONSOLIDADO'!L17</f>
        <v>0.31306612535736389</v>
      </c>
      <c r="I17" s="16">
        <f>'ANÁLISIS CONSOLIDADO'!N17</f>
        <v>5950</v>
      </c>
      <c r="J17" s="49">
        <f>'ANÁLISIS CONSOLIDADO'!X17</f>
        <v>0.20403731432801087</v>
      </c>
      <c r="K17" s="16">
        <f>'ANÁLISIS CONSOLIDADO'!Z17</f>
        <v>4930.5983999999999</v>
      </c>
      <c r="L17" s="123">
        <f t="shared" si="1"/>
        <v>0.39457736821892903</v>
      </c>
      <c r="M17" s="49">
        <f t="shared" si="2"/>
        <v>0.60542263178107103</v>
      </c>
      <c r="N17" s="130">
        <f t="shared" si="3"/>
        <v>5333</v>
      </c>
      <c r="O17" s="189">
        <f>MIN('ANÁLISIS CONSOLIDADO'!H17:K17)</f>
        <v>4061</v>
      </c>
      <c r="P17" s="50">
        <f>COUNTIFS('ANÁLISIS CONSOLIDADO'!H17:K17,"&gt;0",'ANÁLISIS CONSOLIDADO'!H17:K17,"&lt;="&amp;'PRECIOS UNITARIOS TECHO'!N17)</f>
        <v>2</v>
      </c>
      <c r="Q17" s="190" t="str">
        <f t="shared" si="4"/>
        <v>MAYOR RIESGO</v>
      </c>
      <c r="R17" s="130">
        <f t="shared" si="0"/>
        <v>5333</v>
      </c>
      <c r="S17" s="191" t="s">
        <v>623</v>
      </c>
    </row>
    <row r="18" spans="1:19" ht="18" customHeight="1">
      <c r="A18" s="3">
        <v>8</v>
      </c>
      <c r="B18" s="330" t="s">
        <v>27</v>
      </c>
      <c r="C18" s="331"/>
      <c r="D18" s="331"/>
      <c r="E18" s="331"/>
      <c r="F18" s="332"/>
      <c r="G18" s="2" t="s">
        <v>19</v>
      </c>
      <c r="H18" s="129">
        <f>'ANÁLISIS CONSOLIDADO'!L18</f>
        <v>0.45051210826973959</v>
      </c>
      <c r="I18" s="16">
        <f>'ANÁLISIS CONSOLIDADO'!N18</f>
        <v>5831</v>
      </c>
      <c r="J18" s="49">
        <f>'ANÁLISIS CONSOLIDADO'!X18</f>
        <v>7.6191986613436498E-3</v>
      </c>
      <c r="K18" s="16">
        <f>'ANÁLISIS CONSOLIDADO'!Z18</f>
        <v>4778.4285999999993</v>
      </c>
      <c r="L18" s="123">
        <f t="shared" si="1"/>
        <v>1.6631036879760343E-2</v>
      </c>
      <c r="M18" s="49">
        <f t="shared" si="2"/>
        <v>0.98336896312023969</v>
      </c>
      <c r="N18" s="130">
        <f t="shared" si="3"/>
        <v>4796</v>
      </c>
      <c r="O18" s="189">
        <f>MIN('ANÁLISIS CONSOLIDADO'!H18:K18)</f>
        <v>2499</v>
      </c>
      <c r="P18" s="50">
        <f>COUNTIFS('ANÁLISIS CONSOLIDADO'!H18:K18,"&gt;0",'ANÁLISIS CONSOLIDADO'!H18:K18,"&lt;="&amp;'PRECIOS UNITARIOS TECHO'!N18)</f>
        <v>2</v>
      </c>
      <c r="Q18" s="190" t="str">
        <f t="shared" si="4"/>
        <v>MAYOR RIESGO</v>
      </c>
      <c r="R18" s="130">
        <f t="shared" si="0"/>
        <v>4796</v>
      </c>
      <c r="S18" s="191" t="s">
        <v>623</v>
      </c>
    </row>
    <row r="19" spans="1:19" ht="18" customHeight="1">
      <c r="A19" s="3">
        <v>9</v>
      </c>
      <c r="B19" s="330" t="s">
        <v>28</v>
      </c>
      <c r="C19" s="331"/>
      <c r="D19" s="331"/>
      <c r="E19" s="331"/>
      <c r="F19" s="332"/>
      <c r="G19" s="2" t="s">
        <v>19</v>
      </c>
      <c r="H19" s="129">
        <f>'ANÁLISIS CONSOLIDADO'!L19</f>
        <v>1.2131332527436742</v>
      </c>
      <c r="I19" s="16">
        <f>'ANÁLISIS CONSOLIDADO'!N19</f>
        <v>1190</v>
      </c>
      <c r="J19" s="49">
        <f>'ANÁLISIS CONSOLIDADO'!X19</f>
        <v>7.5876993987943116E-3</v>
      </c>
      <c r="K19" s="16">
        <f>'ANÁLISIS CONSOLIDADO'!Z19</f>
        <v>1087.7453449999998</v>
      </c>
      <c r="L19" s="123">
        <f t="shared" si="1"/>
        <v>6.215752572672123E-3</v>
      </c>
      <c r="M19" s="49">
        <f t="shared" si="2"/>
        <v>0.99378424742732796</v>
      </c>
      <c r="N19" s="130">
        <f t="shared" si="3"/>
        <v>1089</v>
      </c>
      <c r="O19" s="189">
        <f>MIN('ANÁLISIS CONSOLIDADO'!H19:K19)</f>
        <v>619</v>
      </c>
      <c r="P19" s="50">
        <f>COUNTIFS('ANÁLISIS CONSOLIDADO'!H19:K19,"&gt;0",'ANÁLISIS CONSOLIDADO'!H19:K19,"&lt;="&amp;'PRECIOS UNITARIOS TECHO'!N19)</f>
        <v>1</v>
      </c>
      <c r="Q19" s="190" t="str">
        <f t="shared" si="4"/>
        <v>MAYOR RIESGO</v>
      </c>
      <c r="R19" s="51">
        <f>I19</f>
        <v>1190</v>
      </c>
      <c r="S19" s="190" t="s">
        <v>622</v>
      </c>
    </row>
    <row r="20" spans="1:19" ht="18" customHeight="1">
      <c r="A20" s="3">
        <v>10</v>
      </c>
      <c r="B20" s="330" t="s">
        <v>29</v>
      </c>
      <c r="C20" s="331"/>
      <c r="D20" s="331"/>
      <c r="E20" s="331"/>
      <c r="F20" s="332"/>
      <c r="G20" s="2" t="s">
        <v>19</v>
      </c>
      <c r="H20" s="129">
        <f>'ANÁLISIS CONSOLIDADO'!L20</f>
        <v>1.3269167246508011</v>
      </c>
      <c r="I20" s="16">
        <f>'ANÁLISIS CONSOLIDADO'!N20</f>
        <v>1279.25</v>
      </c>
      <c r="J20" s="49">
        <f>'ANÁLISIS CONSOLIDADO'!X20</f>
        <v>7.5911518336211547E-3</v>
      </c>
      <c r="K20" s="16">
        <f>'ANÁLISIS CONSOLIDADO'!Z20</f>
        <v>1188.3431849999999</v>
      </c>
      <c r="L20" s="123">
        <f t="shared" si="1"/>
        <v>5.6883529632054336E-3</v>
      </c>
      <c r="M20" s="49">
        <f t="shared" si="2"/>
        <v>0.99431164703679453</v>
      </c>
      <c r="N20" s="130">
        <f t="shared" si="3"/>
        <v>1189</v>
      </c>
      <c r="O20" s="189">
        <f>MIN('ANÁLISIS CONSOLIDADO'!H20:K20)</f>
        <v>619</v>
      </c>
      <c r="P20" s="50">
        <f>COUNTIFS('ANÁLISIS CONSOLIDADO'!H20:K20,"&gt;0",'ANÁLISIS CONSOLIDADO'!H20:K20,"&lt;="&amp;'PRECIOS UNITARIOS TECHO'!N20)</f>
        <v>1</v>
      </c>
      <c r="Q20" s="190" t="str">
        <f t="shared" si="4"/>
        <v>MAYOR RIESGO</v>
      </c>
      <c r="R20" s="51">
        <f>I20</f>
        <v>1279.25</v>
      </c>
      <c r="S20" s="190" t="s">
        <v>622</v>
      </c>
    </row>
    <row r="21" spans="1:19" ht="18" customHeight="1">
      <c r="A21" s="3">
        <v>11</v>
      </c>
      <c r="B21" s="330" t="s">
        <v>30</v>
      </c>
      <c r="C21" s="331"/>
      <c r="D21" s="331"/>
      <c r="E21" s="331"/>
      <c r="F21" s="332"/>
      <c r="G21" s="2" t="s">
        <v>31</v>
      </c>
      <c r="H21" s="129">
        <f>'ANÁLISIS CONSOLIDADO'!L21</f>
        <v>0.8645857025215663</v>
      </c>
      <c r="I21" s="16">
        <f>'ANÁLISIS CONSOLIDADO'!N21</f>
        <v>7674.5</v>
      </c>
      <c r="J21" s="49">
        <f>'ANÁLISIS CONSOLIDADO'!X21</f>
        <v>7.6242825743227261E-3</v>
      </c>
      <c r="K21" s="16">
        <f>'ANÁLISIS CONSOLIDADO'!Z21</f>
        <v>10562.804400000001</v>
      </c>
      <c r="L21" s="123">
        <f t="shared" si="1"/>
        <v>8.7413383297653118E-3</v>
      </c>
      <c r="M21" s="49">
        <f t="shared" si="2"/>
        <v>0.99125866167023469</v>
      </c>
      <c r="N21" s="130">
        <f t="shared" si="3"/>
        <v>10538</v>
      </c>
      <c r="O21" s="189">
        <f>MIN('ANÁLISIS CONSOLIDADO'!H21:K21)</f>
        <v>1487.5</v>
      </c>
      <c r="P21" s="50">
        <f>COUNTIFS('ANÁLISIS CONSOLIDADO'!H21:K21,"&gt;0",'ANÁLISIS CONSOLIDADO'!H21:K21,"&lt;="&amp;'PRECIOS UNITARIOS TECHO'!N21)</f>
        <v>2</v>
      </c>
      <c r="Q21" s="190" t="str">
        <f t="shared" si="4"/>
        <v>MAYOR RIESGO</v>
      </c>
      <c r="R21" s="130">
        <f>N21</f>
        <v>10538</v>
      </c>
      <c r="S21" s="191" t="s">
        <v>623</v>
      </c>
    </row>
    <row r="22" spans="1:19" ht="30" customHeight="1">
      <c r="A22" s="3">
        <v>12</v>
      </c>
      <c r="B22" s="330" t="s">
        <v>177</v>
      </c>
      <c r="C22" s="331"/>
      <c r="D22" s="331"/>
      <c r="E22" s="331"/>
      <c r="F22" s="332"/>
      <c r="G22" s="2" t="s">
        <v>19</v>
      </c>
      <c r="H22" s="129">
        <f>'ANÁLISIS CONSOLIDADO'!L22</f>
        <v>0.80201912403323061</v>
      </c>
      <c r="I22" s="16">
        <f>'ANÁLISIS CONSOLIDADO'!N22</f>
        <v>2731.05</v>
      </c>
      <c r="J22" s="49">
        <f>'ANÁLISIS CONSOLIDADO'!X22</f>
        <v>3.6097374713329904E-2</v>
      </c>
      <c r="K22" s="16">
        <f>'ANÁLISIS CONSOLIDADO'!Z22</f>
        <v>2259.0280022527995</v>
      </c>
      <c r="L22" s="123">
        <f t="shared" si="1"/>
        <v>4.3069638609089654E-2</v>
      </c>
      <c r="M22" s="49">
        <f t="shared" si="2"/>
        <v>0.95693036139091037</v>
      </c>
      <c r="N22" s="130">
        <f t="shared" si="3"/>
        <v>2280</v>
      </c>
      <c r="O22" s="189">
        <f>MIN('ANÁLISIS CONSOLIDADO'!H22:K22)</f>
        <v>1406</v>
      </c>
      <c r="P22" s="50">
        <f>COUNTIFS('ANÁLISIS CONSOLIDADO'!H22:K22,"&gt;0",'ANÁLISIS CONSOLIDADO'!H22:K22,"&lt;="&amp;'PRECIOS UNITARIOS TECHO'!N22)</f>
        <v>1</v>
      </c>
      <c r="Q22" s="190" t="str">
        <f t="shared" si="4"/>
        <v>MAYOR RIESGO</v>
      </c>
      <c r="R22" s="51">
        <f t="shared" ref="R22:R30" si="5">I22</f>
        <v>2731.05</v>
      </c>
      <c r="S22" s="190" t="s">
        <v>622</v>
      </c>
    </row>
    <row r="23" spans="1:19" ht="18" customHeight="1">
      <c r="A23" s="3">
        <v>13</v>
      </c>
      <c r="B23" s="330" t="s">
        <v>32</v>
      </c>
      <c r="C23" s="331"/>
      <c r="D23" s="331"/>
      <c r="E23" s="331"/>
      <c r="F23" s="332"/>
      <c r="G23" s="2" t="s">
        <v>33</v>
      </c>
      <c r="H23" s="129">
        <f>'ANÁLISIS CONSOLIDADO'!L23</f>
        <v>0.67370465693949544</v>
      </c>
      <c r="I23" s="16">
        <f>'ANÁLISIS CONSOLIDADO'!N23</f>
        <v>2796.5</v>
      </c>
      <c r="J23" s="49">
        <f>'ANÁLISIS CONSOLIDADO'!X23</f>
        <v>0.16601150165722098</v>
      </c>
      <c r="K23" s="16">
        <f>'ANÁLISIS CONSOLIDADO'!Z23</f>
        <v>1634.7460999999998</v>
      </c>
      <c r="L23" s="123">
        <f t="shared" si="1"/>
        <v>0.19769954401574158</v>
      </c>
      <c r="M23" s="49">
        <f t="shared" si="2"/>
        <v>0.80230045598425836</v>
      </c>
      <c r="N23" s="130">
        <f t="shared" si="3"/>
        <v>1865</v>
      </c>
      <c r="O23" s="189">
        <f>MIN('ANÁLISIS CONSOLIDADO'!H23:K23)</f>
        <v>1093</v>
      </c>
      <c r="P23" s="50">
        <f>COUNTIFS('ANÁLISIS CONSOLIDADO'!H23:K23,"&gt;0",'ANÁLISIS CONSOLIDADO'!H23:K23,"&lt;="&amp;'PRECIOS UNITARIOS TECHO'!N23)</f>
        <v>2</v>
      </c>
      <c r="Q23" s="190" t="str">
        <f t="shared" si="4"/>
        <v>MAYOR RIESGO</v>
      </c>
      <c r="R23" s="130">
        <f>N23</f>
        <v>1865</v>
      </c>
      <c r="S23" s="191" t="s">
        <v>623</v>
      </c>
    </row>
    <row r="24" spans="1:19" ht="18" customHeight="1">
      <c r="A24" s="3">
        <v>14</v>
      </c>
      <c r="B24" s="330" t="s">
        <v>34</v>
      </c>
      <c r="C24" s="331"/>
      <c r="D24" s="331"/>
      <c r="E24" s="331"/>
      <c r="F24" s="332"/>
      <c r="G24" s="2" t="s">
        <v>19</v>
      </c>
      <c r="H24" s="129">
        <f>'ANÁLISIS CONSOLIDADO'!L24</f>
        <v>0.44238462205209372</v>
      </c>
      <c r="I24" s="16">
        <f>'ANÁLISIS CONSOLIDADO'!N24</f>
        <v>49955.55</v>
      </c>
      <c r="J24" s="49">
        <f>'ANÁLISIS CONSOLIDADO'!X24</f>
        <v>0.38343550771504842</v>
      </c>
      <c r="K24" s="16">
        <f>'ANÁLISIS CONSOLIDADO'!Z24</f>
        <v>32694.3292</v>
      </c>
      <c r="L24" s="123">
        <f t="shared" si="1"/>
        <v>0.46430874459692134</v>
      </c>
      <c r="M24" s="49">
        <f t="shared" si="2"/>
        <v>0.53569125540307871</v>
      </c>
      <c r="N24" s="130">
        <f t="shared" si="3"/>
        <v>40709</v>
      </c>
      <c r="O24" s="189">
        <f>MIN('ANÁLISIS CONSOLIDADO'!H24:K24)</f>
        <v>19992</v>
      </c>
      <c r="P24" s="50">
        <f>COUNTIFS('ANÁLISIS CONSOLIDADO'!H24:K24,"&gt;0",'ANÁLISIS CONSOLIDADO'!H24:K24,"&lt;="&amp;'PRECIOS UNITARIOS TECHO'!N24)</f>
        <v>1</v>
      </c>
      <c r="Q24" s="190" t="str">
        <f t="shared" si="4"/>
        <v>MAYOR RIESGO</v>
      </c>
      <c r="R24" s="51">
        <f t="shared" si="5"/>
        <v>49955.55</v>
      </c>
      <c r="S24" s="190" t="s">
        <v>622</v>
      </c>
    </row>
    <row r="25" spans="1:19" ht="18" customHeight="1">
      <c r="A25" s="3">
        <v>15</v>
      </c>
      <c r="B25" s="330" t="s">
        <v>35</v>
      </c>
      <c r="C25" s="331"/>
      <c r="D25" s="331"/>
      <c r="E25" s="331"/>
      <c r="F25" s="332"/>
      <c r="G25" s="2" t="s">
        <v>19</v>
      </c>
      <c r="H25" s="129">
        <f>'ANÁLISIS CONSOLIDADO'!L25</f>
        <v>0.40186915593394862</v>
      </c>
      <c r="I25" s="16">
        <f>'ANÁLISIS CONSOLIDADO'!N25</f>
        <v>49955.55</v>
      </c>
      <c r="J25" s="49">
        <f>'ANÁLISIS CONSOLIDADO'!X25</f>
        <v>0.40049017611494864</v>
      </c>
      <c r="K25" s="16">
        <f>'ANÁLISIS CONSOLIDADO'!Z25</f>
        <v>32694.3292</v>
      </c>
      <c r="L25" s="123">
        <f t="shared" si="1"/>
        <v>0.49914067191349376</v>
      </c>
      <c r="M25" s="49">
        <f t="shared" si="2"/>
        <v>0.50085932808650624</v>
      </c>
      <c r="N25" s="130">
        <f t="shared" si="3"/>
        <v>41311</v>
      </c>
      <c r="O25" s="189">
        <f>MIN('ANÁLISIS CONSOLIDADO'!H25:K25)</f>
        <v>23621.5</v>
      </c>
      <c r="P25" s="50">
        <f>COUNTIFS('ANÁLISIS CONSOLIDADO'!H25:K25,"&gt;0",'ANÁLISIS CONSOLIDADO'!H25:K25,"&lt;="&amp;'PRECIOS UNITARIOS TECHO'!N25)</f>
        <v>1</v>
      </c>
      <c r="Q25" s="190" t="str">
        <f t="shared" si="4"/>
        <v>MAYOR RIESGO</v>
      </c>
      <c r="R25" s="51">
        <f t="shared" si="5"/>
        <v>49955.55</v>
      </c>
      <c r="S25" s="190" t="s">
        <v>622</v>
      </c>
    </row>
    <row r="26" spans="1:19" ht="19.5" customHeight="1">
      <c r="A26" s="3">
        <v>16</v>
      </c>
      <c r="B26" s="330" t="s">
        <v>179</v>
      </c>
      <c r="C26" s="331"/>
      <c r="D26" s="331"/>
      <c r="E26" s="331"/>
      <c r="F26" s="332"/>
      <c r="G26" s="2" t="s">
        <v>19</v>
      </c>
      <c r="H26" s="129">
        <f>'ANÁLISIS CONSOLIDADO'!L26</f>
        <v>0.36505219120572907</v>
      </c>
      <c r="I26" s="16">
        <f>'ANÁLISIS CONSOLIDADO'!N26</f>
        <v>10948</v>
      </c>
      <c r="J26" s="49">
        <f>'ANÁLISIS CONSOLIDADO'!X26</f>
        <v>0.14784071822007777</v>
      </c>
      <c r="K26" s="16">
        <f>'ANÁLISIS CONSOLIDADO'!Z26</f>
        <v>7918.915559680001</v>
      </c>
      <c r="L26" s="123">
        <f t="shared" si="1"/>
        <v>0.28824870748474224</v>
      </c>
      <c r="M26" s="49">
        <f t="shared" si="2"/>
        <v>0.71175129251525793</v>
      </c>
      <c r="N26" s="130">
        <f t="shared" si="3"/>
        <v>8793</v>
      </c>
      <c r="O26" s="189">
        <f>MIN('ANÁLISIS CONSOLIDADO'!H26:K26)</f>
        <v>6972</v>
      </c>
      <c r="P26" s="50">
        <f>COUNTIFS('ANÁLISIS CONSOLIDADO'!H26:K26,"&gt;0",'ANÁLISIS CONSOLIDADO'!H26:K26,"&lt;="&amp;'PRECIOS UNITARIOS TECHO'!N26)</f>
        <v>2</v>
      </c>
      <c r="Q26" s="190" t="str">
        <f t="shared" si="4"/>
        <v>MAYOR RIESGO</v>
      </c>
      <c r="R26" s="130">
        <f>N26</f>
        <v>8793</v>
      </c>
      <c r="S26" s="191" t="s">
        <v>623</v>
      </c>
    </row>
    <row r="27" spans="1:19" ht="19.5" customHeight="1">
      <c r="A27" s="3">
        <v>17</v>
      </c>
      <c r="B27" s="330" t="s">
        <v>180</v>
      </c>
      <c r="C27" s="331"/>
      <c r="D27" s="331"/>
      <c r="E27" s="331"/>
      <c r="F27" s="332"/>
      <c r="G27" s="2" t="s">
        <v>19</v>
      </c>
      <c r="H27" s="129">
        <f>'ANÁLISIS CONSOLIDADO'!L27</f>
        <v>0.41954677330203194</v>
      </c>
      <c r="I27" s="16">
        <f>'ANÁLISIS CONSOLIDADO'!N27</f>
        <v>10477</v>
      </c>
      <c r="J27" s="49">
        <f>'ANÁLISIS CONSOLIDADO'!X27</f>
        <v>0.10327860796865695</v>
      </c>
      <c r="K27" s="16">
        <f>'ANÁLISIS CONSOLIDADO'!Z27</f>
        <v>7518.6451033600006</v>
      </c>
      <c r="L27" s="123">
        <f t="shared" si="1"/>
        <v>0.19753939205791013</v>
      </c>
      <c r="M27" s="49">
        <f t="shared" si="2"/>
        <v>0.80246060794208984</v>
      </c>
      <c r="N27" s="130">
        <f t="shared" si="3"/>
        <v>8104</v>
      </c>
      <c r="O27" s="189">
        <f>MIN('ANÁLISIS CONSOLIDADO'!H27:K27)</f>
        <v>8211</v>
      </c>
      <c r="P27" s="50">
        <f>COUNTIFS('ANÁLISIS CONSOLIDADO'!H27:K27,"&gt;0",'ANÁLISIS CONSOLIDADO'!H27:K27,"&lt;="&amp;'PRECIOS UNITARIOS TECHO'!N27)</f>
        <v>0</v>
      </c>
      <c r="Q27" s="190" t="str">
        <f t="shared" si="4"/>
        <v>MAYOR RIESGO</v>
      </c>
      <c r="R27" s="51">
        <f t="shared" si="5"/>
        <v>10477</v>
      </c>
      <c r="S27" s="190" t="s">
        <v>622</v>
      </c>
    </row>
    <row r="28" spans="1:19" ht="19.5" customHeight="1">
      <c r="A28" s="3">
        <v>18</v>
      </c>
      <c r="B28" s="330" t="s">
        <v>181</v>
      </c>
      <c r="C28" s="331"/>
      <c r="D28" s="331"/>
      <c r="E28" s="331"/>
      <c r="F28" s="332"/>
      <c r="G28" s="2" t="s">
        <v>19</v>
      </c>
      <c r="H28" s="129">
        <f>'ANÁLISIS CONSOLIDADO'!L28</f>
        <v>0.42655955391187111</v>
      </c>
      <c r="I28" s="16">
        <f>'ANÁLISIS CONSOLIDADO'!N28</f>
        <v>14220.5</v>
      </c>
      <c r="J28" s="49">
        <f>'ANÁLISIS CONSOLIDADO'!X28</f>
        <v>0.20113608757543874</v>
      </c>
      <c r="K28" s="16">
        <f>'ANÁLISIS CONSOLIDADO'!Z28</f>
        <v>9315.4802959599983</v>
      </c>
      <c r="L28" s="123">
        <f t="shared" si="1"/>
        <v>0.32043569252584198</v>
      </c>
      <c r="M28" s="49">
        <f t="shared" si="2"/>
        <v>0.67956430747415808</v>
      </c>
      <c r="N28" s="130">
        <f t="shared" si="3"/>
        <v>10888</v>
      </c>
      <c r="O28" s="189">
        <f>MIN('ANÁLISIS CONSOLIDADO'!H28:K28)</f>
        <v>9221</v>
      </c>
      <c r="P28" s="50">
        <f>COUNTIFS('ANÁLISIS CONSOLIDADO'!H28:K28,"&gt;0",'ANÁLISIS CONSOLIDADO'!H28:K28,"&lt;="&amp;'PRECIOS UNITARIOS TECHO'!N28)</f>
        <v>2</v>
      </c>
      <c r="Q28" s="190" t="str">
        <f t="shared" si="4"/>
        <v>MAYOR RIESGO</v>
      </c>
      <c r="R28" s="130">
        <f>N28</f>
        <v>10888</v>
      </c>
      <c r="S28" s="191" t="s">
        <v>623</v>
      </c>
    </row>
    <row r="29" spans="1:19" ht="18" customHeight="1">
      <c r="A29" s="3">
        <v>19</v>
      </c>
      <c r="B29" s="330" t="s">
        <v>182</v>
      </c>
      <c r="C29" s="331"/>
      <c r="D29" s="331"/>
      <c r="E29" s="331"/>
      <c r="F29" s="332"/>
      <c r="G29" s="2" t="s">
        <v>19</v>
      </c>
      <c r="H29" s="129">
        <f>'ANÁLISIS CONSOLIDADO'!L29</f>
        <v>0.33513003424184451</v>
      </c>
      <c r="I29" s="16">
        <f>'ANÁLISIS CONSOLIDADO'!N29</f>
        <v>16303</v>
      </c>
      <c r="J29" s="49">
        <f>'ANÁLISIS CONSOLIDADO'!X29</f>
        <v>0.25388992908692676</v>
      </c>
      <c r="K29" s="16">
        <f>'ANÁLISIS CONSOLIDADO'!Z29</f>
        <v>13832.234199999999</v>
      </c>
      <c r="L29" s="123">
        <f t="shared" si="1"/>
        <v>0.43103790175820217</v>
      </c>
      <c r="M29" s="49">
        <f t="shared" si="2"/>
        <v>0.56896209824179778</v>
      </c>
      <c r="N29" s="130">
        <f t="shared" si="3"/>
        <v>14898</v>
      </c>
      <c r="O29" s="189">
        <f>MIN('ANÁLISIS CONSOLIDADO'!H29:K29)</f>
        <v>13432</v>
      </c>
      <c r="P29" s="50">
        <f>COUNTIFS('ANÁLISIS CONSOLIDADO'!H29:K29,"&gt;0",'ANÁLISIS CONSOLIDADO'!H29:K29,"&lt;="&amp;'PRECIOS UNITARIOS TECHO'!N29)</f>
        <v>2</v>
      </c>
      <c r="Q29" s="190" t="str">
        <f t="shared" si="4"/>
        <v>MAYOR RIESGO</v>
      </c>
      <c r="R29" s="130">
        <f>N29</f>
        <v>14898</v>
      </c>
      <c r="S29" s="191" t="s">
        <v>623</v>
      </c>
    </row>
    <row r="30" spans="1:19" ht="18" customHeight="1">
      <c r="A30" s="3">
        <v>20</v>
      </c>
      <c r="B30" s="330" t="s">
        <v>36</v>
      </c>
      <c r="C30" s="331"/>
      <c r="D30" s="331"/>
      <c r="E30" s="331"/>
      <c r="F30" s="332"/>
      <c r="G30" s="2" t="s">
        <v>19</v>
      </c>
      <c r="H30" s="129">
        <f>'ANÁLISIS CONSOLIDADO'!L30</f>
        <v>0.24659393608884017</v>
      </c>
      <c r="I30" s="16">
        <f>'ANÁLISIS CONSOLIDADO'!N30</f>
        <v>1374251.5</v>
      </c>
      <c r="J30" s="49">
        <f>'ANÁLISIS CONSOLIDADO'!X30</f>
        <v>0.49478015704022515</v>
      </c>
      <c r="K30" s="16">
        <f>'ANÁLISIS CONSOLIDADO'!Z30</f>
        <v>662638.13682000001</v>
      </c>
      <c r="L30" s="123">
        <f t="shared" si="1"/>
        <v>0.66738258272816287</v>
      </c>
      <c r="M30" s="49">
        <f t="shared" si="2"/>
        <v>0.33261741727183713</v>
      </c>
      <c r="N30" s="130">
        <f t="shared" si="3"/>
        <v>1137557</v>
      </c>
      <c r="O30" s="189">
        <f>MIN('ANÁLISIS CONSOLIDADO'!H30:K30)</f>
        <v>858581.42999999993</v>
      </c>
      <c r="P30" s="50">
        <f>COUNTIFS('ANÁLISIS CONSOLIDADO'!H30:K30,"&gt;0",'ANÁLISIS CONSOLIDADO'!H30:K30,"&lt;="&amp;'PRECIOS UNITARIOS TECHO'!N30)</f>
        <v>1</v>
      </c>
      <c r="Q30" s="190" t="str">
        <f t="shared" si="4"/>
        <v>MAYOR RIESGO</v>
      </c>
      <c r="R30" s="51">
        <f t="shared" si="5"/>
        <v>1374251.5</v>
      </c>
      <c r="S30" s="190" t="s">
        <v>622</v>
      </c>
    </row>
    <row r="31" spans="1:19" ht="18" customHeight="1">
      <c r="A31" s="3">
        <v>21</v>
      </c>
      <c r="B31" s="330" t="s">
        <v>37</v>
      </c>
      <c r="C31" s="331"/>
      <c r="D31" s="331"/>
      <c r="E31" s="331"/>
      <c r="F31" s="332"/>
      <c r="G31" s="2" t="s">
        <v>19</v>
      </c>
      <c r="H31" s="129">
        <f>'ANÁLISIS CONSOLIDADO'!L31</f>
        <v>0.39845734050527093</v>
      </c>
      <c r="I31" s="16">
        <f>'ANÁLISIS CONSOLIDADO'!N31</f>
        <v>27965</v>
      </c>
      <c r="J31" s="49" t="str">
        <f>'ANÁLISIS CONSOLIDADO'!X31</f>
        <v>No comparable</v>
      </c>
      <c r="K31" s="16" t="str">
        <f>'ANÁLISIS CONSOLIDADO'!Z31</f>
        <v>No comparable</v>
      </c>
      <c r="L31" s="135" t="s">
        <v>576</v>
      </c>
      <c r="M31" s="135" t="s">
        <v>576</v>
      </c>
      <c r="N31" s="130">
        <f>I31</f>
        <v>27965</v>
      </c>
      <c r="O31" s="189">
        <f>MIN('ANÁLISIS CONSOLIDADO'!H31:K31)</f>
        <v>11246</v>
      </c>
      <c r="P31" s="50">
        <f>COUNTIFS('ANÁLISIS CONSOLIDADO'!H31:K31,"&gt;0",'ANÁLISIS CONSOLIDADO'!H31:K31,"&lt;="&amp;'PRECIOS UNITARIOS TECHO'!N31)</f>
        <v>2</v>
      </c>
      <c r="Q31" s="190" t="str">
        <f t="shared" si="4"/>
        <v>MAYOR RIESGO</v>
      </c>
      <c r="R31" s="130">
        <f>N31</f>
        <v>27965</v>
      </c>
      <c r="S31" s="191" t="s">
        <v>623</v>
      </c>
    </row>
    <row r="32" spans="1:19" ht="18" customHeight="1">
      <c r="A32" s="3">
        <v>22</v>
      </c>
      <c r="B32" s="330" t="s">
        <v>38</v>
      </c>
      <c r="C32" s="331"/>
      <c r="D32" s="331"/>
      <c r="E32" s="331"/>
      <c r="F32" s="332"/>
      <c r="G32" s="2" t="s">
        <v>39</v>
      </c>
      <c r="H32" s="129">
        <f>'ANÁLISIS CONSOLIDADO'!L32</f>
        <v>0.65668841382620025</v>
      </c>
      <c r="I32" s="16">
        <f>'ANÁLISIS CONSOLIDADO'!N32</f>
        <v>16754.5</v>
      </c>
      <c r="J32" s="49">
        <f>'ANÁLISIS CONSOLIDADO'!X32</f>
        <v>0.32645714572472712</v>
      </c>
      <c r="K32" s="16">
        <f>'ANÁLISIS CONSOLIDADO'!Z32</f>
        <v>15201.207954796799</v>
      </c>
      <c r="L32" s="123">
        <f t="shared" si="1"/>
        <v>0.33205372546649486</v>
      </c>
      <c r="M32" s="49">
        <f t="shared" si="2"/>
        <v>0.66794627453350519</v>
      </c>
      <c r="N32" s="130">
        <f t="shared" si="3"/>
        <v>15717</v>
      </c>
      <c r="O32" s="189">
        <f>MIN('ANÁLISIS CONSOLIDADO'!H32:K32)</f>
        <v>2975</v>
      </c>
      <c r="P32" s="50">
        <f>COUNTIFS('ANÁLISIS CONSOLIDADO'!H32:K32,"&gt;0",'ANÁLISIS CONSOLIDADO'!H32:K32,"&lt;="&amp;'PRECIOS UNITARIOS TECHO'!N32)</f>
        <v>2</v>
      </c>
      <c r="Q32" s="190" t="str">
        <f t="shared" si="4"/>
        <v>MAYOR RIESGO</v>
      </c>
      <c r="R32" s="130">
        <f>N32</f>
        <v>15717</v>
      </c>
      <c r="S32" s="191" t="s">
        <v>623</v>
      </c>
    </row>
    <row r="33" spans="1:19" ht="18" customHeight="1">
      <c r="A33" s="3">
        <v>23</v>
      </c>
      <c r="B33" s="330" t="s">
        <v>40</v>
      </c>
      <c r="C33" s="331"/>
      <c r="D33" s="331"/>
      <c r="E33" s="331"/>
      <c r="F33" s="332"/>
      <c r="G33" s="2" t="s">
        <v>39</v>
      </c>
      <c r="H33" s="129">
        <f>'ANÁLISIS CONSOLIDADO'!L33</f>
        <v>0.57398683431889996</v>
      </c>
      <c r="I33" s="16">
        <f>'ANÁLISIS CONSOLIDADO'!N33</f>
        <v>16754.5</v>
      </c>
      <c r="J33" s="49">
        <f>'ANÁLISIS CONSOLIDADO'!X33</f>
        <v>0.19390170230419398</v>
      </c>
      <c r="K33" s="16">
        <f>'ANÁLISIS CONSOLIDADO'!Z33</f>
        <v>19659.180800000002</v>
      </c>
      <c r="L33" s="123">
        <f t="shared" si="1"/>
        <v>0.2525128232241961</v>
      </c>
      <c r="M33" s="49">
        <f t="shared" si="2"/>
        <v>0.74748717677580379</v>
      </c>
      <c r="N33" s="130">
        <f t="shared" si="3"/>
        <v>18926</v>
      </c>
      <c r="O33" s="189">
        <f>MIN('ANÁLISIS CONSOLIDADO'!H33:K33)</f>
        <v>5355</v>
      </c>
      <c r="P33" s="50">
        <f>COUNTIFS('ANÁLISIS CONSOLIDADO'!H33:K33,"&gt;0",'ANÁLISIS CONSOLIDADO'!H33:K33,"&lt;="&amp;'PRECIOS UNITARIOS TECHO'!N33)</f>
        <v>2</v>
      </c>
      <c r="Q33" s="190" t="str">
        <f t="shared" si="4"/>
        <v>MAYOR RIESGO</v>
      </c>
      <c r="R33" s="130">
        <f>N33</f>
        <v>18926</v>
      </c>
      <c r="S33" s="191" t="s">
        <v>623</v>
      </c>
    </row>
    <row r="34" spans="1:19" ht="18" customHeight="1">
      <c r="A34" s="3">
        <v>24</v>
      </c>
      <c r="B34" s="330" t="s">
        <v>41</v>
      </c>
      <c r="C34" s="331"/>
      <c r="D34" s="331"/>
      <c r="E34" s="331"/>
      <c r="F34" s="332"/>
      <c r="G34" s="2" t="s">
        <v>19</v>
      </c>
      <c r="H34" s="129">
        <f>'ANÁLISIS CONSOLIDADO'!L34</f>
        <v>0.33521849238865442</v>
      </c>
      <c r="I34" s="16">
        <f>'ANÁLISIS CONSOLIDADO'!N34</f>
        <v>67235</v>
      </c>
      <c r="J34" s="49">
        <f>'ANÁLISIS CONSOLIDADO'!X34</f>
        <v>0.74878604216164857</v>
      </c>
      <c r="K34" s="16">
        <f>'ANÁLISIS CONSOLIDADO'!Z34</f>
        <v>12629.917440000001</v>
      </c>
      <c r="L34" s="123">
        <f t="shared" si="1"/>
        <v>0.69075914195532495</v>
      </c>
      <c r="M34" s="49">
        <f t="shared" si="2"/>
        <v>0.30924085804467522</v>
      </c>
      <c r="N34" s="130">
        <f t="shared" si="3"/>
        <v>50349</v>
      </c>
      <c r="O34" s="189">
        <f>MIN('ANÁLISIS CONSOLIDADO'!H34:K34)</f>
        <v>47588.1</v>
      </c>
      <c r="P34" s="50">
        <f>COUNTIFS('ANÁLISIS CONSOLIDADO'!H34:K34,"&gt;0",'ANÁLISIS CONSOLIDADO'!H34:K34,"&lt;="&amp;'PRECIOS UNITARIOS TECHO'!N34)</f>
        <v>1</v>
      </c>
      <c r="Q34" s="190" t="str">
        <f t="shared" si="4"/>
        <v>MAYOR RIESGO</v>
      </c>
      <c r="R34" s="51">
        <f t="shared" ref="R34:R37" si="6">I34</f>
        <v>67235</v>
      </c>
      <c r="S34" s="190" t="s">
        <v>622</v>
      </c>
    </row>
    <row r="35" spans="1:19" ht="18" customHeight="1">
      <c r="A35" s="3">
        <v>25</v>
      </c>
      <c r="B35" s="330" t="s">
        <v>42</v>
      </c>
      <c r="C35" s="331"/>
      <c r="D35" s="331"/>
      <c r="E35" s="331"/>
      <c r="F35" s="332"/>
      <c r="G35" s="2" t="s">
        <v>43</v>
      </c>
      <c r="H35" s="129">
        <f>'ANÁLISIS CONSOLIDADO'!L35</f>
        <v>0.30538903675613244</v>
      </c>
      <c r="I35" s="16">
        <f>'ANÁLISIS CONSOLIDADO'!N35</f>
        <v>145180</v>
      </c>
      <c r="J35" s="49">
        <f>'ANÁLISIS CONSOLIDADO'!X35</f>
        <v>0.17465077158826395</v>
      </c>
      <c r="K35" s="16">
        <f>'ANÁLISIS CONSOLIDADO'!Z35</f>
        <v>86765.6682</v>
      </c>
      <c r="L35" s="123">
        <f t="shared" si="1"/>
        <v>0.36382560061136371</v>
      </c>
      <c r="M35" s="49">
        <f t="shared" si="2"/>
        <v>0.63617439938863629</v>
      </c>
      <c r="N35" s="130">
        <f t="shared" si="3"/>
        <v>108019</v>
      </c>
      <c r="O35" s="189">
        <f>MIN('ANÁLISIS CONSOLIDADO'!H35:K35)</f>
        <v>93713</v>
      </c>
      <c r="P35" s="50">
        <f>COUNTIFS('ANÁLISIS CONSOLIDADO'!H35:K35,"&gt;0",'ANÁLISIS CONSOLIDADO'!H35:K35,"&lt;="&amp;'PRECIOS UNITARIOS TECHO'!N35)</f>
        <v>1</v>
      </c>
      <c r="Q35" s="190" t="str">
        <f t="shared" si="4"/>
        <v>MAYOR RIESGO</v>
      </c>
      <c r="R35" s="51">
        <f t="shared" si="6"/>
        <v>145180</v>
      </c>
      <c r="S35" s="190" t="s">
        <v>622</v>
      </c>
    </row>
    <row r="36" spans="1:19" ht="18" customHeight="1">
      <c r="A36" s="3">
        <v>26</v>
      </c>
      <c r="B36" s="330" t="s">
        <v>44</v>
      </c>
      <c r="C36" s="331"/>
      <c r="D36" s="331"/>
      <c r="E36" s="331"/>
      <c r="F36" s="332"/>
      <c r="G36" s="2" t="s">
        <v>45</v>
      </c>
      <c r="H36" s="129">
        <f>'ANÁLISIS CONSOLIDADO'!L36</f>
        <v>0.29375761847390164</v>
      </c>
      <c r="I36" s="16">
        <f>'ANÁLISIS CONSOLIDADO'!N36</f>
        <v>95140.5</v>
      </c>
      <c r="J36" s="49">
        <f>'ANÁLISIS CONSOLIDADO'!X36</f>
        <v>8.5020739040884807E-2</v>
      </c>
      <c r="K36" s="16">
        <f>'ANÁLISIS CONSOLIDADO'!Z36</f>
        <v>52863.924800000001</v>
      </c>
      <c r="L36" s="123">
        <f t="shared" si="1"/>
        <v>0.22446039314050786</v>
      </c>
      <c r="M36" s="49">
        <f t="shared" si="2"/>
        <v>0.77553960685949208</v>
      </c>
      <c r="N36" s="130">
        <f t="shared" si="3"/>
        <v>62354</v>
      </c>
      <c r="O36" s="189">
        <f>MIN('ANÁLISIS CONSOLIDADO'!H36:K36)</f>
        <v>57477</v>
      </c>
      <c r="P36" s="50">
        <f>COUNTIFS('ANÁLISIS CONSOLIDADO'!H36:K36,"&gt;0",'ANÁLISIS CONSOLIDADO'!H36:K36,"&lt;="&amp;'PRECIOS UNITARIOS TECHO'!N36)</f>
        <v>1</v>
      </c>
      <c r="Q36" s="190" t="str">
        <f t="shared" si="4"/>
        <v>MAYOR RIESGO</v>
      </c>
      <c r="R36" s="51">
        <f t="shared" si="6"/>
        <v>95140.5</v>
      </c>
      <c r="S36" s="190" t="s">
        <v>622</v>
      </c>
    </row>
    <row r="37" spans="1:19" ht="30.75" customHeight="1">
      <c r="A37" s="3">
        <v>27</v>
      </c>
      <c r="B37" s="341" t="s">
        <v>137</v>
      </c>
      <c r="C37" s="334"/>
      <c r="D37" s="334"/>
      <c r="E37" s="334"/>
      <c r="F37" s="335"/>
      <c r="G37" s="2" t="s">
        <v>19</v>
      </c>
      <c r="H37" s="129">
        <f>'ANÁLISIS CONSOLIDADO'!L37</f>
        <v>0.91991826604985361</v>
      </c>
      <c r="I37" s="16">
        <f>'ANÁLISIS CONSOLIDADO'!N37</f>
        <v>3451</v>
      </c>
      <c r="J37" s="49">
        <f>'ANÁLISIS CONSOLIDADO'!X37</f>
        <v>0.17691684546271402</v>
      </c>
      <c r="K37" s="16">
        <f>'ANÁLISIS CONSOLIDADO'!Z37</f>
        <v>2780.0034137600001</v>
      </c>
      <c r="L37" s="123">
        <f t="shared" si="1"/>
        <v>0.16129757664188971</v>
      </c>
      <c r="M37" s="49">
        <f t="shared" si="2"/>
        <v>0.83870242335811029</v>
      </c>
      <c r="N37" s="130">
        <f t="shared" si="3"/>
        <v>2889</v>
      </c>
      <c r="O37" s="189">
        <f>MIN('ANÁLISIS CONSOLIDADO'!H37:K37)</f>
        <v>1643</v>
      </c>
      <c r="P37" s="50">
        <f>COUNTIFS('ANÁLISIS CONSOLIDADO'!H37:K37,"&gt;0",'ANÁLISIS CONSOLIDADO'!H37:K37,"&lt;="&amp;'PRECIOS UNITARIOS TECHO'!N37)</f>
        <v>1</v>
      </c>
      <c r="Q37" s="190" t="str">
        <f t="shared" si="4"/>
        <v>MAYOR RIESGO</v>
      </c>
      <c r="R37" s="51">
        <f t="shared" si="6"/>
        <v>3451</v>
      </c>
      <c r="S37" s="190" t="s">
        <v>622</v>
      </c>
    </row>
    <row r="38" spans="1:19" ht="18" customHeight="1">
      <c r="A38" s="3">
        <v>28</v>
      </c>
      <c r="B38" s="330" t="s">
        <v>46</v>
      </c>
      <c r="C38" s="331"/>
      <c r="D38" s="331"/>
      <c r="E38" s="331"/>
      <c r="F38" s="332"/>
      <c r="G38" s="2" t="s">
        <v>19</v>
      </c>
      <c r="H38" s="129">
        <f>'ANÁLISIS CONSOLIDADO'!L38</f>
        <v>0.45537272818850111</v>
      </c>
      <c r="I38" s="16">
        <f>'ANÁLISIS CONSOLIDADO'!N38</f>
        <v>12773</v>
      </c>
      <c r="J38" s="49" t="str">
        <f>'ANÁLISIS CONSOLIDADO'!X38</f>
        <v>No comparable</v>
      </c>
      <c r="K38" s="16" t="str">
        <f>'ANÁLISIS CONSOLIDADO'!Z38</f>
        <v>No comparable</v>
      </c>
      <c r="L38" s="135" t="s">
        <v>576</v>
      </c>
      <c r="M38" s="135" t="s">
        <v>576</v>
      </c>
      <c r="N38" s="130">
        <f>I38</f>
        <v>12773</v>
      </c>
      <c r="O38" s="189">
        <f>MIN('ANÁLISIS CONSOLIDADO'!H38:K38)</f>
        <v>4284</v>
      </c>
      <c r="P38" s="50">
        <f>COUNTIFS('ANÁLISIS CONSOLIDADO'!H38:K38,"&gt;0",'ANÁLISIS CONSOLIDADO'!H38:K38,"&lt;="&amp;'PRECIOS UNITARIOS TECHO'!N38)</f>
        <v>2</v>
      </c>
      <c r="Q38" s="190" t="str">
        <f t="shared" si="4"/>
        <v>MAYOR RIESGO</v>
      </c>
      <c r="R38" s="130">
        <f>N38</f>
        <v>12773</v>
      </c>
      <c r="S38" s="191" t="s">
        <v>623</v>
      </c>
    </row>
    <row r="39" spans="1:19" ht="18" customHeight="1">
      <c r="A39" s="3">
        <v>29</v>
      </c>
      <c r="B39" s="330" t="s">
        <v>47</v>
      </c>
      <c r="C39" s="331"/>
      <c r="D39" s="331"/>
      <c r="E39" s="331"/>
      <c r="F39" s="332"/>
      <c r="G39" s="2" t="s">
        <v>48</v>
      </c>
      <c r="H39" s="129">
        <f>'ANÁLISIS CONSOLIDADO'!L39</f>
        <v>0.53674652368237319</v>
      </c>
      <c r="I39" s="16">
        <f>'ANÁLISIS CONSOLIDADO'!N39</f>
        <v>4522</v>
      </c>
      <c r="J39" s="49">
        <f>'ANÁLISIS CONSOLIDADO'!X39</f>
        <v>0.11516627786550024</v>
      </c>
      <c r="K39" s="16">
        <f>'ANÁLISIS CONSOLIDADO'!Z39</f>
        <v>3759.87547</v>
      </c>
      <c r="L39" s="123">
        <f t="shared" si="1"/>
        <v>0.17665902186926599</v>
      </c>
      <c r="M39" s="49">
        <f t="shared" si="2"/>
        <v>0.82334097813073392</v>
      </c>
      <c r="N39" s="130">
        <f t="shared" si="3"/>
        <v>3895</v>
      </c>
      <c r="O39" s="189">
        <f>MIN('ANÁLISIS CONSOLIDADO'!H39:K39)</f>
        <v>2287</v>
      </c>
      <c r="P39" s="50">
        <f>COUNTIFS('ANÁLISIS CONSOLIDADO'!H39:K39,"&gt;0",'ANÁLISIS CONSOLIDADO'!H39:K39,"&lt;="&amp;'PRECIOS UNITARIOS TECHO'!N39)</f>
        <v>2</v>
      </c>
      <c r="Q39" s="190" t="str">
        <f t="shared" si="4"/>
        <v>MAYOR RIESGO</v>
      </c>
      <c r="R39" s="130">
        <f>N39</f>
        <v>3895</v>
      </c>
      <c r="S39" s="191" t="s">
        <v>623</v>
      </c>
    </row>
    <row r="40" spans="1:19" ht="18" customHeight="1">
      <c r="A40" s="3">
        <v>30</v>
      </c>
      <c r="B40" s="330" t="s">
        <v>49</v>
      </c>
      <c r="C40" s="331"/>
      <c r="D40" s="331"/>
      <c r="E40" s="331"/>
      <c r="F40" s="332"/>
      <c r="G40" s="2" t="s">
        <v>48</v>
      </c>
      <c r="H40" s="129">
        <f>'ANÁLISIS CONSOLIDADO'!L40</f>
        <v>0.6548023827009013</v>
      </c>
      <c r="I40" s="16">
        <f>'ANÁLISIS CONSOLIDADO'!N40</f>
        <v>4694.55</v>
      </c>
      <c r="J40" s="49">
        <f>'ANÁLISIS CONSOLIDADO'!X40</f>
        <v>4.2477064943403614E-2</v>
      </c>
      <c r="K40" s="16">
        <f>'ANÁLISIS CONSOLIDADO'!Z40</f>
        <v>3208.4768412959997</v>
      </c>
      <c r="L40" s="123">
        <f t="shared" si="1"/>
        <v>6.0918280449694176E-2</v>
      </c>
      <c r="M40" s="49">
        <f t="shared" si="2"/>
        <v>0.93908171955030584</v>
      </c>
      <c r="N40" s="130">
        <f t="shared" si="3"/>
        <v>3300</v>
      </c>
      <c r="O40" s="189">
        <f>MIN('ANÁLISIS CONSOLIDADO'!H40:K40)</f>
        <v>1562</v>
      </c>
      <c r="P40" s="50">
        <f>COUNTIFS('ANÁLISIS CONSOLIDADO'!H40:K40,"&gt;0",'ANÁLISIS CONSOLIDADO'!H40:K40,"&lt;="&amp;'PRECIOS UNITARIOS TECHO'!N40)</f>
        <v>1</v>
      </c>
      <c r="Q40" s="190" t="str">
        <f t="shared" si="4"/>
        <v>MAYOR RIESGO</v>
      </c>
      <c r="R40" s="51">
        <f t="shared" ref="R40:R48" si="7">I40</f>
        <v>4694.55</v>
      </c>
      <c r="S40" s="190" t="s">
        <v>622</v>
      </c>
    </row>
    <row r="41" spans="1:19" ht="18" customHeight="1">
      <c r="A41" s="3">
        <v>31</v>
      </c>
      <c r="B41" s="330" t="s">
        <v>50</v>
      </c>
      <c r="C41" s="331"/>
      <c r="D41" s="331"/>
      <c r="E41" s="331"/>
      <c r="F41" s="332"/>
      <c r="G41" s="2" t="s">
        <v>48</v>
      </c>
      <c r="H41" s="129">
        <f>'ANÁLISIS CONSOLIDADO'!L41</f>
        <v>0.22379640239920859</v>
      </c>
      <c r="I41" s="16">
        <f>'ANÁLISIS CONSOLIDADO'!N41</f>
        <v>9936.5</v>
      </c>
      <c r="J41" s="49">
        <f>'ANÁLISIS CONSOLIDADO'!X41</f>
        <v>0.12840793204133794</v>
      </c>
      <c r="K41" s="16">
        <f>'ANÁLISIS CONSOLIDADO'!Z41</f>
        <v>9179.5841</v>
      </c>
      <c r="L41" s="123">
        <f t="shared" si="1"/>
        <v>0.3645836223035287</v>
      </c>
      <c r="M41" s="49">
        <f t="shared" si="2"/>
        <v>0.63541637769647119</v>
      </c>
      <c r="N41" s="130">
        <f t="shared" si="3"/>
        <v>9456</v>
      </c>
      <c r="O41" s="189">
        <f>MIN('ANÁLISIS CONSOLIDADO'!H41:K41)</f>
        <v>7297</v>
      </c>
      <c r="P41" s="50">
        <f>COUNTIFS('ANÁLISIS CONSOLIDADO'!H41:K41,"&gt;0",'ANÁLISIS CONSOLIDADO'!H41:K41,"&lt;="&amp;'PRECIOS UNITARIOS TECHO'!N41)</f>
        <v>2</v>
      </c>
      <c r="Q41" s="190" t="str">
        <f t="shared" si="4"/>
        <v>MAYOR RIESGO</v>
      </c>
      <c r="R41" s="130">
        <f>N41</f>
        <v>9456</v>
      </c>
      <c r="S41" s="191" t="s">
        <v>623</v>
      </c>
    </row>
    <row r="42" spans="1:19" ht="18" customHeight="1">
      <c r="A42" s="3">
        <v>32</v>
      </c>
      <c r="B42" s="330" t="s">
        <v>51</v>
      </c>
      <c r="C42" s="331"/>
      <c r="D42" s="331"/>
      <c r="E42" s="331"/>
      <c r="F42" s="332"/>
      <c r="G42" s="2" t="s">
        <v>48</v>
      </c>
      <c r="H42" s="129">
        <f>'ANÁLISIS CONSOLIDADO'!L42</f>
        <v>0.50488045453457742</v>
      </c>
      <c r="I42" s="16">
        <f>'ANÁLISIS CONSOLIDADO'!N42</f>
        <v>2201.5</v>
      </c>
      <c r="J42" s="49">
        <f>'ANÁLISIS CONSOLIDADO'!X42</f>
        <v>0.13125133545456999</v>
      </c>
      <c r="K42" s="16">
        <f>'ANÁLISIS CONSOLIDADO'!Z42</f>
        <v>1383.2515000000001</v>
      </c>
      <c r="L42" s="123">
        <f t="shared" si="1"/>
        <v>0.20632726978918814</v>
      </c>
      <c r="M42" s="49">
        <f t="shared" si="2"/>
        <v>0.79367273021081186</v>
      </c>
      <c r="N42" s="130">
        <f t="shared" si="3"/>
        <v>1553</v>
      </c>
      <c r="O42" s="189">
        <f>MIN('ANÁLISIS CONSOLIDADO'!H42:K42)</f>
        <v>750</v>
      </c>
      <c r="P42" s="50">
        <f>COUNTIFS('ANÁLISIS CONSOLIDADO'!H42:K42,"&gt;0",'ANÁLISIS CONSOLIDADO'!H42:K42,"&lt;="&amp;'PRECIOS UNITARIOS TECHO'!N42)</f>
        <v>1</v>
      </c>
      <c r="Q42" s="190" t="str">
        <f t="shared" si="4"/>
        <v>MAYOR RIESGO</v>
      </c>
      <c r="R42" s="51">
        <f t="shared" si="7"/>
        <v>2201.5</v>
      </c>
      <c r="S42" s="190" t="s">
        <v>622</v>
      </c>
    </row>
    <row r="43" spans="1:19" ht="18" customHeight="1">
      <c r="A43" s="3">
        <v>33</v>
      </c>
      <c r="B43" s="330" t="s">
        <v>52</v>
      </c>
      <c r="C43" s="331"/>
      <c r="D43" s="331"/>
      <c r="E43" s="331"/>
      <c r="F43" s="332"/>
      <c r="G43" s="2" t="s">
        <v>48</v>
      </c>
      <c r="H43" s="129">
        <f>'ANÁLISIS CONSOLIDADO'!L43</f>
        <v>0.84348629372940553</v>
      </c>
      <c r="I43" s="16">
        <f>'ANÁLISIS CONSOLIDADO'!N43</f>
        <v>22544.550000000003</v>
      </c>
      <c r="J43" s="49">
        <f>'ANÁLISIS CONSOLIDADO'!X43</f>
        <v>0.22172162961434402</v>
      </c>
      <c r="K43" s="16">
        <f>'ANÁLISIS CONSOLIDADO'!Z43</f>
        <v>12323.266599999999</v>
      </c>
      <c r="L43" s="123">
        <f t="shared" si="1"/>
        <v>0.20814868605027548</v>
      </c>
      <c r="M43" s="49">
        <f t="shared" si="2"/>
        <v>0.79185131394972463</v>
      </c>
      <c r="N43" s="130">
        <f t="shared" si="3"/>
        <v>14451</v>
      </c>
      <c r="O43" s="189">
        <f>MIN('ANÁLISIS CONSOLIDADO'!H43:K43)</f>
        <v>2305</v>
      </c>
      <c r="P43" s="50">
        <f>COUNTIFS('ANÁLISIS CONSOLIDADO'!H43:K43,"&gt;0",'ANÁLISIS CONSOLIDADO'!H43:K43,"&lt;="&amp;'PRECIOS UNITARIOS TECHO'!N43)</f>
        <v>2</v>
      </c>
      <c r="Q43" s="190" t="str">
        <f t="shared" si="4"/>
        <v>MAYOR RIESGO</v>
      </c>
      <c r="R43" s="130">
        <f>N43</f>
        <v>14451</v>
      </c>
      <c r="S43" s="191" t="s">
        <v>623</v>
      </c>
    </row>
    <row r="44" spans="1:19" ht="27.75" customHeight="1">
      <c r="A44" s="3">
        <v>34</v>
      </c>
      <c r="B44" s="341" t="s">
        <v>138</v>
      </c>
      <c r="C44" s="334"/>
      <c r="D44" s="334"/>
      <c r="E44" s="334"/>
      <c r="F44" s="335"/>
      <c r="G44" s="2" t="s">
        <v>19</v>
      </c>
      <c r="H44" s="129">
        <f>'ANÁLISIS CONSOLIDADO'!L44</f>
        <v>0.36329895944208851</v>
      </c>
      <c r="I44" s="16">
        <f>'ANÁLISIS CONSOLIDADO'!N44</f>
        <v>695221.20500000007</v>
      </c>
      <c r="J44" s="49">
        <f>'ANÁLISIS CONSOLIDADO'!X44</f>
        <v>0.17306425374253126</v>
      </c>
      <c r="K44" s="16">
        <f>'ANÁLISIS CONSOLIDADO'!Z44</f>
        <v>378336.28877999994</v>
      </c>
      <c r="L44" s="123">
        <f t="shared" si="1"/>
        <v>0.322662422568047</v>
      </c>
      <c r="M44" s="49">
        <f t="shared" si="2"/>
        <v>0.677337577431953</v>
      </c>
      <c r="N44" s="130">
        <f t="shared" si="3"/>
        <v>480584</v>
      </c>
      <c r="O44" s="189">
        <f>MIN('ANÁLISIS CONSOLIDADO'!H44:K44)</f>
        <v>473620</v>
      </c>
      <c r="P44" s="50">
        <f>COUNTIFS('ANÁLISIS CONSOLIDADO'!H44:K44,"&gt;0",'ANÁLISIS CONSOLIDADO'!H44:K44,"&lt;="&amp;'PRECIOS UNITARIOS TECHO'!N44)</f>
        <v>1</v>
      </c>
      <c r="Q44" s="190" t="str">
        <f t="shared" si="4"/>
        <v>MAYOR RIESGO</v>
      </c>
      <c r="R44" s="51">
        <f t="shared" si="7"/>
        <v>695221.20500000007</v>
      </c>
      <c r="S44" s="190" t="s">
        <v>622</v>
      </c>
    </row>
    <row r="45" spans="1:19" ht="18" customHeight="1">
      <c r="A45" s="3">
        <v>35</v>
      </c>
      <c r="B45" s="330" t="s">
        <v>53</v>
      </c>
      <c r="C45" s="331"/>
      <c r="D45" s="331"/>
      <c r="E45" s="331"/>
      <c r="F45" s="332"/>
      <c r="G45" s="2" t="s">
        <v>54</v>
      </c>
      <c r="H45" s="129">
        <f>'ANÁLISIS CONSOLIDADO'!L45</f>
        <v>0.54288537138328596</v>
      </c>
      <c r="I45" s="16">
        <f>'ANÁLISIS CONSOLIDADO'!N45</f>
        <v>2618</v>
      </c>
      <c r="J45" s="49">
        <f>'ANÁLISIS CONSOLIDADO'!X45</f>
        <v>3.433877644564351E-2</v>
      </c>
      <c r="K45" s="16">
        <f>'ANÁLISIS CONSOLIDADO'!Z45</f>
        <v>1271.9310197152001</v>
      </c>
      <c r="L45" s="123">
        <f t="shared" si="1"/>
        <v>5.9489500872060549E-2</v>
      </c>
      <c r="M45" s="49">
        <f t="shared" si="2"/>
        <v>0.94051049912793938</v>
      </c>
      <c r="N45" s="130">
        <f t="shared" si="3"/>
        <v>1353</v>
      </c>
      <c r="O45" s="189">
        <f>MIN('ANÁLISIS CONSOLIDADO'!H45:K45)</f>
        <v>1018</v>
      </c>
      <c r="P45" s="50">
        <f>COUNTIFS('ANÁLISIS CONSOLIDADO'!H45:K45,"&gt;0",'ANÁLISIS CONSOLIDADO'!H45:K45,"&lt;="&amp;'PRECIOS UNITARIOS TECHO'!N45)</f>
        <v>1</v>
      </c>
      <c r="Q45" s="190" t="str">
        <f t="shared" si="4"/>
        <v>MAYOR RIESGO</v>
      </c>
      <c r="R45" s="51">
        <f t="shared" si="7"/>
        <v>2618</v>
      </c>
      <c r="S45" s="190" t="s">
        <v>622</v>
      </c>
    </row>
    <row r="46" spans="1:19" ht="18" customHeight="1">
      <c r="A46" s="3">
        <v>36</v>
      </c>
      <c r="B46" s="330" t="s">
        <v>55</v>
      </c>
      <c r="C46" s="331"/>
      <c r="D46" s="331"/>
      <c r="E46" s="331"/>
      <c r="F46" s="332"/>
      <c r="G46" s="2" t="s">
        <v>56</v>
      </c>
      <c r="H46" s="129">
        <f>'ANÁLISIS CONSOLIDADO'!L46</f>
        <v>0.30387213182282624</v>
      </c>
      <c r="I46" s="16">
        <f>'ANÁLISIS CONSOLIDADO'!N46</f>
        <v>5230.05</v>
      </c>
      <c r="J46" s="49">
        <f>'ANÁLISIS CONSOLIDADO'!X46</f>
        <v>0.17670127491727136</v>
      </c>
      <c r="K46" s="16">
        <f>'ANÁLISIS CONSOLIDADO'!Z46</f>
        <v>3420.3577599999999</v>
      </c>
      <c r="L46" s="123">
        <f t="shared" si="1"/>
        <v>0.36768841646045231</v>
      </c>
      <c r="M46" s="49">
        <f t="shared" si="2"/>
        <v>0.63231158353954764</v>
      </c>
      <c r="N46" s="130">
        <f t="shared" si="3"/>
        <v>4086</v>
      </c>
      <c r="O46" s="189">
        <f>MIN('ANÁLISIS CONSOLIDADO'!H46:K46)</f>
        <v>2711</v>
      </c>
      <c r="P46" s="50">
        <f>COUNTIFS('ANÁLISIS CONSOLIDADO'!H46:K46,"&gt;0",'ANÁLISIS CONSOLIDADO'!H46:K46,"&lt;="&amp;'PRECIOS UNITARIOS TECHO'!N46)</f>
        <v>1</v>
      </c>
      <c r="Q46" s="190" t="str">
        <f t="shared" si="4"/>
        <v>MAYOR RIESGO</v>
      </c>
      <c r="R46" s="51">
        <f t="shared" si="7"/>
        <v>5230.05</v>
      </c>
      <c r="S46" s="190" t="s">
        <v>622</v>
      </c>
    </row>
    <row r="47" spans="1:19" ht="18" customHeight="1">
      <c r="A47" s="3">
        <v>37</v>
      </c>
      <c r="B47" s="330" t="s">
        <v>57</v>
      </c>
      <c r="C47" s="331"/>
      <c r="D47" s="331"/>
      <c r="E47" s="331"/>
      <c r="F47" s="332"/>
      <c r="G47" s="2" t="s">
        <v>33</v>
      </c>
      <c r="H47" s="129">
        <f>'ANÁLISIS CONSOLIDADO'!L47</f>
        <v>0.34842324659697754</v>
      </c>
      <c r="I47" s="16">
        <f>'ANÁLISIS CONSOLIDADO'!N47</f>
        <v>5027.75</v>
      </c>
      <c r="J47" s="49">
        <f>'ANÁLISIS CONSOLIDADO'!X47</f>
        <v>0.14562760235962485</v>
      </c>
      <c r="K47" s="16">
        <f>'ANÁLISIS CONSOLIDADO'!Z47</f>
        <v>3772.4501999999998</v>
      </c>
      <c r="L47" s="123">
        <f t="shared" si="1"/>
        <v>0.29476237651889314</v>
      </c>
      <c r="M47" s="49">
        <f t="shared" si="2"/>
        <v>0.70523762348110686</v>
      </c>
      <c r="N47" s="130">
        <f t="shared" si="3"/>
        <v>4143</v>
      </c>
      <c r="O47" s="189">
        <f>MIN('ANÁLISIS CONSOLIDADO'!H47:K47)</f>
        <v>2968</v>
      </c>
      <c r="P47" s="50">
        <f>COUNTIFS('ANÁLISIS CONSOLIDADO'!H47:K47,"&gt;0",'ANÁLISIS CONSOLIDADO'!H47:K47,"&lt;="&amp;'PRECIOS UNITARIOS TECHO'!N47)</f>
        <v>1</v>
      </c>
      <c r="Q47" s="190" t="str">
        <f t="shared" si="4"/>
        <v>MAYOR RIESGO</v>
      </c>
      <c r="R47" s="51">
        <f t="shared" si="7"/>
        <v>5027.75</v>
      </c>
      <c r="S47" s="190" t="s">
        <v>622</v>
      </c>
    </row>
    <row r="48" spans="1:19" ht="18" customHeight="1">
      <c r="A48" s="3">
        <v>38</v>
      </c>
      <c r="B48" s="330" t="s">
        <v>58</v>
      </c>
      <c r="C48" s="331"/>
      <c r="D48" s="331"/>
      <c r="E48" s="331"/>
      <c r="F48" s="332"/>
      <c r="G48" s="2" t="s">
        <v>19</v>
      </c>
      <c r="H48" s="129">
        <f>'ANÁLISIS CONSOLIDADO'!L48</f>
        <v>0.52908547996465138</v>
      </c>
      <c r="I48" s="16">
        <f>'ANÁLISIS CONSOLIDADO'!N48</f>
        <v>4462.5</v>
      </c>
      <c r="J48" s="49">
        <f>'ANÁLISIS CONSOLIDADO'!X48</f>
        <v>0.16331166703101302</v>
      </c>
      <c r="K48" s="16">
        <f>'ANÁLISIS CONSOLIDADO'!Z48</f>
        <v>3038.2009933999998</v>
      </c>
      <c r="L48" s="123">
        <f t="shared" si="1"/>
        <v>0.23586415359974847</v>
      </c>
      <c r="M48" s="49">
        <f t="shared" si="2"/>
        <v>0.76413584640025145</v>
      </c>
      <c r="N48" s="130">
        <f t="shared" si="3"/>
        <v>3375</v>
      </c>
      <c r="O48" s="189">
        <f>MIN('ANÁLISIS CONSOLIDADO'!H48:K48)</f>
        <v>2268</v>
      </c>
      <c r="P48" s="50">
        <f>COUNTIFS('ANÁLISIS CONSOLIDADO'!H48:K48,"&gt;0",'ANÁLISIS CONSOLIDADO'!H48:K48,"&lt;="&amp;'PRECIOS UNITARIOS TECHO'!N48)</f>
        <v>1</v>
      </c>
      <c r="Q48" s="190" t="str">
        <f t="shared" si="4"/>
        <v>MAYOR RIESGO</v>
      </c>
      <c r="R48" s="51">
        <f t="shared" si="7"/>
        <v>4462.5</v>
      </c>
      <c r="S48" s="190" t="s">
        <v>622</v>
      </c>
    </row>
    <row r="49" spans="1:19" ht="18" customHeight="1">
      <c r="A49" s="3">
        <v>39</v>
      </c>
      <c r="B49" s="330" t="s">
        <v>59</v>
      </c>
      <c r="C49" s="331"/>
      <c r="D49" s="331"/>
      <c r="E49" s="331"/>
      <c r="F49" s="332"/>
      <c r="G49" s="2" t="s">
        <v>56</v>
      </c>
      <c r="H49" s="129">
        <f>'ANÁLISIS CONSOLIDADO'!L49</f>
        <v>0.68646468207531841</v>
      </c>
      <c r="I49" s="16">
        <f>'ANÁLISIS CONSOLIDADO'!N49</f>
        <v>13366</v>
      </c>
      <c r="J49" s="49">
        <f>'ANÁLISIS CONSOLIDADO'!X49</f>
        <v>0.76206005789060249</v>
      </c>
      <c r="K49" s="16">
        <f>'ANÁLISIS CONSOLIDADO'!Z49</f>
        <v>14335.223400000001</v>
      </c>
      <c r="L49" s="123">
        <f t="shared" si="1"/>
        <v>0.52609391946493878</v>
      </c>
      <c r="M49" s="49">
        <f t="shared" si="2"/>
        <v>0.47390608053506128</v>
      </c>
      <c r="N49" s="130">
        <f t="shared" si="3"/>
        <v>13826</v>
      </c>
      <c r="O49" s="189">
        <f>MIN('ANÁLISIS CONSOLIDADO'!H49:K49)</f>
        <v>6902</v>
      </c>
      <c r="P49" s="50">
        <f>COUNTIFS('ANÁLISIS CONSOLIDADO'!H49:K49,"&gt;0",'ANÁLISIS CONSOLIDADO'!H49:K49,"&lt;="&amp;'PRECIOS UNITARIOS TECHO'!N49)</f>
        <v>2</v>
      </c>
      <c r="Q49" s="190" t="str">
        <f t="shared" si="4"/>
        <v>MAYOR RIESGO</v>
      </c>
      <c r="R49" s="130">
        <f>N49</f>
        <v>13826</v>
      </c>
      <c r="S49" s="191" t="s">
        <v>623</v>
      </c>
    </row>
    <row r="50" spans="1:19" ht="18" customHeight="1">
      <c r="A50" s="3">
        <v>40</v>
      </c>
      <c r="B50" s="341" t="s">
        <v>139</v>
      </c>
      <c r="C50" s="334"/>
      <c r="D50" s="334"/>
      <c r="E50" s="334"/>
      <c r="F50" s="335"/>
      <c r="G50" s="2" t="s">
        <v>19</v>
      </c>
      <c r="H50" s="129">
        <f>'ANÁLISIS CONSOLIDADO'!L50</f>
        <v>0.59949402809968344</v>
      </c>
      <c r="I50" s="16">
        <f>'ANÁLISIS CONSOLIDADO'!N50</f>
        <v>36552.5</v>
      </c>
      <c r="J50" s="49">
        <f>'ANÁLISIS CONSOLIDADO'!X50</f>
        <v>0.18010396925287742</v>
      </c>
      <c r="K50" s="16">
        <f>'ANÁLISIS CONSOLIDADO'!Z50</f>
        <v>14505.705751200001</v>
      </c>
      <c r="L50" s="123">
        <f t="shared" si="1"/>
        <v>0.23102159044083362</v>
      </c>
      <c r="M50" s="49">
        <f t="shared" si="2"/>
        <v>0.76897840955916641</v>
      </c>
      <c r="N50" s="130">
        <f t="shared" si="3"/>
        <v>19599</v>
      </c>
      <c r="O50" s="189">
        <f>MIN('ANÁLISIS CONSOLIDADO'!H50:K50)</f>
        <v>14922.6</v>
      </c>
      <c r="P50" s="50">
        <f>COUNTIFS('ANÁLISIS CONSOLIDADO'!H50:K50,"&gt;0",'ANÁLISIS CONSOLIDADO'!H50:K50,"&lt;="&amp;'PRECIOS UNITARIOS TECHO'!N50)</f>
        <v>2</v>
      </c>
      <c r="Q50" s="190" t="str">
        <f t="shared" si="4"/>
        <v>MAYOR RIESGO</v>
      </c>
      <c r="R50" s="130">
        <f>N50</f>
        <v>19599</v>
      </c>
      <c r="S50" s="191" t="s">
        <v>623</v>
      </c>
    </row>
    <row r="51" spans="1:19" ht="18" customHeight="1">
      <c r="A51" s="3">
        <v>41</v>
      </c>
      <c r="B51" s="341" t="s">
        <v>140</v>
      </c>
      <c r="C51" s="334"/>
      <c r="D51" s="334"/>
      <c r="E51" s="334"/>
      <c r="F51" s="335"/>
      <c r="G51" s="2" t="s">
        <v>19</v>
      </c>
      <c r="H51" s="129">
        <f>'ANÁLISIS CONSOLIDADO'!L51</f>
        <v>0.6002774128887105</v>
      </c>
      <c r="I51" s="16">
        <f>'ANÁLISIS CONSOLIDADO'!N51</f>
        <v>475405</v>
      </c>
      <c r="J51" s="49">
        <f>'ANÁLISIS CONSOLIDADO'!X51</f>
        <v>0.80016897993870795</v>
      </c>
      <c r="K51" s="16">
        <f>'ANÁLISIS CONSOLIDADO'!Z51</f>
        <v>44200.228893942403</v>
      </c>
      <c r="L51" s="123">
        <f t="shared" si="1"/>
        <v>0.57136708983427353</v>
      </c>
      <c r="M51" s="49">
        <f t="shared" si="2"/>
        <v>0.42863291016572647</v>
      </c>
      <c r="N51" s="130">
        <f t="shared" si="3"/>
        <v>290577</v>
      </c>
      <c r="O51" s="189">
        <f>MIN('ANÁLISIS CONSOLIDADO'!H51:K51)</f>
        <v>156188</v>
      </c>
      <c r="P51" s="50">
        <f>COUNTIFS('ANÁLISIS CONSOLIDADO'!H51:K51,"&gt;0",'ANÁLISIS CONSOLIDADO'!H51:K51,"&lt;="&amp;'PRECIOS UNITARIOS TECHO'!N51)</f>
        <v>1</v>
      </c>
      <c r="Q51" s="190" t="str">
        <f t="shared" si="4"/>
        <v>MAYOR RIESGO</v>
      </c>
      <c r="R51" s="51">
        <f t="shared" ref="R51:R54" si="8">I51</f>
        <v>475405</v>
      </c>
      <c r="S51" s="190" t="s">
        <v>622</v>
      </c>
    </row>
    <row r="52" spans="1:19" ht="18" customHeight="1">
      <c r="A52" s="3">
        <v>42</v>
      </c>
      <c r="B52" s="330" t="s">
        <v>60</v>
      </c>
      <c r="C52" s="331"/>
      <c r="D52" s="331"/>
      <c r="E52" s="331"/>
      <c r="F52" s="332"/>
      <c r="G52" s="2" t="s">
        <v>19</v>
      </c>
      <c r="H52" s="129">
        <f>'ANÁLISIS CONSOLIDADO'!L52</f>
        <v>0.71341609762619085</v>
      </c>
      <c r="I52" s="16">
        <f>'ANÁLISIS CONSOLIDADO'!N52</f>
        <v>126406.5</v>
      </c>
      <c r="J52" s="49">
        <f>'ANÁLISIS CONSOLIDADO'!X52</f>
        <v>0.18937640310165299</v>
      </c>
      <c r="K52" s="16">
        <f>'ANÁLISIS CONSOLIDADO'!Z52</f>
        <v>44320.062229049603</v>
      </c>
      <c r="L52" s="123">
        <f t="shared" si="1"/>
        <v>0.20976736398339052</v>
      </c>
      <c r="M52" s="49">
        <f t="shared" si="2"/>
        <v>0.79023263601660942</v>
      </c>
      <c r="N52" s="130">
        <f t="shared" si="3"/>
        <v>61540</v>
      </c>
      <c r="O52" s="189">
        <f>MIN('ANÁLISIS CONSOLIDADO'!H52:K52)</f>
        <v>35688.1</v>
      </c>
      <c r="P52" s="50">
        <f>COUNTIFS('ANÁLISIS CONSOLIDADO'!H52:K52,"&gt;0",'ANÁLISIS CONSOLIDADO'!H52:K52,"&lt;="&amp;'PRECIOS UNITARIOS TECHO'!N52)</f>
        <v>1</v>
      </c>
      <c r="Q52" s="190" t="str">
        <f t="shared" si="4"/>
        <v>MAYOR RIESGO</v>
      </c>
      <c r="R52" s="51">
        <f t="shared" si="8"/>
        <v>126406.5</v>
      </c>
      <c r="S52" s="190" t="s">
        <v>622</v>
      </c>
    </row>
    <row r="53" spans="1:19" ht="18" customHeight="1">
      <c r="A53" s="3">
        <v>43</v>
      </c>
      <c r="B53" s="330" t="s">
        <v>61</v>
      </c>
      <c r="C53" s="331"/>
      <c r="D53" s="331"/>
      <c r="E53" s="331"/>
      <c r="F53" s="332"/>
      <c r="G53" s="2" t="s">
        <v>19</v>
      </c>
      <c r="H53" s="129">
        <f>'ANÁLISIS CONSOLIDADO'!L53</f>
        <v>0.31806153797248921</v>
      </c>
      <c r="I53" s="16">
        <f>'ANÁLISIS CONSOLIDADO'!N53</f>
        <v>971374.5</v>
      </c>
      <c r="J53" s="49">
        <f>'ANÁLISIS CONSOLIDADO'!X53</f>
        <v>0.16675087899237115</v>
      </c>
      <c r="K53" s="16">
        <f>'ANÁLISIS CONSOLIDADO'!Z53</f>
        <v>506549.1372629999</v>
      </c>
      <c r="L53" s="123">
        <f t="shared" si="1"/>
        <v>0.34394927431171263</v>
      </c>
      <c r="M53" s="49">
        <f t="shared" si="2"/>
        <v>0.65605072568828737</v>
      </c>
      <c r="N53" s="130">
        <f t="shared" si="3"/>
        <v>666426</v>
      </c>
      <c r="O53" s="189">
        <f>MIN('ANÁLISIS CONSOLIDADO'!H53:K53)</f>
        <v>464100</v>
      </c>
      <c r="P53" s="50">
        <f>COUNTIFS('ANÁLISIS CONSOLIDADO'!H53:K53,"&gt;0",'ANÁLISIS CONSOLIDADO'!H53:K53,"&lt;="&amp;'PRECIOS UNITARIOS TECHO'!N53)</f>
        <v>1</v>
      </c>
      <c r="Q53" s="190" t="str">
        <f t="shared" si="4"/>
        <v>MAYOR RIESGO</v>
      </c>
      <c r="R53" s="51">
        <f t="shared" si="8"/>
        <v>971374.5</v>
      </c>
      <c r="S53" s="190" t="s">
        <v>622</v>
      </c>
    </row>
    <row r="54" spans="1:19" ht="18" customHeight="1">
      <c r="A54" s="3">
        <v>44</v>
      </c>
      <c r="B54" s="330" t="s">
        <v>62</v>
      </c>
      <c r="C54" s="331"/>
      <c r="D54" s="331"/>
      <c r="E54" s="331"/>
      <c r="F54" s="332"/>
      <c r="G54" s="2" t="s">
        <v>63</v>
      </c>
      <c r="H54" s="129">
        <f>'ANÁLISIS CONSOLIDADO'!L54</f>
        <v>0.69343267882504422</v>
      </c>
      <c r="I54" s="16">
        <f>'ANÁLISIS CONSOLIDADO'!N54</f>
        <v>83300</v>
      </c>
      <c r="J54" s="49">
        <f>'ANÁLISIS CONSOLIDADO'!X54</f>
        <v>0.31933105366365111</v>
      </c>
      <c r="K54" s="16">
        <f>'ANÁLISIS CONSOLIDADO'!Z54</f>
        <v>34960.779590400009</v>
      </c>
      <c r="L54" s="123">
        <f t="shared" si="1"/>
        <v>0.31530656501585924</v>
      </c>
      <c r="M54" s="49">
        <f t="shared" si="2"/>
        <v>0.6846934349841407</v>
      </c>
      <c r="N54" s="130">
        <f t="shared" si="3"/>
        <v>50203</v>
      </c>
      <c r="O54" s="189">
        <f>MIN('ANÁLISIS CONSOLIDADO'!H54:K54)</f>
        <v>51230</v>
      </c>
      <c r="P54" s="50">
        <f>COUNTIFS('ANÁLISIS CONSOLIDADO'!H54:K54,"&gt;0",'ANÁLISIS CONSOLIDADO'!H54:K54,"&lt;="&amp;'PRECIOS UNITARIOS TECHO'!N54)</f>
        <v>0</v>
      </c>
      <c r="Q54" s="190" t="str">
        <f t="shared" si="4"/>
        <v>MAYOR RIESGO</v>
      </c>
      <c r="R54" s="51">
        <f t="shared" si="8"/>
        <v>83300</v>
      </c>
      <c r="S54" s="190" t="s">
        <v>622</v>
      </c>
    </row>
    <row r="55" spans="1:19" ht="18" customHeight="1">
      <c r="A55" s="3">
        <v>45</v>
      </c>
      <c r="B55" s="330" t="s">
        <v>64</v>
      </c>
      <c r="C55" s="331"/>
      <c r="D55" s="331"/>
      <c r="E55" s="331"/>
      <c r="F55" s="332"/>
      <c r="G55" s="2" t="s">
        <v>39</v>
      </c>
      <c r="H55" s="129">
        <f>'ANÁLISIS CONSOLIDADO'!L55</f>
        <v>0.45907004970427712</v>
      </c>
      <c r="I55" s="16">
        <f>'ANÁLISIS CONSOLIDADO'!N55</f>
        <v>5230.05</v>
      </c>
      <c r="J55" s="49">
        <f>'ANÁLISIS CONSOLIDADO'!X55</f>
        <v>0.35756802365566737</v>
      </c>
      <c r="K55" s="16">
        <f>'ANÁLISIS CONSOLIDADO'!Z55</f>
        <v>4990.3154999999988</v>
      </c>
      <c r="L55" s="123">
        <f t="shared" si="1"/>
        <v>0.43785372654069765</v>
      </c>
      <c r="M55" s="49">
        <f t="shared" si="2"/>
        <v>0.56214627345930224</v>
      </c>
      <c r="N55" s="130">
        <f t="shared" si="3"/>
        <v>5096</v>
      </c>
      <c r="O55" s="189">
        <f>MIN('ANÁLISIS CONSOLIDADO'!H55:K55)</f>
        <v>2743</v>
      </c>
      <c r="P55" s="50">
        <f>COUNTIFS('ANÁLISIS CONSOLIDADO'!H55:K55,"&gt;0",'ANÁLISIS CONSOLIDADO'!H55:K55,"&lt;="&amp;'PRECIOS UNITARIOS TECHO'!N55)</f>
        <v>2</v>
      </c>
      <c r="Q55" s="190" t="str">
        <f t="shared" si="4"/>
        <v>MAYOR RIESGO</v>
      </c>
      <c r="R55" s="130">
        <f>N55</f>
        <v>5096</v>
      </c>
      <c r="S55" s="191" t="s">
        <v>623</v>
      </c>
    </row>
    <row r="56" spans="1:19" ht="18" customHeight="1">
      <c r="A56" s="3">
        <v>46</v>
      </c>
      <c r="B56" s="330" t="s">
        <v>65</v>
      </c>
      <c r="C56" s="331"/>
      <c r="D56" s="331"/>
      <c r="E56" s="331"/>
      <c r="F56" s="332"/>
      <c r="G56" s="2" t="s">
        <v>43</v>
      </c>
      <c r="H56" s="129">
        <f>'ANÁLISIS CONSOLIDADO'!L56</f>
        <v>1.1258352874975883</v>
      </c>
      <c r="I56" s="16">
        <f>'ANÁLISIS CONSOLIDADO'!N56</f>
        <v>12197.5</v>
      </c>
      <c r="J56" s="49">
        <f>'ANÁLISIS CONSOLIDADO'!X56</f>
        <v>7.3987007387279022E-2</v>
      </c>
      <c r="K56" s="16">
        <f>'ANÁLISIS CONSOLIDADO'!Z56</f>
        <v>13051.506425600001</v>
      </c>
      <c r="L56" s="123">
        <f t="shared" si="1"/>
        <v>6.1664971306753948E-2</v>
      </c>
      <c r="M56" s="49">
        <f t="shared" si="2"/>
        <v>0.93833502869324603</v>
      </c>
      <c r="N56" s="130">
        <f t="shared" si="3"/>
        <v>12999</v>
      </c>
      <c r="O56" s="189">
        <f>MIN('ANÁLISIS CONSOLIDADO'!H56:K56)</f>
        <v>4873</v>
      </c>
      <c r="P56" s="50">
        <f>COUNTIFS('ANÁLISIS CONSOLIDADO'!H56:K56,"&gt;0",'ANÁLISIS CONSOLIDADO'!H56:K56,"&lt;="&amp;'PRECIOS UNITARIOS TECHO'!N56)</f>
        <v>3</v>
      </c>
      <c r="Q56" s="190" t="str">
        <f t="shared" si="4"/>
        <v>MENOR RIESGO</v>
      </c>
      <c r="R56" s="130">
        <f>N56</f>
        <v>12999</v>
      </c>
      <c r="S56" s="191" t="s">
        <v>623</v>
      </c>
    </row>
    <row r="57" spans="1:19" ht="18" customHeight="1">
      <c r="A57" s="3">
        <v>47</v>
      </c>
      <c r="B57" s="330" t="s">
        <v>66</v>
      </c>
      <c r="C57" s="331"/>
      <c r="D57" s="331"/>
      <c r="E57" s="331"/>
      <c r="F57" s="332"/>
      <c r="G57" s="2" t="s">
        <v>39</v>
      </c>
      <c r="H57" s="129">
        <f>'ANÁLISIS CONSOLIDADO'!L57</f>
        <v>1.4702396284109707</v>
      </c>
      <c r="I57" s="16">
        <f>'ANÁLISIS CONSOLIDADO'!N57</f>
        <v>17348.5</v>
      </c>
      <c r="J57" s="49">
        <f>'ANÁLISIS CONSOLIDADO'!X57</f>
        <v>0.1847681557536148</v>
      </c>
      <c r="K57" s="16">
        <f>'ANÁLISIS CONSOLIDADO'!Z57</f>
        <v>16049.798302409599</v>
      </c>
      <c r="L57" s="123">
        <f t="shared" si="1"/>
        <v>0.1116418650845694</v>
      </c>
      <c r="M57" s="49">
        <f t="shared" si="2"/>
        <v>0.8883581349154307</v>
      </c>
      <c r="N57" s="130">
        <f t="shared" si="3"/>
        <v>16195</v>
      </c>
      <c r="O57" s="189">
        <f>MIN('ANÁLISIS CONSOLIDADO'!H57:K57)</f>
        <v>12138</v>
      </c>
      <c r="P57" s="50">
        <f>COUNTIFS('ANÁLISIS CONSOLIDADO'!H57:K57,"&gt;0",'ANÁLISIS CONSOLIDADO'!H57:K57,"&lt;="&amp;'PRECIOS UNITARIOS TECHO'!N57)</f>
        <v>2</v>
      </c>
      <c r="Q57" s="190" t="str">
        <f t="shared" si="4"/>
        <v>MAYOR RIESGO</v>
      </c>
      <c r="R57" s="130">
        <f>N57</f>
        <v>16195</v>
      </c>
      <c r="S57" s="191" t="s">
        <v>623</v>
      </c>
    </row>
    <row r="58" spans="1:19" ht="18" customHeight="1">
      <c r="A58" s="3">
        <v>48</v>
      </c>
      <c r="B58" s="330" t="s">
        <v>67</v>
      </c>
      <c r="C58" s="331"/>
      <c r="D58" s="331"/>
      <c r="E58" s="331"/>
      <c r="F58" s="332"/>
      <c r="G58" s="2" t="s">
        <v>39</v>
      </c>
      <c r="H58" s="129">
        <f>'ANÁLISIS CONSOLIDADO'!L58</f>
        <v>1.4356902917227052</v>
      </c>
      <c r="I58" s="16">
        <f>'ANÁLISIS CONSOLIDADO'!N58</f>
        <v>20706</v>
      </c>
      <c r="J58" s="49">
        <f>'ANÁLISIS CONSOLIDADO'!X58</f>
        <v>0.19530942529644213</v>
      </c>
      <c r="K58" s="16">
        <f>'ANÁLISIS CONSOLIDADO'!Z58</f>
        <v>15171.072</v>
      </c>
      <c r="L58" s="123">
        <f t="shared" si="1"/>
        <v>0.11974828889203865</v>
      </c>
      <c r="M58" s="49">
        <f t="shared" si="2"/>
        <v>0.88025171110796141</v>
      </c>
      <c r="N58" s="130">
        <f t="shared" si="3"/>
        <v>15834</v>
      </c>
      <c r="O58" s="189">
        <f>MIN('ANÁLISIS CONSOLIDADO'!H58:K58)</f>
        <v>15556</v>
      </c>
      <c r="P58" s="50">
        <f>COUNTIFS('ANÁLISIS CONSOLIDADO'!H58:K58,"&gt;0",'ANÁLISIS CONSOLIDADO'!H58:K58,"&lt;="&amp;'PRECIOS UNITARIOS TECHO'!N58)</f>
        <v>1</v>
      </c>
      <c r="Q58" s="190" t="str">
        <f t="shared" si="4"/>
        <v>MAYOR RIESGO</v>
      </c>
      <c r="R58" s="51">
        <f>I58</f>
        <v>20706</v>
      </c>
      <c r="S58" s="190" t="s">
        <v>622</v>
      </c>
    </row>
    <row r="59" spans="1:19" ht="18" customHeight="1">
      <c r="A59" s="3">
        <v>49</v>
      </c>
      <c r="B59" s="341" t="s">
        <v>141</v>
      </c>
      <c r="C59" s="334"/>
      <c r="D59" s="334"/>
      <c r="E59" s="334"/>
      <c r="F59" s="335"/>
      <c r="G59" s="2" t="s">
        <v>68</v>
      </c>
      <c r="H59" s="129">
        <f>'ANÁLISIS CONSOLIDADO'!L59</f>
        <v>0.6018773027605433</v>
      </c>
      <c r="I59" s="16">
        <f>'ANÁLISIS CONSOLIDADO'!N59</f>
        <v>5622.75</v>
      </c>
      <c r="J59" s="49">
        <f>'ANÁLISIS CONSOLIDADO'!X59</f>
        <v>5.8469584157999029E-2</v>
      </c>
      <c r="K59" s="16">
        <f>'ANÁLISIS CONSOLIDADO'!Z59</f>
        <v>3772.4501999999998</v>
      </c>
      <c r="L59" s="123">
        <f t="shared" si="1"/>
        <v>8.8543741655000174E-2</v>
      </c>
      <c r="M59" s="49">
        <f t="shared" si="2"/>
        <v>0.91145625834499977</v>
      </c>
      <c r="N59" s="130">
        <f t="shared" si="3"/>
        <v>3937</v>
      </c>
      <c r="O59" s="189">
        <f>MIN('ANÁLISIS CONSOLIDADO'!H59:K59)</f>
        <v>2380</v>
      </c>
      <c r="P59" s="50">
        <f>COUNTIFS('ANÁLISIS CONSOLIDADO'!H59:K59,"&gt;0",'ANÁLISIS CONSOLIDADO'!H59:K59,"&lt;="&amp;'PRECIOS UNITARIOS TECHO'!N59)</f>
        <v>1</v>
      </c>
      <c r="Q59" s="190" t="str">
        <f t="shared" si="4"/>
        <v>MAYOR RIESGO</v>
      </c>
      <c r="R59" s="51">
        <f>I59</f>
        <v>5622.75</v>
      </c>
      <c r="S59" s="190" t="s">
        <v>622</v>
      </c>
    </row>
    <row r="60" spans="1:19" ht="18" customHeight="1">
      <c r="A60" s="3">
        <v>50</v>
      </c>
      <c r="B60" s="330" t="s">
        <v>69</v>
      </c>
      <c r="C60" s="331"/>
      <c r="D60" s="331"/>
      <c r="E60" s="331"/>
      <c r="F60" s="332"/>
      <c r="G60" s="2" t="s">
        <v>70</v>
      </c>
      <c r="H60" s="129">
        <f>'ANÁLISIS CONSOLIDADO'!L60</f>
        <v>0.37736288704435322</v>
      </c>
      <c r="I60" s="16">
        <f>'ANÁLISIS CONSOLIDADO'!N60</f>
        <v>5890.5</v>
      </c>
      <c r="J60" s="49">
        <f>'ANÁLISIS CONSOLIDADO'!X60</f>
        <v>0.45756910877186252</v>
      </c>
      <c r="K60" s="16">
        <f>'ANÁLISIS CONSOLIDADO'!Z60</f>
        <v>4988.164313199999</v>
      </c>
      <c r="L60" s="123">
        <f t="shared" si="1"/>
        <v>0.54803158947639863</v>
      </c>
      <c r="M60" s="49">
        <f t="shared" si="2"/>
        <v>0.45196841052360137</v>
      </c>
      <c r="N60" s="130">
        <f t="shared" si="3"/>
        <v>5483</v>
      </c>
      <c r="O60" s="189">
        <f>MIN('ANÁLISIS CONSOLIDADO'!H60:K60)</f>
        <v>2999</v>
      </c>
      <c r="P60" s="50">
        <f>COUNTIFS('ANÁLISIS CONSOLIDADO'!H60:K60,"&gt;0",'ANÁLISIS CONSOLIDADO'!H60:K60,"&lt;="&amp;'PRECIOS UNITARIOS TECHO'!N60)</f>
        <v>2</v>
      </c>
      <c r="Q60" s="190" t="str">
        <f t="shared" si="4"/>
        <v>MAYOR RIESGO</v>
      </c>
      <c r="R60" s="130">
        <f>N60</f>
        <v>5483</v>
      </c>
      <c r="S60" s="191" t="s">
        <v>623</v>
      </c>
    </row>
    <row r="61" spans="1:19" ht="18" customHeight="1">
      <c r="A61" s="3">
        <v>51</v>
      </c>
      <c r="B61" s="330" t="s">
        <v>71</v>
      </c>
      <c r="C61" s="331"/>
      <c r="D61" s="331"/>
      <c r="E61" s="331"/>
      <c r="F61" s="332"/>
      <c r="G61" s="2" t="s">
        <v>54</v>
      </c>
      <c r="H61" s="129">
        <f>'ANÁLISIS CONSOLIDADO'!L61</f>
        <v>0.79058601667353823</v>
      </c>
      <c r="I61" s="16">
        <f>'ANÁLISIS CONSOLIDADO'!N61</f>
        <v>83404</v>
      </c>
      <c r="J61" s="49">
        <f>'ANÁLISIS CONSOLIDADO'!X61</f>
        <v>0.34820864958636599</v>
      </c>
      <c r="K61" s="16">
        <f>'ANÁLISIS CONSOLIDADO'!Z61</f>
        <v>31436.856199999998</v>
      </c>
      <c r="L61" s="123">
        <f t="shared" si="1"/>
        <v>0.30576947706470486</v>
      </c>
      <c r="M61" s="49">
        <f t="shared" si="2"/>
        <v>0.69423052293529519</v>
      </c>
      <c r="N61" s="130">
        <f t="shared" si="3"/>
        <v>47327</v>
      </c>
      <c r="O61" s="189">
        <f>MIN('ANÁLISIS CONSOLIDADO'!H61:K61)</f>
        <v>35224</v>
      </c>
      <c r="P61" s="50">
        <f>COUNTIFS('ANÁLISIS CONSOLIDADO'!H61:K61,"&gt;0",'ANÁLISIS CONSOLIDADO'!H61:K61,"&lt;="&amp;'PRECIOS UNITARIOS TECHO'!N61)</f>
        <v>1</v>
      </c>
      <c r="Q61" s="190" t="str">
        <f t="shared" si="4"/>
        <v>MAYOR RIESGO</v>
      </c>
      <c r="R61" s="51">
        <f t="shared" ref="R61:R71" si="9">I61</f>
        <v>83404</v>
      </c>
      <c r="S61" s="190" t="s">
        <v>622</v>
      </c>
    </row>
    <row r="62" spans="1:19" ht="18" customHeight="1">
      <c r="A62" s="3">
        <v>52</v>
      </c>
      <c r="B62" s="341" t="s">
        <v>142</v>
      </c>
      <c r="C62" s="334"/>
      <c r="D62" s="334"/>
      <c r="E62" s="334"/>
      <c r="F62" s="335"/>
      <c r="G62" s="2" t="s">
        <v>72</v>
      </c>
      <c r="H62" s="129">
        <f>'ANÁLISIS CONSOLIDADO'!L62</f>
        <v>0.50840440329034142</v>
      </c>
      <c r="I62" s="16">
        <f>'ANÁLISIS CONSOLIDADO'!N62</f>
        <v>2796.5</v>
      </c>
      <c r="J62" s="49">
        <f>'ANÁLISIS CONSOLIDADO'!X62</f>
        <v>0.11236114885038577</v>
      </c>
      <c r="K62" s="16">
        <f>'ANÁLISIS CONSOLIDADO'!Z62</f>
        <v>1727.5154279999999</v>
      </c>
      <c r="L62" s="123">
        <f t="shared" si="1"/>
        <v>0.18100416246182677</v>
      </c>
      <c r="M62" s="49">
        <f t="shared" si="2"/>
        <v>0.81899583753817329</v>
      </c>
      <c r="N62" s="130">
        <f t="shared" si="3"/>
        <v>1922</v>
      </c>
      <c r="O62" s="189">
        <f>MIN('ANÁLISIS CONSOLIDADO'!H62:K62)</f>
        <v>1175</v>
      </c>
      <c r="P62" s="50">
        <f>COUNTIFS('ANÁLISIS CONSOLIDADO'!H62:K62,"&gt;0",'ANÁLISIS CONSOLIDADO'!H62:K62,"&lt;="&amp;'PRECIOS UNITARIOS TECHO'!N62)</f>
        <v>1</v>
      </c>
      <c r="Q62" s="190" t="str">
        <f t="shared" si="4"/>
        <v>MAYOR RIESGO</v>
      </c>
      <c r="R62" s="51">
        <f t="shared" si="9"/>
        <v>2796.5</v>
      </c>
      <c r="S62" s="190" t="s">
        <v>622</v>
      </c>
    </row>
    <row r="63" spans="1:19" ht="18" customHeight="1">
      <c r="A63" s="3">
        <v>53</v>
      </c>
      <c r="B63" s="330" t="s">
        <v>73</v>
      </c>
      <c r="C63" s="331"/>
      <c r="D63" s="331"/>
      <c r="E63" s="331"/>
      <c r="F63" s="332"/>
      <c r="G63" s="2" t="s">
        <v>19</v>
      </c>
      <c r="H63" s="129">
        <f>'ANÁLISIS CONSOLIDADO'!L63</f>
        <v>0.30692394170219456</v>
      </c>
      <c r="I63" s="16">
        <f>'ANÁLISIS CONSOLIDADO'!N63</f>
        <v>94010</v>
      </c>
      <c r="J63" s="49">
        <f>'ANÁLISIS CONSOLIDADO'!X63</f>
        <v>0.65448979387601092</v>
      </c>
      <c r="K63" s="16">
        <f>'ANÁLISIS CONSOLIDADO'!Z63</f>
        <v>29114.131911500001</v>
      </c>
      <c r="L63" s="123">
        <f t="shared" si="1"/>
        <v>0.68075769011391651</v>
      </c>
      <c r="M63" s="49">
        <f t="shared" si="2"/>
        <v>0.31924230988608343</v>
      </c>
      <c r="N63" s="130">
        <f t="shared" si="3"/>
        <v>73293</v>
      </c>
      <c r="O63" s="189">
        <f>MIN('ANÁLISIS CONSOLIDADO'!H63:K63)</f>
        <v>82779</v>
      </c>
      <c r="P63" s="50">
        <f>COUNTIFS('ANÁLISIS CONSOLIDADO'!H63:K63,"&gt;0",'ANÁLISIS CONSOLIDADO'!H63:K63,"&lt;="&amp;'PRECIOS UNITARIOS TECHO'!N63)</f>
        <v>0</v>
      </c>
      <c r="Q63" s="190" t="str">
        <f t="shared" si="4"/>
        <v>MAYOR RIESGO</v>
      </c>
      <c r="R63" s="51">
        <f t="shared" si="9"/>
        <v>94010</v>
      </c>
      <c r="S63" s="190" t="s">
        <v>622</v>
      </c>
    </row>
    <row r="64" spans="1:19" ht="18" customHeight="1">
      <c r="A64" s="3">
        <v>54</v>
      </c>
      <c r="B64" s="330" t="s">
        <v>74</v>
      </c>
      <c r="C64" s="331"/>
      <c r="D64" s="331"/>
      <c r="E64" s="331"/>
      <c r="F64" s="332"/>
      <c r="G64" s="2" t="s">
        <v>56</v>
      </c>
      <c r="H64" s="129">
        <f>'ANÁLISIS CONSOLIDADO'!L64</f>
        <v>1.0628377369909621</v>
      </c>
      <c r="I64" s="16">
        <f>'ANÁLISIS CONSOLIDADO'!N64</f>
        <v>10200</v>
      </c>
      <c r="J64" s="49">
        <f>'ANÁLISIS CONSOLIDADO'!X64</f>
        <v>0.11924003114369518</v>
      </c>
      <c r="K64" s="16">
        <f>'ANÁLISIS CONSOLIDADO'!Z64</f>
        <v>6340.2312000000002</v>
      </c>
      <c r="L64" s="123">
        <f t="shared" si="1"/>
        <v>0.10087325416149089</v>
      </c>
      <c r="M64" s="49">
        <f t="shared" si="2"/>
        <v>0.89912674583850904</v>
      </c>
      <c r="N64" s="130">
        <f t="shared" si="3"/>
        <v>6730</v>
      </c>
      <c r="O64" s="189">
        <f>MIN('ANÁLISIS CONSOLIDADO'!H64:K64)</f>
        <v>3780</v>
      </c>
      <c r="P64" s="50">
        <f>COUNTIFS('ANÁLISIS CONSOLIDADO'!H64:K64,"&gt;0",'ANÁLISIS CONSOLIDADO'!H64:K64,"&lt;="&amp;'PRECIOS UNITARIOS TECHO'!N64)</f>
        <v>2</v>
      </c>
      <c r="Q64" s="190" t="str">
        <f t="shared" si="4"/>
        <v>MAYOR RIESGO</v>
      </c>
      <c r="R64" s="130">
        <f>N64</f>
        <v>6730</v>
      </c>
      <c r="S64" s="191" t="s">
        <v>623</v>
      </c>
    </row>
    <row r="65" spans="1:19" ht="18" customHeight="1">
      <c r="A65" s="3">
        <v>55</v>
      </c>
      <c r="B65" s="330" t="s">
        <v>75</v>
      </c>
      <c r="C65" s="331"/>
      <c r="D65" s="331"/>
      <c r="E65" s="331"/>
      <c r="F65" s="332"/>
      <c r="G65" s="2" t="s">
        <v>56</v>
      </c>
      <c r="H65" s="129">
        <f>'ANÁLISIS CONSOLIDADO'!L65</f>
        <v>0.94515139285764183</v>
      </c>
      <c r="I65" s="16">
        <f>'ANÁLISIS CONSOLIDADO'!N65</f>
        <v>10500</v>
      </c>
      <c r="J65" s="49">
        <f>'ANÁLISIS CONSOLIDADO'!X65</f>
        <v>0.25382820143072499</v>
      </c>
      <c r="K65" s="16">
        <f>'ANÁLISIS CONSOLIDADO'!Z65</f>
        <v>5711.4946999999993</v>
      </c>
      <c r="L65" s="123">
        <f t="shared" si="1"/>
        <v>0.21170352076040147</v>
      </c>
      <c r="M65" s="49">
        <f t="shared" si="2"/>
        <v>0.78829647923959856</v>
      </c>
      <c r="N65" s="130">
        <f t="shared" si="3"/>
        <v>6726</v>
      </c>
      <c r="O65" s="189">
        <f>MIN('ANÁLISIS CONSOLIDADO'!H65:K65)</f>
        <v>4111</v>
      </c>
      <c r="P65" s="50">
        <f>COUNTIFS('ANÁLISIS CONSOLIDADO'!H65:K65,"&gt;0",'ANÁLISIS CONSOLIDADO'!H65:K65,"&lt;="&amp;'PRECIOS UNITARIOS TECHO'!N65)</f>
        <v>2</v>
      </c>
      <c r="Q65" s="190" t="str">
        <f t="shared" si="4"/>
        <v>MAYOR RIESGO</v>
      </c>
      <c r="R65" s="130">
        <f>N65</f>
        <v>6726</v>
      </c>
      <c r="S65" s="191" t="s">
        <v>623</v>
      </c>
    </row>
    <row r="66" spans="1:19" ht="18" customHeight="1">
      <c r="A66" s="3">
        <v>56</v>
      </c>
      <c r="B66" s="330" t="s">
        <v>76</v>
      </c>
      <c r="C66" s="331"/>
      <c r="D66" s="331"/>
      <c r="E66" s="331"/>
      <c r="F66" s="332"/>
      <c r="G66" s="2" t="s">
        <v>77</v>
      </c>
      <c r="H66" s="129">
        <f>'ANÁLISIS CONSOLIDADO'!L66</f>
        <v>0.42998417545245204</v>
      </c>
      <c r="I66" s="16">
        <f>'ANÁLISIS CONSOLIDADO'!N66</f>
        <v>22015</v>
      </c>
      <c r="J66" s="49">
        <f>'ANÁLISIS CONSOLIDADO'!X66</f>
        <v>0.10976775307186878</v>
      </c>
      <c r="K66" s="16">
        <f>'ANÁLISIS CONSOLIDADO'!Z66</f>
        <v>18760.412399999997</v>
      </c>
      <c r="L66" s="123">
        <f t="shared" si="1"/>
        <v>0.20336704191492799</v>
      </c>
      <c r="M66" s="49">
        <f t="shared" si="2"/>
        <v>0.79663295808507195</v>
      </c>
      <c r="N66" s="130">
        <f t="shared" si="3"/>
        <v>19423</v>
      </c>
      <c r="O66" s="189">
        <f>MIN('ANÁLISIS CONSOLIDADO'!H66:K66)</f>
        <v>16443</v>
      </c>
      <c r="P66" s="50">
        <f>COUNTIFS('ANÁLISIS CONSOLIDADO'!H66:K66,"&gt;0",'ANÁLISIS CONSOLIDADO'!H66:K66,"&lt;="&amp;'PRECIOS UNITARIOS TECHO'!N66)</f>
        <v>2</v>
      </c>
      <c r="Q66" s="190" t="str">
        <f t="shared" si="4"/>
        <v>MAYOR RIESGO</v>
      </c>
      <c r="R66" s="130">
        <f>N66</f>
        <v>19423</v>
      </c>
      <c r="S66" s="191" t="s">
        <v>623</v>
      </c>
    </row>
    <row r="67" spans="1:19" ht="18" customHeight="1">
      <c r="A67" s="3">
        <v>57</v>
      </c>
      <c r="B67" s="330" t="s">
        <v>78</v>
      </c>
      <c r="C67" s="331"/>
      <c r="D67" s="331"/>
      <c r="E67" s="331"/>
      <c r="F67" s="332"/>
      <c r="G67" s="2" t="s">
        <v>77</v>
      </c>
      <c r="H67" s="129">
        <f>'ANÁLISIS CONSOLIDADO'!L67</f>
        <v>0.50209502738614398</v>
      </c>
      <c r="I67" s="16">
        <f>'ANÁLISIS CONSOLIDADO'!N67</f>
        <v>22015</v>
      </c>
      <c r="J67" s="49">
        <f>'ANÁLISIS CONSOLIDADO'!X67</f>
        <v>0.59866614602637946</v>
      </c>
      <c r="K67" s="16">
        <f>'ANÁLISIS CONSOLIDADO'!Z67</f>
        <v>18377.921381439999</v>
      </c>
      <c r="L67" s="123">
        <f t="shared" si="1"/>
        <v>0.54386560907705839</v>
      </c>
      <c r="M67" s="49">
        <f t="shared" si="2"/>
        <v>0.45613439092294172</v>
      </c>
      <c r="N67" s="130">
        <f t="shared" si="3"/>
        <v>20357</v>
      </c>
      <c r="O67" s="189">
        <f>MIN('ANÁLISIS CONSOLIDADO'!H67:K67)</f>
        <v>16493</v>
      </c>
      <c r="P67" s="50">
        <f>COUNTIFS('ANÁLISIS CONSOLIDADO'!H67:K67,"&gt;0",'ANÁLISIS CONSOLIDADO'!H67:K67,"&lt;="&amp;'PRECIOS UNITARIOS TECHO'!N67)</f>
        <v>2</v>
      </c>
      <c r="Q67" s="190" t="str">
        <f t="shared" si="4"/>
        <v>MAYOR RIESGO</v>
      </c>
      <c r="R67" s="130">
        <f>N67</f>
        <v>20357</v>
      </c>
      <c r="S67" s="191" t="s">
        <v>623</v>
      </c>
    </row>
    <row r="68" spans="1:19" ht="18" customHeight="1">
      <c r="A68" s="3">
        <v>58</v>
      </c>
      <c r="B68" s="330" t="s">
        <v>79</v>
      </c>
      <c r="C68" s="331"/>
      <c r="D68" s="331"/>
      <c r="E68" s="331"/>
      <c r="F68" s="332"/>
      <c r="G68" s="2" t="s">
        <v>77</v>
      </c>
      <c r="H68" s="129">
        <f>'ANÁLISIS CONSOLIDADO'!L68</f>
        <v>0.5617968856719312</v>
      </c>
      <c r="I68" s="16">
        <f>'ANÁLISIS CONSOLIDADO'!N68</f>
        <v>27267.5</v>
      </c>
      <c r="J68" s="49">
        <f>'ANÁLISIS CONSOLIDADO'!X68</f>
        <v>0.14407063431978451</v>
      </c>
      <c r="K68" s="16">
        <f>'ANÁLISIS CONSOLIDADO'!Z68</f>
        <v>13832.234199999999</v>
      </c>
      <c r="L68" s="123">
        <f t="shared" si="1"/>
        <v>0.2041043542015864</v>
      </c>
      <c r="M68" s="49">
        <f t="shared" si="2"/>
        <v>0.79589564579841365</v>
      </c>
      <c r="N68" s="130">
        <f t="shared" si="3"/>
        <v>16575</v>
      </c>
      <c r="O68" s="189">
        <f>MIN('ANÁLISIS CONSOLIDADO'!H68:K68)</f>
        <v>18445</v>
      </c>
      <c r="P68" s="50">
        <f>COUNTIFS('ANÁLISIS CONSOLIDADO'!H68:K68,"&gt;0",'ANÁLISIS CONSOLIDADO'!H68:K68,"&lt;="&amp;'PRECIOS UNITARIOS TECHO'!N68)</f>
        <v>0</v>
      </c>
      <c r="Q68" s="190" t="str">
        <f t="shared" si="4"/>
        <v>MAYOR RIESGO</v>
      </c>
      <c r="R68" s="51">
        <f t="shared" si="9"/>
        <v>27267.5</v>
      </c>
      <c r="S68" s="190" t="s">
        <v>622</v>
      </c>
    </row>
    <row r="69" spans="1:19" ht="18" customHeight="1">
      <c r="A69" s="3">
        <v>59</v>
      </c>
      <c r="B69" s="330" t="s">
        <v>80</v>
      </c>
      <c r="C69" s="331"/>
      <c r="D69" s="331"/>
      <c r="E69" s="331"/>
      <c r="F69" s="332"/>
      <c r="G69" s="2" t="s">
        <v>77</v>
      </c>
      <c r="H69" s="129">
        <f>'ANÁLISIS CONSOLIDADO'!L69</f>
        <v>0.60019173766798639</v>
      </c>
      <c r="I69" s="16">
        <f>'ANÁLISIS CONSOLIDADO'!N69</f>
        <v>28267</v>
      </c>
      <c r="J69" s="49">
        <f>'ANÁLISIS CONSOLIDADO'!X69</f>
        <v>0.22853706800875645</v>
      </c>
      <c r="K69" s="16">
        <f>'ANÁLISIS CONSOLIDADO'!Z69</f>
        <v>13832.234199999999</v>
      </c>
      <c r="L69" s="123">
        <f t="shared" si="1"/>
        <v>0.27576822048816357</v>
      </c>
      <c r="M69" s="49">
        <f t="shared" si="2"/>
        <v>0.72423177951183648</v>
      </c>
      <c r="N69" s="130">
        <f t="shared" si="3"/>
        <v>17813</v>
      </c>
      <c r="O69" s="189">
        <f>MIN('ANÁLISIS CONSOLIDADO'!H69:K69)</f>
        <v>18445</v>
      </c>
      <c r="P69" s="50">
        <f>COUNTIFS('ANÁLISIS CONSOLIDADO'!H69:K69,"&gt;0",'ANÁLISIS CONSOLIDADO'!H69:K69,"&lt;="&amp;'PRECIOS UNITARIOS TECHO'!N69)</f>
        <v>0</v>
      </c>
      <c r="Q69" s="190" t="str">
        <f t="shared" si="4"/>
        <v>MAYOR RIESGO</v>
      </c>
      <c r="R69" s="51">
        <f t="shared" si="9"/>
        <v>28267</v>
      </c>
      <c r="S69" s="190" t="s">
        <v>622</v>
      </c>
    </row>
    <row r="70" spans="1:19" ht="18" customHeight="1">
      <c r="A70" s="3">
        <v>60</v>
      </c>
      <c r="B70" s="330" t="s">
        <v>81</v>
      </c>
      <c r="C70" s="331"/>
      <c r="D70" s="331"/>
      <c r="E70" s="331"/>
      <c r="F70" s="332"/>
      <c r="G70" s="2" t="s">
        <v>77</v>
      </c>
      <c r="H70" s="129">
        <f>'ANÁLISIS CONSOLIDADO'!L70</f>
        <v>0.42184145240636645</v>
      </c>
      <c r="I70" s="16">
        <f>'ANÁLISIS CONSOLIDADO'!N70</f>
        <v>20825</v>
      </c>
      <c r="J70" s="49">
        <f>'ANÁLISIS CONSOLIDADO'!X70</f>
        <v>0.19254750157199654</v>
      </c>
      <c r="K70" s="16">
        <f>'ANÁLISIS CONSOLIDADO'!Z70</f>
        <v>14493.338274559999</v>
      </c>
      <c r="L70" s="123">
        <f t="shared" si="1"/>
        <v>0.31339675025924618</v>
      </c>
      <c r="M70" s="49">
        <f t="shared" si="2"/>
        <v>0.68660324974075371</v>
      </c>
      <c r="N70" s="130">
        <f t="shared" si="3"/>
        <v>16478</v>
      </c>
      <c r="O70" s="189">
        <f>MIN('ANÁLISIS CONSOLIDADO'!H70:K70)</f>
        <v>15981</v>
      </c>
      <c r="P70" s="50">
        <f>COUNTIFS('ANÁLISIS CONSOLIDADO'!H70:K70,"&gt;0",'ANÁLISIS CONSOLIDADO'!H70:K70,"&lt;="&amp;'PRECIOS UNITARIOS TECHO'!N70)</f>
        <v>1</v>
      </c>
      <c r="Q70" s="190" t="str">
        <f t="shared" si="4"/>
        <v>MAYOR RIESGO</v>
      </c>
      <c r="R70" s="51">
        <f t="shared" si="9"/>
        <v>20825</v>
      </c>
      <c r="S70" s="190" t="s">
        <v>622</v>
      </c>
    </row>
    <row r="71" spans="1:19" ht="18" customHeight="1">
      <c r="A71" s="3">
        <v>61</v>
      </c>
      <c r="B71" s="330" t="s">
        <v>82</v>
      </c>
      <c r="C71" s="331"/>
      <c r="D71" s="331"/>
      <c r="E71" s="331"/>
      <c r="F71" s="332"/>
      <c r="G71" s="2" t="s">
        <v>19</v>
      </c>
      <c r="H71" s="129">
        <f>'ANÁLISIS CONSOLIDADO'!L71</f>
        <v>0.24776049161906524</v>
      </c>
      <c r="I71" s="16">
        <f>'ANÁLISIS CONSOLIDADO'!N71</f>
        <v>36830.5</v>
      </c>
      <c r="J71" s="49">
        <f>'ANÁLISIS CONSOLIDADO'!X71</f>
        <v>5.9705016189497131E-3</v>
      </c>
      <c r="K71" s="16">
        <f>'ANÁLISIS CONSOLIDADO'!Z71</f>
        <v>22735.805606399997</v>
      </c>
      <c r="L71" s="123">
        <f t="shared" si="1"/>
        <v>2.3530832961147254E-2</v>
      </c>
      <c r="M71" s="49">
        <f t="shared" si="2"/>
        <v>0.97646916703885278</v>
      </c>
      <c r="N71" s="130">
        <f t="shared" si="3"/>
        <v>23068</v>
      </c>
      <c r="O71" s="189">
        <f>MIN('ANÁLISIS CONSOLIDADO'!H71:K71)</f>
        <v>22678</v>
      </c>
      <c r="P71" s="50">
        <f>COUNTIFS('ANÁLISIS CONSOLIDADO'!H71:K71,"&gt;0",'ANÁLISIS CONSOLIDADO'!H71:K71,"&lt;="&amp;'PRECIOS UNITARIOS TECHO'!N71)</f>
        <v>1</v>
      </c>
      <c r="Q71" s="190" t="str">
        <f t="shared" si="4"/>
        <v>MAYOR RIESGO</v>
      </c>
      <c r="R71" s="51">
        <f t="shared" si="9"/>
        <v>36830.5</v>
      </c>
      <c r="S71" s="190" t="s">
        <v>622</v>
      </c>
    </row>
    <row r="72" spans="1:19" ht="18" customHeight="1">
      <c r="A72" s="3">
        <v>62</v>
      </c>
      <c r="B72" s="330" t="s">
        <v>83</v>
      </c>
      <c r="C72" s="331"/>
      <c r="D72" s="331"/>
      <c r="E72" s="331"/>
      <c r="F72" s="332"/>
      <c r="G72" s="2" t="s">
        <v>19</v>
      </c>
      <c r="H72" s="184">
        <f>'ANÁLISIS CONSOLIDADO'!L72</f>
        <v>0.27871160088714436</v>
      </c>
      <c r="I72" s="16">
        <f>'ANÁLISIS CONSOLIDADO'!N72</f>
        <v>42780.5</v>
      </c>
      <c r="J72" s="185" t="str">
        <f>'ANÁLISIS CONSOLIDADO'!X72</f>
        <v>No comparable</v>
      </c>
      <c r="K72" s="16" t="str">
        <f>'ANÁLISIS CONSOLIDADO'!Z72</f>
        <v>No comparable</v>
      </c>
      <c r="L72" s="186">
        <f>IFERROR(J72/(H72+J72),0)</f>
        <v>0</v>
      </c>
      <c r="M72" s="185">
        <f>IFERROR(H72/(H72+J72),0)</f>
        <v>0</v>
      </c>
      <c r="N72" s="130">
        <f>I72</f>
        <v>42780.5</v>
      </c>
      <c r="O72" s="189">
        <f>MIN('ANÁLISIS CONSOLIDADO'!H72:K72)</f>
        <v>31238</v>
      </c>
      <c r="P72" s="50">
        <f>COUNTIFS('ANÁLISIS CONSOLIDADO'!H72:K72,"&gt;0",'ANÁLISIS CONSOLIDADO'!H72:K72,"&lt;="&amp;'PRECIOS UNITARIOS TECHO'!N72)</f>
        <v>2</v>
      </c>
      <c r="Q72" s="190" t="str">
        <f t="shared" si="4"/>
        <v>MAYOR RIESGO</v>
      </c>
      <c r="R72" s="130">
        <f>N72</f>
        <v>42780.5</v>
      </c>
      <c r="S72" s="191" t="s">
        <v>623</v>
      </c>
    </row>
    <row r="73" spans="1:19" ht="18" customHeight="1">
      <c r="A73" s="3">
        <v>63</v>
      </c>
      <c r="B73" s="330" t="s">
        <v>84</v>
      </c>
      <c r="C73" s="331"/>
      <c r="D73" s="331"/>
      <c r="E73" s="331"/>
      <c r="F73" s="332"/>
      <c r="G73" s="2" t="s">
        <v>19</v>
      </c>
      <c r="H73" s="129">
        <f>'ANÁLISIS CONSOLIDADO'!L73</f>
        <v>0.2209837972904046</v>
      </c>
      <c r="I73" s="16">
        <f>'ANÁLISIS CONSOLIDADO'!N73</f>
        <v>69615</v>
      </c>
      <c r="J73" s="49">
        <f>'ANÁLISIS CONSOLIDADO'!X73</f>
        <v>0.11269690105112849</v>
      </c>
      <c r="K73" s="16">
        <f>'ANÁLISIS CONSOLIDADO'!Z73</f>
        <v>41648.039400000001</v>
      </c>
      <c r="L73" s="123">
        <f t="shared" si="1"/>
        <v>0.33773874728522518</v>
      </c>
      <c r="M73" s="49">
        <f t="shared" si="2"/>
        <v>0.66226125271477487</v>
      </c>
      <c r="N73" s="130">
        <f t="shared" si="3"/>
        <v>51094</v>
      </c>
      <c r="O73" s="189">
        <f>MIN('ANÁLISIS CONSOLIDADO'!H73:K73)</f>
        <v>47481</v>
      </c>
      <c r="P73" s="50">
        <f>COUNTIFS('ANÁLISIS CONSOLIDADO'!H73:K73,"&gt;0",'ANÁLISIS CONSOLIDADO'!H73:K73,"&lt;="&amp;'PRECIOS UNITARIOS TECHO'!N73)</f>
        <v>1</v>
      </c>
      <c r="Q73" s="190" t="str">
        <f t="shared" si="4"/>
        <v>MAYOR RIESGO</v>
      </c>
      <c r="R73" s="51">
        <f t="shared" ref="R73:R80" si="10">I73</f>
        <v>69615</v>
      </c>
      <c r="S73" s="190" t="s">
        <v>622</v>
      </c>
    </row>
    <row r="74" spans="1:19" ht="18" customHeight="1">
      <c r="A74" s="3">
        <v>64</v>
      </c>
      <c r="B74" s="341" t="s">
        <v>143</v>
      </c>
      <c r="C74" s="334"/>
      <c r="D74" s="334"/>
      <c r="E74" s="334"/>
      <c r="F74" s="335"/>
      <c r="G74" s="2" t="s">
        <v>77</v>
      </c>
      <c r="H74" s="129">
        <f>'ANÁLISIS CONSOLIDADO'!L74</f>
        <v>0.62012349438699332</v>
      </c>
      <c r="I74" s="16">
        <f>'ANÁLISIS CONSOLIDADO'!N74</f>
        <v>13124</v>
      </c>
      <c r="J74" s="49">
        <f>'ANÁLISIS CONSOLIDADO'!X74</f>
        <v>8.2452975965895455E-3</v>
      </c>
      <c r="K74" s="16">
        <f>'ANÁLISIS CONSOLIDADO'!Z74</f>
        <v>14460.9707</v>
      </c>
      <c r="L74" s="123">
        <f t="shared" si="1"/>
        <v>1.3121749045749819E-2</v>
      </c>
      <c r="M74" s="49">
        <f t="shared" si="2"/>
        <v>0.98687825095425019</v>
      </c>
      <c r="N74" s="130">
        <f t="shared" si="3"/>
        <v>14444</v>
      </c>
      <c r="O74" s="189">
        <f>MIN('ANÁLISIS CONSOLIDADO'!H74:K74)</f>
        <v>5950</v>
      </c>
      <c r="P74" s="50">
        <f>COUNTIFS('ANÁLISIS CONSOLIDADO'!H74:K74,"&gt;0",'ANÁLISIS CONSOLIDADO'!H74:K74,"&lt;="&amp;'PRECIOS UNITARIOS TECHO'!N74)</f>
        <v>2</v>
      </c>
      <c r="Q74" s="190" t="str">
        <f t="shared" si="4"/>
        <v>MAYOR RIESGO</v>
      </c>
      <c r="R74" s="51">
        <f t="shared" si="10"/>
        <v>13124</v>
      </c>
      <c r="S74" s="191" t="s">
        <v>623</v>
      </c>
    </row>
    <row r="75" spans="1:19" ht="18" customHeight="1">
      <c r="A75" s="3">
        <v>65</v>
      </c>
      <c r="B75" s="330" t="s">
        <v>85</v>
      </c>
      <c r="C75" s="331"/>
      <c r="D75" s="331"/>
      <c r="E75" s="331"/>
      <c r="F75" s="332"/>
      <c r="G75" s="2" t="s">
        <v>77</v>
      </c>
      <c r="H75" s="129">
        <f>'ANÁLISIS CONSOLIDADO'!L75</f>
        <v>0.77154537433832071</v>
      </c>
      <c r="I75" s="16">
        <f>'ANÁLISIS CONSOLIDADO'!N75</f>
        <v>21420</v>
      </c>
      <c r="J75" s="49">
        <f>'ANÁLISIS CONSOLIDADO'!X75</f>
        <v>3.1015361470777134E-2</v>
      </c>
      <c r="K75" s="16">
        <f>'ANÁLISIS CONSOLIDADO'!Z75</f>
        <v>14349.078687199999</v>
      </c>
      <c r="L75" s="123">
        <f t="shared" si="1"/>
        <v>3.864550069161949E-2</v>
      </c>
      <c r="M75" s="49">
        <f t="shared" si="2"/>
        <v>0.96135449930838057</v>
      </c>
      <c r="N75" s="130">
        <f t="shared" si="3"/>
        <v>14623</v>
      </c>
      <c r="O75" s="189">
        <f>MIN('ANÁLISIS CONSOLIDADO'!H75:K75)</f>
        <v>9471</v>
      </c>
      <c r="P75" s="50">
        <f>COUNTIFS('ANÁLISIS CONSOLIDADO'!H75:K75,"&gt;0",'ANÁLISIS CONSOLIDADO'!H75:K75,"&lt;="&amp;'PRECIOS UNITARIOS TECHO'!N75)</f>
        <v>1</v>
      </c>
      <c r="Q75" s="190" t="str">
        <f t="shared" si="4"/>
        <v>MAYOR RIESGO</v>
      </c>
      <c r="R75" s="51">
        <f t="shared" si="10"/>
        <v>21420</v>
      </c>
      <c r="S75" s="190" t="s">
        <v>622</v>
      </c>
    </row>
    <row r="76" spans="1:19" ht="18" customHeight="1">
      <c r="A76" s="3">
        <v>66</v>
      </c>
      <c r="B76" s="330" t="s">
        <v>86</v>
      </c>
      <c r="C76" s="331"/>
      <c r="D76" s="331"/>
      <c r="E76" s="331"/>
      <c r="F76" s="332"/>
      <c r="G76" s="2" t="s">
        <v>19</v>
      </c>
      <c r="H76" s="129">
        <f>'ANÁLISIS CONSOLIDADO'!L76</f>
        <v>0.95739950403617968</v>
      </c>
      <c r="I76" s="16">
        <f>'ANÁLISIS CONSOLIDADO'!N76</f>
        <v>1475.6</v>
      </c>
      <c r="J76" s="49">
        <f>'ANÁLISIS CONSOLIDADO'!X76</f>
        <v>1.4475162371676693</v>
      </c>
      <c r="K76" s="16">
        <f>'ANÁLISIS CONSOLIDADO'!Z76</f>
        <v>1287.0842172079999</v>
      </c>
      <c r="L76" s="123">
        <f t="shared" ref="L76:L133" si="11">IFERROR(J76/(H76+J76),0)</f>
        <v>0.6018989407267441</v>
      </c>
      <c r="M76" s="49">
        <f t="shared" ref="M76:M133" si="12">IFERROR(H76/(H76+J76),0)</f>
        <v>0.39810105927325595</v>
      </c>
      <c r="N76" s="130">
        <f t="shared" ref="N76:N132" si="13">ROUNDUP((I76*L76)+(K76*M76),0)</f>
        <v>1401</v>
      </c>
      <c r="O76" s="189">
        <f>MIN('ANÁLISIS CONSOLIDADO'!H76:K76)</f>
        <v>619</v>
      </c>
      <c r="P76" s="50">
        <f>COUNTIFS('ANÁLISIS CONSOLIDADO'!H76:K76,"&gt;0",'ANÁLISIS CONSOLIDADO'!H76:K76,"&lt;="&amp;'PRECIOS UNITARIOS TECHO'!N76)</f>
        <v>2</v>
      </c>
      <c r="Q76" s="190" t="str">
        <f t="shared" ref="Q76:Q133" si="14">IF(AND(P76&gt;=0,P76&lt;=2),"MAYOR RIESGO",IF(AND(P76&gt;=3,P76&lt;=4),"MENOR RIESGO","REVISAR"))</f>
        <v>MAYOR RIESGO</v>
      </c>
      <c r="R76" s="130">
        <f>N76</f>
        <v>1401</v>
      </c>
      <c r="S76" s="191" t="s">
        <v>623</v>
      </c>
    </row>
    <row r="77" spans="1:19" ht="18" customHeight="1">
      <c r="A77" s="3">
        <v>67</v>
      </c>
      <c r="B77" s="341" t="s">
        <v>144</v>
      </c>
      <c r="C77" s="334"/>
      <c r="D77" s="334"/>
      <c r="E77" s="334"/>
      <c r="F77" s="335"/>
      <c r="G77" s="2" t="s">
        <v>19</v>
      </c>
      <c r="H77" s="129">
        <f>'ANÁLISIS CONSOLIDADO'!L77</f>
        <v>1.1769807715517469</v>
      </c>
      <c r="I77" s="16">
        <f>'ANÁLISIS CONSOLIDADO'!N77</f>
        <v>1576.5</v>
      </c>
      <c r="J77" s="49">
        <f>'ANÁLISIS CONSOLIDADO'!X77</f>
        <v>0.19439587309752748</v>
      </c>
      <c r="K77" s="16">
        <f>'ANÁLISIS CONSOLIDADO'!Z77</f>
        <v>1257.5041999999999</v>
      </c>
      <c r="L77" s="123">
        <f t="shared" si="11"/>
        <v>0.14175235800901631</v>
      </c>
      <c r="M77" s="49">
        <f t="shared" si="12"/>
        <v>0.85824764199098369</v>
      </c>
      <c r="N77" s="130">
        <f t="shared" si="13"/>
        <v>1303</v>
      </c>
      <c r="O77" s="189">
        <f>MIN('ANÁLISIS CONSOLIDADO'!H77:K77)</f>
        <v>1011.5</v>
      </c>
      <c r="P77" s="50">
        <f>COUNTIFS('ANÁLISIS CONSOLIDADO'!H77:K77,"&gt;0",'ANÁLISIS CONSOLIDADO'!H77:K77,"&lt;="&amp;'PRECIOS UNITARIOS TECHO'!N77)</f>
        <v>1</v>
      </c>
      <c r="Q77" s="190" t="str">
        <f t="shared" si="14"/>
        <v>MAYOR RIESGO</v>
      </c>
      <c r="R77" s="51">
        <f t="shared" si="10"/>
        <v>1576.5</v>
      </c>
      <c r="S77" s="190" t="s">
        <v>622</v>
      </c>
    </row>
    <row r="78" spans="1:19" ht="18" customHeight="1">
      <c r="A78" s="3">
        <v>68</v>
      </c>
      <c r="B78" s="341" t="s">
        <v>145</v>
      </c>
      <c r="C78" s="334"/>
      <c r="D78" s="334"/>
      <c r="E78" s="334"/>
      <c r="F78" s="335"/>
      <c r="G78" s="2" t="s">
        <v>19</v>
      </c>
      <c r="H78" s="129">
        <f>'ANÁLISIS CONSOLIDADO'!L78</f>
        <v>1.1221595185485451</v>
      </c>
      <c r="I78" s="16">
        <f>'ANÁLISIS CONSOLIDADO'!N78</f>
        <v>1576.5</v>
      </c>
      <c r="J78" s="49">
        <f>'ANÁLISIS CONSOLIDADO'!X78</f>
        <v>0.12920357840200936</v>
      </c>
      <c r="K78" s="16">
        <f>'ANÁLISIS CONSOLIDADO'!Z78</f>
        <v>1305.8108505600001</v>
      </c>
      <c r="L78" s="123">
        <f t="shared" si="11"/>
        <v>0.1032502706183884</v>
      </c>
      <c r="M78" s="49">
        <f t="shared" si="12"/>
        <v>0.89674972938161157</v>
      </c>
      <c r="N78" s="130">
        <f t="shared" si="13"/>
        <v>1334</v>
      </c>
      <c r="O78" s="189">
        <f>MIN('ANÁLISIS CONSOLIDADO'!H78:K78)</f>
        <v>1071</v>
      </c>
      <c r="P78" s="50">
        <f>COUNTIFS('ANÁLISIS CONSOLIDADO'!H78:K78,"&gt;0",'ANÁLISIS CONSOLIDADO'!H78:K78,"&lt;="&amp;'PRECIOS UNITARIOS TECHO'!N78)</f>
        <v>1</v>
      </c>
      <c r="Q78" s="190" t="str">
        <f t="shared" si="14"/>
        <v>MAYOR RIESGO</v>
      </c>
      <c r="R78" s="51">
        <f t="shared" si="10"/>
        <v>1576.5</v>
      </c>
      <c r="S78" s="190" t="s">
        <v>622</v>
      </c>
    </row>
    <row r="79" spans="1:19" ht="18" customHeight="1">
      <c r="A79" s="3">
        <v>69</v>
      </c>
      <c r="B79" s="341" t="s">
        <v>146</v>
      </c>
      <c r="C79" s="334"/>
      <c r="D79" s="334"/>
      <c r="E79" s="334"/>
      <c r="F79" s="335"/>
      <c r="G79" s="2" t="s">
        <v>87</v>
      </c>
      <c r="H79" s="129">
        <f>'ANÁLISIS CONSOLIDADO'!L79</f>
        <v>0.43213642753170239</v>
      </c>
      <c r="I79" s="16">
        <f>'ANÁLISIS CONSOLIDADO'!N79</f>
        <v>5063.5</v>
      </c>
      <c r="J79" s="49">
        <f>'ANÁLISIS CONSOLIDADO'!X79</f>
        <v>0.15461005594080482</v>
      </c>
      <c r="K79" s="16">
        <f>'ANÁLISIS CONSOLIDADO'!Z79</f>
        <v>2648.9491554176002</v>
      </c>
      <c r="L79" s="123">
        <f t="shared" si="11"/>
        <v>0.26350401799732182</v>
      </c>
      <c r="M79" s="49">
        <f t="shared" si="12"/>
        <v>0.73649598200267818</v>
      </c>
      <c r="N79" s="130">
        <f t="shared" si="13"/>
        <v>3286</v>
      </c>
      <c r="O79" s="189">
        <f>MIN('ANÁLISIS CONSOLIDADO'!H79:K79)</f>
        <v>2380</v>
      </c>
      <c r="P79" s="50">
        <f>COUNTIFS('ANÁLISIS CONSOLIDADO'!H79:K79,"&gt;0",'ANÁLISIS CONSOLIDADO'!H79:K79,"&lt;="&amp;'PRECIOS UNITARIOS TECHO'!N79)</f>
        <v>1</v>
      </c>
      <c r="Q79" s="190" t="str">
        <f t="shared" si="14"/>
        <v>MAYOR RIESGO</v>
      </c>
      <c r="R79" s="51">
        <f t="shared" si="10"/>
        <v>5063.5</v>
      </c>
      <c r="S79" s="190" t="s">
        <v>622</v>
      </c>
    </row>
    <row r="80" spans="1:19" ht="18" customHeight="1">
      <c r="A80" s="3">
        <v>70</v>
      </c>
      <c r="B80" s="330" t="s">
        <v>88</v>
      </c>
      <c r="C80" s="331"/>
      <c r="D80" s="331"/>
      <c r="E80" s="331"/>
      <c r="F80" s="332"/>
      <c r="G80" s="2" t="s">
        <v>87</v>
      </c>
      <c r="H80" s="129">
        <f>'ANÁLISIS CONSOLIDADO'!L80</f>
        <v>0.6272045187365719</v>
      </c>
      <c r="I80" s="16">
        <f>'ANÁLISIS CONSOLIDADO'!N80</f>
        <v>4088</v>
      </c>
      <c r="J80" s="49">
        <f>'ANÁLISIS CONSOLIDADO'!X80</f>
        <v>0.28100787740924338</v>
      </c>
      <c r="K80" s="16">
        <f>'ANÁLISIS CONSOLIDADO'!Z80</f>
        <v>1268.9393141408</v>
      </c>
      <c r="L80" s="123">
        <f t="shared" si="11"/>
        <v>0.30940766565371458</v>
      </c>
      <c r="M80" s="49">
        <f t="shared" si="12"/>
        <v>0.69059233434628542</v>
      </c>
      <c r="N80" s="130">
        <f t="shared" si="13"/>
        <v>2142</v>
      </c>
      <c r="O80" s="189">
        <f>MIN('ANÁLISIS CONSOLIDADO'!H80:K80)</f>
        <v>1190</v>
      </c>
      <c r="P80" s="50">
        <f>COUNTIFS('ANÁLISIS CONSOLIDADO'!H80:K80,"&gt;0",'ANÁLISIS CONSOLIDADO'!H80:K80,"&lt;="&amp;'PRECIOS UNITARIOS TECHO'!N80)</f>
        <v>1</v>
      </c>
      <c r="Q80" s="190" t="str">
        <f t="shared" si="14"/>
        <v>MAYOR RIESGO</v>
      </c>
      <c r="R80" s="51">
        <f t="shared" si="10"/>
        <v>4088</v>
      </c>
      <c r="S80" s="190" t="s">
        <v>622</v>
      </c>
    </row>
    <row r="81" spans="1:19" ht="18" customHeight="1">
      <c r="A81" s="3">
        <v>71</v>
      </c>
      <c r="B81" s="341" t="s">
        <v>147</v>
      </c>
      <c r="C81" s="334"/>
      <c r="D81" s="334"/>
      <c r="E81" s="334"/>
      <c r="F81" s="335"/>
      <c r="G81" s="2" t="s">
        <v>19</v>
      </c>
      <c r="H81" s="184">
        <f>'ANÁLISIS CONSOLIDADO'!L81</f>
        <v>0.49571202163906641</v>
      </c>
      <c r="I81" s="16">
        <f>'ANÁLISIS CONSOLIDADO'!N81</f>
        <v>56153.125</v>
      </c>
      <c r="J81" s="185" t="str">
        <f>'ANÁLISIS CONSOLIDADO'!X81</f>
        <v>No comparable</v>
      </c>
      <c r="K81" s="16" t="str">
        <f>'ANÁLISIS CONSOLIDADO'!Z81</f>
        <v>No comparable</v>
      </c>
      <c r="L81" s="186">
        <f t="shared" si="11"/>
        <v>0</v>
      </c>
      <c r="M81" s="185">
        <f t="shared" si="12"/>
        <v>0</v>
      </c>
      <c r="N81" s="130">
        <f>I81</f>
        <v>56153.125</v>
      </c>
      <c r="O81" s="189">
        <f>MIN('ANÁLISIS CONSOLIDADO'!H81:K81)</f>
        <v>26061</v>
      </c>
      <c r="P81" s="50">
        <f>COUNTIFS('ANÁLISIS CONSOLIDADO'!H81:K81,"&gt;0",'ANÁLISIS CONSOLIDADO'!H81:K81,"&lt;="&amp;'PRECIOS UNITARIOS TECHO'!N81)</f>
        <v>2</v>
      </c>
      <c r="Q81" s="190" t="str">
        <f t="shared" si="14"/>
        <v>MAYOR RIESGO</v>
      </c>
      <c r="R81" s="130">
        <f>N81</f>
        <v>56153.125</v>
      </c>
      <c r="S81" s="191" t="s">
        <v>623</v>
      </c>
    </row>
    <row r="82" spans="1:19" ht="28.5" customHeight="1">
      <c r="A82" s="3">
        <v>72</v>
      </c>
      <c r="B82" s="341" t="s">
        <v>148</v>
      </c>
      <c r="C82" s="334"/>
      <c r="D82" s="334"/>
      <c r="E82" s="334"/>
      <c r="F82" s="335"/>
      <c r="G82" s="46" t="s">
        <v>149</v>
      </c>
      <c r="H82" s="129">
        <f>'ANÁLISIS CONSOLIDADO'!L82</f>
        <v>0.75779822721091683</v>
      </c>
      <c r="I82" s="16">
        <f>'ANÁLISIS CONSOLIDADO'!N82</f>
        <v>207898</v>
      </c>
      <c r="J82" s="49">
        <f>'ANÁLISIS CONSOLIDADO'!X82</f>
        <v>0.9043760651404642</v>
      </c>
      <c r="K82" s="16">
        <f>'ANÁLISIS CONSOLIDADO'!Z82</f>
        <v>132041.13180823679</v>
      </c>
      <c r="L82" s="123">
        <f t="shared" si="11"/>
        <v>0.54409219857509417</v>
      </c>
      <c r="M82" s="49">
        <f t="shared" si="12"/>
        <v>0.45590780142490583</v>
      </c>
      <c r="N82" s="130">
        <f t="shared" si="13"/>
        <v>173315</v>
      </c>
      <c r="O82" s="189">
        <f>MIN('ANÁLISIS CONSOLIDADO'!H82:K82)</f>
        <v>22610</v>
      </c>
      <c r="P82" s="50">
        <f>COUNTIFS('ANÁLISIS CONSOLIDADO'!H82:K82,"&gt;0",'ANÁLISIS CONSOLIDADO'!H82:K82,"&lt;="&amp;'PRECIOS UNITARIOS TECHO'!N82)</f>
        <v>2</v>
      </c>
      <c r="Q82" s="190" t="str">
        <f t="shared" si="14"/>
        <v>MAYOR RIESGO</v>
      </c>
      <c r="R82" s="130">
        <f>N82</f>
        <v>173315</v>
      </c>
      <c r="S82" s="191" t="s">
        <v>623</v>
      </c>
    </row>
    <row r="83" spans="1:19" ht="28.5" customHeight="1">
      <c r="A83" s="3">
        <v>73</v>
      </c>
      <c r="B83" s="341" t="s">
        <v>150</v>
      </c>
      <c r="C83" s="334"/>
      <c r="D83" s="334"/>
      <c r="E83" s="334"/>
      <c r="F83" s="335"/>
      <c r="G83" s="2" t="s">
        <v>89</v>
      </c>
      <c r="H83" s="129">
        <f>'ANÁLISIS CONSOLIDADO'!L83</f>
        <v>0.61575256136554768</v>
      </c>
      <c r="I83" s="16">
        <f>'ANÁLISIS CONSOLIDADO'!N83</f>
        <v>249931.5</v>
      </c>
      <c r="J83" s="49">
        <f>'ANÁLISIS CONSOLIDADO'!X83</f>
        <v>8.8002902615482118E-2</v>
      </c>
      <c r="K83" s="16">
        <f>'ANÁLISIS CONSOLIDADO'!Z83</f>
        <v>254735.54059298561</v>
      </c>
      <c r="L83" s="123">
        <f t="shared" si="11"/>
        <v>0.1250475585904002</v>
      </c>
      <c r="M83" s="49">
        <f t="shared" si="12"/>
        <v>0.87495244140959971</v>
      </c>
      <c r="N83" s="130">
        <f t="shared" si="13"/>
        <v>254135</v>
      </c>
      <c r="O83" s="189">
        <f>MIN('ANÁLISIS CONSOLIDADO'!H83:K83)</f>
        <v>26775</v>
      </c>
      <c r="P83" s="50">
        <f>COUNTIFS('ANÁLISIS CONSOLIDADO'!H83:K83,"&gt;0",'ANÁLISIS CONSOLIDADO'!H83:K83,"&lt;="&amp;'PRECIOS UNITARIOS TECHO'!N83)</f>
        <v>2</v>
      </c>
      <c r="Q83" s="190" t="str">
        <f t="shared" si="14"/>
        <v>MAYOR RIESGO</v>
      </c>
      <c r="R83" s="130">
        <f>N83</f>
        <v>254135</v>
      </c>
      <c r="S83" s="191" t="s">
        <v>623</v>
      </c>
    </row>
    <row r="84" spans="1:19" ht="32.25" customHeight="1">
      <c r="A84" s="3">
        <v>74</v>
      </c>
      <c r="B84" s="341" t="s">
        <v>151</v>
      </c>
      <c r="C84" s="334"/>
      <c r="D84" s="334"/>
      <c r="E84" s="334"/>
      <c r="F84" s="335"/>
      <c r="G84" s="2" t="s">
        <v>90</v>
      </c>
      <c r="H84" s="129">
        <f>'ANÁLISIS CONSOLIDADO'!L84</f>
        <v>0.33940283061385607</v>
      </c>
      <c r="I84" s="16">
        <f>'ANÁLISIS CONSOLIDADO'!N84</f>
        <v>95140.5</v>
      </c>
      <c r="J84" s="49">
        <f>'ANÁLISIS CONSOLIDADO'!X84</f>
        <v>0.21052530626786209</v>
      </c>
      <c r="K84" s="16">
        <f>'ANÁLISIS CONSOLIDADO'!Z84</f>
        <v>82727.266142390392</v>
      </c>
      <c r="L84" s="123">
        <f t="shared" si="11"/>
        <v>0.3828233038986022</v>
      </c>
      <c r="M84" s="49">
        <f t="shared" si="12"/>
        <v>0.6171766961013978</v>
      </c>
      <c r="N84" s="130">
        <f t="shared" si="13"/>
        <v>87480</v>
      </c>
      <c r="O84" s="189">
        <f>MIN('ANÁLISIS CONSOLIDADO'!H84:K84)</f>
        <v>56228</v>
      </c>
      <c r="P84" s="50">
        <f>COUNTIFS('ANÁLISIS CONSOLIDADO'!H84:K84,"&gt;0",'ANÁLISIS CONSOLIDADO'!H84:K84,"&lt;="&amp;'PRECIOS UNITARIOS TECHO'!N84)</f>
        <v>2</v>
      </c>
      <c r="Q84" s="190" t="str">
        <f t="shared" si="14"/>
        <v>MAYOR RIESGO</v>
      </c>
      <c r="R84" s="130">
        <f>N84</f>
        <v>87480</v>
      </c>
      <c r="S84" s="191" t="s">
        <v>623</v>
      </c>
    </row>
    <row r="85" spans="1:19" ht="18" customHeight="1">
      <c r="A85" s="3">
        <v>75</v>
      </c>
      <c r="B85" s="330" t="s">
        <v>91</v>
      </c>
      <c r="C85" s="331"/>
      <c r="D85" s="331"/>
      <c r="E85" s="331"/>
      <c r="F85" s="332"/>
      <c r="G85" s="2" t="s">
        <v>39</v>
      </c>
      <c r="H85" s="129">
        <f>'ANÁLISIS CONSOLIDADO'!L85</f>
        <v>0.46157790515512809</v>
      </c>
      <c r="I85" s="16">
        <f>'ANÁLISIS CONSOLIDADO'!N85</f>
        <v>71734.5</v>
      </c>
      <c r="J85" s="49">
        <f>'ANÁLISIS CONSOLIDADO'!X85</f>
        <v>0.18491154841802113</v>
      </c>
      <c r="K85" s="16">
        <f>'ANÁLISIS CONSOLIDADO'!Z85</f>
        <v>10114.048000000001</v>
      </c>
      <c r="L85" s="123">
        <f t="shared" si="11"/>
        <v>0.286024075715411</v>
      </c>
      <c r="M85" s="49">
        <f t="shared" si="12"/>
        <v>0.713975924284589</v>
      </c>
      <c r="N85" s="130">
        <f t="shared" si="13"/>
        <v>27739</v>
      </c>
      <c r="O85" s="189">
        <f>MIN('ANÁLISIS CONSOLIDADO'!H85:K85)</f>
        <v>24990</v>
      </c>
      <c r="P85" s="50">
        <f>COUNTIFS('ANÁLISIS CONSOLIDADO'!H85:K85,"&gt;0",'ANÁLISIS CONSOLIDADO'!H85:K85,"&lt;="&amp;'PRECIOS UNITARIOS TECHO'!N85)</f>
        <v>1</v>
      </c>
      <c r="Q85" s="190" t="str">
        <f t="shared" si="14"/>
        <v>MAYOR RIESGO</v>
      </c>
      <c r="R85" s="51">
        <f>I85</f>
        <v>71734.5</v>
      </c>
      <c r="S85" s="190" t="s">
        <v>622</v>
      </c>
    </row>
    <row r="86" spans="1:19" ht="18" customHeight="1">
      <c r="A86" s="3">
        <v>76</v>
      </c>
      <c r="B86" s="330" t="s">
        <v>92</v>
      </c>
      <c r="C86" s="331"/>
      <c r="D86" s="331"/>
      <c r="E86" s="331"/>
      <c r="F86" s="332"/>
      <c r="G86" s="2" t="s">
        <v>93</v>
      </c>
      <c r="H86" s="129">
        <f>'ANÁLISIS CONSOLIDADO'!L86</f>
        <v>0.8432544791619917</v>
      </c>
      <c r="I86" s="16">
        <f>'ANÁLISIS CONSOLIDADO'!N86</f>
        <v>49980</v>
      </c>
      <c r="J86" s="49">
        <f>'ANÁLISIS CONSOLIDADO'!X86</f>
        <v>8.0645420097328155E-2</v>
      </c>
      <c r="K86" s="16">
        <f>'ANÁLISIS CONSOLIDADO'!Z86</f>
        <v>28306.151230719999</v>
      </c>
      <c r="L86" s="123">
        <f t="shared" si="11"/>
        <v>8.7288049454254391E-2</v>
      </c>
      <c r="M86" s="49">
        <f t="shared" si="12"/>
        <v>0.91271195054574561</v>
      </c>
      <c r="N86" s="130">
        <f t="shared" si="13"/>
        <v>30199</v>
      </c>
      <c r="O86" s="189">
        <f>MIN('ANÁLISIS CONSOLIDADO'!H86:K86)</f>
        <v>12495</v>
      </c>
      <c r="P86" s="50">
        <f>COUNTIFS('ANÁLISIS CONSOLIDADO'!H86:K86,"&gt;0",'ANÁLISIS CONSOLIDADO'!H86:K86,"&lt;="&amp;'PRECIOS UNITARIOS TECHO'!N86)</f>
        <v>2</v>
      </c>
      <c r="Q86" s="190" t="str">
        <f t="shared" si="14"/>
        <v>MAYOR RIESGO</v>
      </c>
      <c r="R86" s="130">
        <f>N86</f>
        <v>30199</v>
      </c>
      <c r="S86" s="191" t="s">
        <v>623</v>
      </c>
    </row>
    <row r="87" spans="1:19" ht="18" customHeight="1">
      <c r="A87" s="3">
        <v>77</v>
      </c>
      <c r="B87" s="341" t="s">
        <v>152</v>
      </c>
      <c r="C87" s="334"/>
      <c r="D87" s="334"/>
      <c r="E87" s="334"/>
      <c r="F87" s="335"/>
      <c r="G87" s="2" t="s">
        <v>48</v>
      </c>
      <c r="H87" s="129">
        <f>'ANÁLISIS CONSOLIDADO'!L87</f>
        <v>0.48387899454525585</v>
      </c>
      <c r="I87" s="16">
        <f>'ANÁLISIS CONSOLIDADO'!N87</f>
        <v>94491.95</v>
      </c>
      <c r="J87" s="49">
        <f>'ANÁLISIS CONSOLIDADO'!X87</f>
        <v>0.47962559982005071</v>
      </c>
      <c r="K87" s="16">
        <f>'ANÁLISIS CONSOLIDADO'!Z87</f>
        <v>56586.316200000001</v>
      </c>
      <c r="L87" s="123">
        <f t="shared" si="11"/>
        <v>0.49779274808336177</v>
      </c>
      <c r="M87" s="49">
        <f t="shared" si="12"/>
        <v>0.50220725191663829</v>
      </c>
      <c r="N87" s="130">
        <f t="shared" si="13"/>
        <v>75456</v>
      </c>
      <c r="O87" s="189">
        <f>MIN('ANÁLISIS CONSOLIDADO'!H87:K87)</f>
        <v>75139</v>
      </c>
      <c r="P87" s="50">
        <f>COUNTIFS('ANÁLISIS CONSOLIDADO'!H87:K87,"&gt;0",'ANÁLISIS CONSOLIDADO'!H87:K87,"&lt;="&amp;'PRECIOS UNITARIOS TECHO'!N87)</f>
        <v>1</v>
      </c>
      <c r="Q87" s="190" t="str">
        <f t="shared" si="14"/>
        <v>MAYOR RIESGO</v>
      </c>
      <c r="R87" s="51">
        <f>I87</f>
        <v>94491.95</v>
      </c>
      <c r="S87" s="190" t="s">
        <v>622</v>
      </c>
    </row>
    <row r="88" spans="1:19" ht="18" customHeight="1">
      <c r="A88" s="3">
        <v>78</v>
      </c>
      <c r="B88" s="330" t="s">
        <v>94</v>
      </c>
      <c r="C88" s="331"/>
      <c r="D88" s="331"/>
      <c r="E88" s="331"/>
      <c r="F88" s="332"/>
      <c r="G88" s="2" t="s">
        <v>95</v>
      </c>
      <c r="H88" s="129">
        <f>'ANÁLISIS CONSOLIDADO'!L88</f>
        <v>1.9376402794854177</v>
      </c>
      <c r="I88" s="16">
        <f>'ANÁLISIS CONSOLIDADO'!N88</f>
        <v>575</v>
      </c>
      <c r="J88" s="49">
        <f>'ANÁLISIS CONSOLIDADO'!X88</f>
        <v>0.1095352234950227</v>
      </c>
      <c r="K88" s="16">
        <f>'ANÁLISIS CONSOLIDADO'!Z88</f>
        <v>459.332584</v>
      </c>
      <c r="L88" s="123">
        <f t="shared" si="11"/>
        <v>5.3505536450369123E-2</v>
      </c>
      <c r="M88" s="49">
        <f t="shared" si="12"/>
        <v>0.94649446354963085</v>
      </c>
      <c r="N88" s="130">
        <f t="shared" si="13"/>
        <v>466</v>
      </c>
      <c r="O88" s="189">
        <f>MIN('ANÁLISIS CONSOLIDADO'!H88:K88)</f>
        <v>210</v>
      </c>
      <c r="P88" s="50">
        <f>COUNTIFS('ANÁLISIS CONSOLIDADO'!H88:K88,"&gt;0",'ANÁLISIS CONSOLIDADO'!H88:K88,"&lt;="&amp;'PRECIOS UNITARIOS TECHO'!N88)</f>
        <v>1</v>
      </c>
      <c r="Q88" s="190" t="str">
        <f t="shared" si="14"/>
        <v>MAYOR RIESGO</v>
      </c>
      <c r="R88" s="51">
        <f>I88</f>
        <v>575</v>
      </c>
      <c r="S88" s="190" t="s">
        <v>622</v>
      </c>
    </row>
    <row r="89" spans="1:19" ht="18" customHeight="1">
      <c r="A89" s="3">
        <v>79</v>
      </c>
      <c r="B89" s="330" t="s">
        <v>96</v>
      </c>
      <c r="C89" s="331"/>
      <c r="D89" s="331"/>
      <c r="E89" s="331"/>
      <c r="F89" s="332"/>
      <c r="G89" s="2" t="s">
        <v>19</v>
      </c>
      <c r="H89" s="129">
        <f>'ANÁLISIS CONSOLIDADO'!L89</f>
        <v>0.51545871277216881</v>
      </c>
      <c r="I89" s="16">
        <f>'ANÁLISIS CONSOLIDADO'!N89</f>
        <v>5176.5</v>
      </c>
      <c r="J89" s="49">
        <f>'ANÁLISIS CONSOLIDADO'!X89</f>
        <v>0.13324850902031279</v>
      </c>
      <c r="K89" s="16">
        <f>'ANÁLISIS CONSOLIDADO'!Z89</f>
        <v>4379.4534901999996</v>
      </c>
      <c r="L89" s="123">
        <f t="shared" si="11"/>
        <v>0.20540623650238685</v>
      </c>
      <c r="M89" s="49">
        <f t="shared" si="12"/>
        <v>0.79459376349761313</v>
      </c>
      <c r="N89" s="130">
        <f t="shared" si="13"/>
        <v>4544</v>
      </c>
      <c r="O89" s="189">
        <f>MIN('ANÁLISIS CONSOLIDADO'!H89:K89)</f>
        <v>1718</v>
      </c>
      <c r="P89" s="50">
        <f>COUNTIFS('ANÁLISIS CONSOLIDADO'!H89:K89,"&gt;0",'ANÁLISIS CONSOLIDADO'!H89:K89,"&lt;="&amp;'PRECIOS UNITARIOS TECHO'!N89)</f>
        <v>2</v>
      </c>
      <c r="Q89" s="190" t="str">
        <f t="shared" si="14"/>
        <v>MAYOR RIESGO</v>
      </c>
      <c r="R89" s="130">
        <f>N89</f>
        <v>4544</v>
      </c>
      <c r="S89" s="191" t="s">
        <v>623</v>
      </c>
    </row>
    <row r="90" spans="1:19" ht="18" customHeight="1">
      <c r="A90" s="3">
        <v>80</v>
      </c>
      <c r="B90" s="330" t="s">
        <v>97</v>
      </c>
      <c r="C90" s="331"/>
      <c r="D90" s="331"/>
      <c r="E90" s="331"/>
      <c r="F90" s="332"/>
      <c r="G90" s="2" t="s">
        <v>19</v>
      </c>
      <c r="H90" s="129">
        <f>'ANÁLISIS CONSOLIDADO'!L90</f>
        <v>0.1893033781493739</v>
      </c>
      <c r="I90" s="16">
        <f>'ANÁLISIS CONSOLIDADO'!N90</f>
        <v>10077.5</v>
      </c>
      <c r="J90" s="49">
        <f>'ANÁLISIS CONSOLIDADO'!X90</f>
        <v>0.25668669100520586</v>
      </c>
      <c r="K90" s="16">
        <f>'ANÁLISIS CONSOLIDADO'!Z90</f>
        <v>5149.4087903743994</v>
      </c>
      <c r="L90" s="123">
        <f t="shared" si="11"/>
        <v>0.57554351264318959</v>
      </c>
      <c r="M90" s="49">
        <f t="shared" si="12"/>
        <v>0.42445648735681046</v>
      </c>
      <c r="N90" s="130">
        <f t="shared" si="13"/>
        <v>7986</v>
      </c>
      <c r="O90" s="189">
        <f>MIN('ANÁLISIS CONSOLIDADO'!H90:K90)</f>
        <v>8234.7999999999993</v>
      </c>
      <c r="P90" s="50">
        <f>COUNTIFS('ANÁLISIS CONSOLIDADO'!H90:K90,"&gt;0",'ANÁLISIS CONSOLIDADO'!H90:K90,"&lt;="&amp;'PRECIOS UNITARIOS TECHO'!N90)</f>
        <v>0</v>
      </c>
      <c r="Q90" s="190" t="str">
        <f t="shared" si="14"/>
        <v>MAYOR RIESGO</v>
      </c>
      <c r="R90" s="51">
        <f>I90</f>
        <v>10077.5</v>
      </c>
      <c r="S90" s="190" t="s">
        <v>622</v>
      </c>
    </row>
    <row r="91" spans="1:19" ht="18" customHeight="1">
      <c r="A91" s="3">
        <v>81</v>
      </c>
      <c r="B91" s="330" t="s">
        <v>98</v>
      </c>
      <c r="C91" s="331"/>
      <c r="D91" s="331"/>
      <c r="E91" s="331"/>
      <c r="F91" s="332"/>
      <c r="G91" s="2" t="s">
        <v>19</v>
      </c>
      <c r="H91" s="129">
        <f>'ANÁLISIS CONSOLIDADO'!L91</f>
        <v>0.52325098916624779</v>
      </c>
      <c r="I91" s="16">
        <f>'ANÁLISIS CONSOLIDADO'!N91</f>
        <v>16957.5</v>
      </c>
      <c r="J91" s="49">
        <f>'ANÁLISIS CONSOLIDADO'!X91</f>
        <v>3.4561414999111639E-2</v>
      </c>
      <c r="K91" s="16">
        <f>'ANÁLISIS CONSOLIDADO'!Z91</f>
        <v>15468.7633499648</v>
      </c>
      <c r="L91" s="123">
        <f t="shared" si="11"/>
        <v>6.1958849858896582E-2</v>
      </c>
      <c r="M91" s="49">
        <f t="shared" si="12"/>
        <v>0.93804115014110356</v>
      </c>
      <c r="N91" s="130">
        <f t="shared" si="13"/>
        <v>15562</v>
      </c>
      <c r="O91" s="189">
        <f>MIN('ANÁLISIS CONSOLIDADO'!H91:K91)</f>
        <v>10921</v>
      </c>
      <c r="P91" s="50">
        <f>COUNTIFS('ANÁLISIS CONSOLIDADO'!H91:K91,"&gt;0",'ANÁLISIS CONSOLIDADO'!H91:K91,"&lt;="&amp;'PRECIOS UNITARIOS TECHO'!N91)</f>
        <v>2</v>
      </c>
      <c r="Q91" s="190" t="str">
        <f t="shared" si="14"/>
        <v>MAYOR RIESGO</v>
      </c>
      <c r="R91" s="130">
        <f>N91</f>
        <v>15562</v>
      </c>
      <c r="S91" s="191" t="s">
        <v>623</v>
      </c>
    </row>
    <row r="92" spans="1:19" ht="27.75" customHeight="1">
      <c r="A92" s="3">
        <v>82</v>
      </c>
      <c r="B92" s="330" t="s">
        <v>99</v>
      </c>
      <c r="C92" s="331"/>
      <c r="D92" s="331"/>
      <c r="E92" s="331"/>
      <c r="F92" s="332"/>
      <c r="G92" s="2" t="s">
        <v>19</v>
      </c>
      <c r="H92" s="129">
        <f>'ANÁLISIS CONSOLIDADO'!L92</f>
        <v>0.96950545693509449</v>
      </c>
      <c r="I92" s="16">
        <f>'ANÁLISIS CONSOLIDADO'!N92</f>
        <v>117743.955</v>
      </c>
      <c r="J92" s="49">
        <f>'ANÁLISIS CONSOLIDADO'!X92</f>
        <v>0.44973238931701059</v>
      </c>
      <c r="K92" s="16">
        <f>'ANÁLISIS CONSOLIDADO'!Z92</f>
        <v>62873.681199999999</v>
      </c>
      <c r="L92" s="123">
        <f t="shared" si="11"/>
        <v>0.31688303021558711</v>
      </c>
      <c r="M92" s="49">
        <f t="shared" si="12"/>
        <v>0.68311696978441283</v>
      </c>
      <c r="N92" s="130">
        <f t="shared" si="13"/>
        <v>80262</v>
      </c>
      <c r="O92" s="189">
        <f>MIN('ANÁLISIS CONSOLIDADO'!H92:K92)</f>
        <v>89214</v>
      </c>
      <c r="P92" s="50">
        <f>COUNTIFS('ANÁLISIS CONSOLIDADO'!H92:K92,"&gt;0",'ANÁLISIS CONSOLIDADO'!H92:K92,"&lt;="&amp;'PRECIOS UNITARIOS TECHO'!N92)</f>
        <v>0</v>
      </c>
      <c r="Q92" s="190" t="str">
        <f t="shared" si="14"/>
        <v>MAYOR RIESGO</v>
      </c>
      <c r="R92" s="51">
        <f t="shared" ref="R92:R98" si="15">I92</f>
        <v>117743.955</v>
      </c>
      <c r="S92" s="190" t="s">
        <v>622</v>
      </c>
    </row>
    <row r="93" spans="1:19" ht="18" customHeight="1">
      <c r="A93" s="3">
        <v>83</v>
      </c>
      <c r="B93" s="330" t="s">
        <v>100</v>
      </c>
      <c r="C93" s="331"/>
      <c r="D93" s="331"/>
      <c r="E93" s="331"/>
      <c r="F93" s="332"/>
      <c r="G93" s="2" t="s">
        <v>19</v>
      </c>
      <c r="H93" s="129">
        <f>'ANÁLISIS CONSOLIDADO'!L93</f>
        <v>0.52962901800972972</v>
      </c>
      <c r="I93" s="16">
        <f>'ANÁLISIS CONSOLIDADO'!N93</f>
        <v>62397.65</v>
      </c>
      <c r="J93" s="49">
        <f>'ANÁLISIS CONSOLIDADO'!X93</f>
        <v>0.23675642142589831</v>
      </c>
      <c r="K93" s="16">
        <f>'ANÁLISIS CONSOLIDADO'!Z93</f>
        <v>30179.383199999997</v>
      </c>
      <c r="L93" s="123">
        <f t="shared" si="11"/>
        <v>0.30892604327170869</v>
      </c>
      <c r="M93" s="49">
        <f t="shared" si="12"/>
        <v>0.69107395672829131</v>
      </c>
      <c r="N93" s="130">
        <f t="shared" si="13"/>
        <v>40133</v>
      </c>
      <c r="O93" s="189">
        <f>MIN('ANÁLISIS CONSOLIDADO'!H93:K93)</f>
        <v>18493</v>
      </c>
      <c r="P93" s="50">
        <f>COUNTIFS('ANÁLISIS CONSOLIDADO'!H93:K93,"&gt;0",'ANÁLISIS CONSOLIDADO'!H93:K93,"&lt;="&amp;'PRECIOS UNITARIOS TECHO'!N93)</f>
        <v>1</v>
      </c>
      <c r="Q93" s="190" t="str">
        <f t="shared" si="14"/>
        <v>MAYOR RIESGO</v>
      </c>
      <c r="R93" s="51">
        <f t="shared" si="15"/>
        <v>62397.65</v>
      </c>
      <c r="S93" s="190" t="s">
        <v>622</v>
      </c>
    </row>
    <row r="94" spans="1:19" ht="18" customHeight="1">
      <c r="A94" s="3">
        <v>84</v>
      </c>
      <c r="B94" s="330" t="s">
        <v>101</v>
      </c>
      <c r="C94" s="331"/>
      <c r="D94" s="331"/>
      <c r="E94" s="331"/>
      <c r="F94" s="332"/>
      <c r="G94" s="2" t="s">
        <v>102</v>
      </c>
      <c r="H94" s="129">
        <f>'ANÁLISIS CONSOLIDADO'!L94</f>
        <v>0.88179674003295749</v>
      </c>
      <c r="I94" s="16">
        <f>'ANÁLISIS CONSOLIDADO'!N94</f>
        <v>6057.1</v>
      </c>
      <c r="J94" s="49">
        <f>'ANÁLISIS CONSOLIDADO'!X94</f>
        <v>6.5895257532071524E-2</v>
      </c>
      <c r="K94" s="16">
        <f>'ANÁLISIS CONSOLIDADO'!Z94</f>
        <v>5057.0240000000003</v>
      </c>
      <c r="L94" s="123">
        <f t="shared" si="11"/>
        <v>6.9532356188910321E-2</v>
      </c>
      <c r="M94" s="49">
        <f t="shared" si="12"/>
        <v>0.93046764381108971</v>
      </c>
      <c r="N94" s="130">
        <f t="shared" si="13"/>
        <v>5127</v>
      </c>
      <c r="O94" s="189">
        <f>MIN('ANÁLISIS CONSOLIDADO'!H94:K94)</f>
        <v>3605</v>
      </c>
      <c r="P94" s="50">
        <f>COUNTIFS('ANÁLISIS CONSOLIDADO'!H94:K94,"&gt;0",'ANÁLISIS CONSOLIDADO'!H94:K94,"&lt;="&amp;'PRECIOS UNITARIOS TECHO'!N94)</f>
        <v>1</v>
      </c>
      <c r="Q94" s="190" t="str">
        <f t="shared" si="14"/>
        <v>MAYOR RIESGO</v>
      </c>
      <c r="R94" s="51">
        <f t="shared" si="15"/>
        <v>6057.1</v>
      </c>
      <c r="S94" s="190" t="s">
        <v>622</v>
      </c>
    </row>
    <row r="95" spans="1:19" ht="18" customHeight="1">
      <c r="A95" s="3">
        <v>85</v>
      </c>
      <c r="B95" s="330" t="s">
        <v>103</v>
      </c>
      <c r="C95" s="331"/>
      <c r="D95" s="331"/>
      <c r="E95" s="331"/>
      <c r="F95" s="332"/>
      <c r="G95" s="2" t="s">
        <v>102</v>
      </c>
      <c r="H95" s="129">
        <f>'ANÁLISIS CONSOLIDADO'!L95</f>
        <v>1.0837663831499826</v>
      </c>
      <c r="I95" s="16">
        <f>'ANÁLISIS CONSOLIDADO'!N95</f>
        <v>6057.1</v>
      </c>
      <c r="J95" s="49">
        <f>'ANÁLISIS CONSOLIDADO'!X95</f>
        <v>6.5895257532071524E-2</v>
      </c>
      <c r="K95" s="16">
        <f>'ANÁLISIS CONSOLIDADO'!Z95</f>
        <v>5057.0240000000003</v>
      </c>
      <c r="L95" s="123">
        <f t="shared" si="11"/>
        <v>5.7317088089481848E-2</v>
      </c>
      <c r="M95" s="49">
        <f t="shared" si="12"/>
        <v>0.94268291191051823</v>
      </c>
      <c r="N95" s="130">
        <f t="shared" si="13"/>
        <v>5115</v>
      </c>
      <c r="O95" s="189">
        <f>MIN('ANÁLISIS CONSOLIDADO'!H95:K95)</f>
        <v>3605</v>
      </c>
      <c r="P95" s="50">
        <f>COUNTIFS('ANÁLISIS CONSOLIDADO'!H95:K95,"&gt;0",'ANÁLISIS CONSOLIDADO'!H95:K95,"&lt;="&amp;'PRECIOS UNITARIOS TECHO'!N95)</f>
        <v>1</v>
      </c>
      <c r="Q95" s="190" t="str">
        <f t="shared" si="14"/>
        <v>MAYOR RIESGO</v>
      </c>
      <c r="R95" s="51">
        <f t="shared" si="15"/>
        <v>6057.1</v>
      </c>
      <c r="S95" s="190" t="s">
        <v>622</v>
      </c>
    </row>
    <row r="96" spans="1:19" ht="18" customHeight="1">
      <c r="A96" s="3">
        <v>86</v>
      </c>
      <c r="B96" s="330" t="s">
        <v>104</v>
      </c>
      <c r="C96" s="331"/>
      <c r="D96" s="331"/>
      <c r="E96" s="331"/>
      <c r="F96" s="332"/>
      <c r="G96" s="2" t="s">
        <v>102</v>
      </c>
      <c r="H96" s="129">
        <f>'ANÁLISIS CONSOLIDADO'!L96</f>
        <v>0.17829719664556581</v>
      </c>
      <c r="I96" s="16">
        <f>'ANÁLISIS CONSOLIDADO'!N96</f>
        <v>29869</v>
      </c>
      <c r="J96" s="49">
        <f>'ANÁLISIS CONSOLIDADO'!X96</f>
        <v>0.15076284730866255</v>
      </c>
      <c r="K96" s="16">
        <f>'ANÁLISIS CONSOLIDADO'!Z96</f>
        <v>21377.072199999999</v>
      </c>
      <c r="L96" s="123">
        <f t="shared" si="11"/>
        <v>0.45816211988847044</v>
      </c>
      <c r="M96" s="49">
        <f t="shared" si="12"/>
        <v>0.54183788011152945</v>
      </c>
      <c r="N96" s="130">
        <f t="shared" si="13"/>
        <v>25268</v>
      </c>
      <c r="O96" s="189">
        <f>MIN('ANÁLISIS CONSOLIDADO'!H96:K96)</f>
        <v>22978</v>
      </c>
      <c r="P96" s="50">
        <f>COUNTIFS('ANÁLISIS CONSOLIDADO'!H96:K96,"&gt;0",'ANÁLISIS CONSOLIDADO'!H96:K96,"&lt;="&amp;'PRECIOS UNITARIOS TECHO'!N96)</f>
        <v>1</v>
      </c>
      <c r="Q96" s="190" t="str">
        <f t="shared" si="14"/>
        <v>MAYOR RIESGO</v>
      </c>
      <c r="R96" s="51">
        <f t="shared" si="15"/>
        <v>29869</v>
      </c>
      <c r="S96" s="190" t="s">
        <v>622</v>
      </c>
    </row>
    <row r="97" spans="1:19" ht="18" customHeight="1">
      <c r="A97" s="3">
        <v>87</v>
      </c>
      <c r="B97" s="330" t="s">
        <v>105</v>
      </c>
      <c r="C97" s="331"/>
      <c r="D97" s="331"/>
      <c r="E97" s="331"/>
      <c r="F97" s="332"/>
      <c r="G97" s="2" t="s">
        <v>102</v>
      </c>
      <c r="H97" s="129">
        <f>'ANÁLISIS CONSOLIDADO'!L97</f>
        <v>0.51436421110175301</v>
      </c>
      <c r="I97" s="16">
        <f>'ANÁLISIS CONSOLIDADO'!N97</f>
        <v>21122.5</v>
      </c>
      <c r="J97" s="49">
        <f>'ANÁLISIS CONSOLIDADO'!X97</f>
        <v>0.16617143352959532</v>
      </c>
      <c r="K97" s="16">
        <f>'ANÁLISIS CONSOLIDADO'!Z97</f>
        <v>18233.3897</v>
      </c>
      <c r="L97" s="123">
        <f t="shared" si="11"/>
        <v>0.2441774135425511</v>
      </c>
      <c r="M97" s="49">
        <f t="shared" si="12"/>
        <v>0.75582258645744893</v>
      </c>
      <c r="N97" s="130">
        <f t="shared" si="13"/>
        <v>18939</v>
      </c>
      <c r="O97" s="189">
        <f>MIN('ANÁLISIS CONSOLIDADO'!H97:K97)</f>
        <v>15819</v>
      </c>
      <c r="P97" s="50">
        <f>COUNTIFS('ANÁLISIS CONSOLIDADO'!H97:K97,"&gt;0",'ANÁLISIS CONSOLIDADO'!H97:K97,"&lt;="&amp;'PRECIOS UNITARIOS TECHO'!N97)</f>
        <v>1</v>
      </c>
      <c r="Q97" s="190" t="str">
        <f t="shared" si="14"/>
        <v>MAYOR RIESGO</v>
      </c>
      <c r="R97" s="51">
        <f t="shared" si="15"/>
        <v>21122.5</v>
      </c>
      <c r="S97" s="190" t="s">
        <v>622</v>
      </c>
    </row>
    <row r="98" spans="1:19" ht="18" customHeight="1">
      <c r="A98" s="3">
        <v>88</v>
      </c>
      <c r="B98" s="330" t="s">
        <v>106</v>
      </c>
      <c r="C98" s="331"/>
      <c r="D98" s="331"/>
      <c r="E98" s="331"/>
      <c r="F98" s="332"/>
      <c r="G98" s="2" t="s">
        <v>102</v>
      </c>
      <c r="H98" s="129">
        <f>'ANÁLISIS CONSOLIDADO'!L98</f>
        <v>0.44432054107290175</v>
      </c>
      <c r="I98" s="16">
        <f>'ANÁLISIS CONSOLIDADO'!N98</f>
        <v>25585</v>
      </c>
      <c r="J98" s="49">
        <f>'ANÁLISIS CONSOLIDADO'!X98</f>
        <v>0.42352513602248099</v>
      </c>
      <c r="K98" s="16">
        <f>'ANÁLISIS CONSOLIDADO'!Z98</f>
        <v>10059.815200000001</v>
      </c>
      <c r="L98" s="123">
        <f t="shared" si="11"/>
        <v>0.48801894991283384</v>
      </c>
      <c r="M98" s="49">
        <f t="shared" si="12"/>
        <v>0.5119810500871661</v>
      </c>
      <c r="N98" s="130">
        <f t="shared" si="13"/>
        <v>17637</v>
      </c>
      <c r="O98" s="189">
        <f>MIN('ANÁLISIS CONSOLIDADO'!H98:K98)</f>
        <v>18743</v>
      </c>
      <c r="P98" s="50">
        <f>COUNTIFS('ANÁLISIS CONSOLIDADO'!H98:K98,"&gt;0",'ANÁLISIS CONSOLIDADO'!H98:K98,"&lt;="&amp;'PRECIOS UNITARIOS TECHO'!N98)</f>
        <v>0</v>
      </c>
      <c r="Q98" s="190" t="str">
        <f t="shared" si="14"/>
        <v>MAYOR RIESGO</v>
      </c>
      <c r="R98" s="51">
        <f t="shared" si="15"/>
        <v>25585</v>
      </c>
      <c r="S98" s="190" t="s">
        <v>622</v>
      </c>
    </row>
    <row r="99" spans="1:19" ht="18" customHeight="1">
      <c r="A99" s="3">
        <v>89</v>
      </c>
      <c r="B99" s="330" t="s">
        <v>107</v>
      </c>
      <c r="C99" s="331"/>
      <c r="D99" s="331"/>
      <c r="E99" s="331"/>
      <c r="F99" s="332"/>
      <c r="G99" s="2" t="s">
        <v>19</v>
      </c>
      <c r="H99" s="129">
        <f>'ANÁLISIS CONSOLIDADO'!L99</f>
        <v>0.74743938508147878</v>
      </c>
      <c r="I99" s="16">
        <f>'ANÁLISIS CONSOLIDADO'!N99</f>
        <v>1636.25</v>
      </c>
      <c r="J99" s="49">
        <f>'ANÁLISIS CONSOLIDADO'!X99</f>
        <v>0.64824019410999922</v>
      </c>
      <c r="K99" s="16">
        <f>'ANÁLISIS CONSOLIDADO'!Z99</f>
        <v>1490.3454497568</v>
      </c>
      <c r="L99" s="123">
        <f t="shared" si="11"/>
        <v>0.46446204685858267</v>
      </c>
      <c r="M99" s="49">
        <f t="shared" si="12"/>
        <v>0.53553795314141728</v>
      </c>
      <c r="N99" s="130">
        <f t="shared" si="13"/>
        <v>1559</v>
      </c>
      <c r="O99" s="189">
        <f>MIN('ANÁLISIS CONSOLIDADO'!H99:K99)</f>
        <v>312</v>
      </c>
      <c r="P99" s="50">
        <f>COUNTIFS('ANÁLISIS CONSOLIDADO'!H99:K99,"&gt;0",'ANÁLISIS CONSOLIDADO'!H99:K99,"&lt;="&amp;'PRECIOS UNITARIOS TECHO'!N99)</f>
        <v>2</v>
      </c>
      <c r="Q99" s="190" t="str">
        <f t="shared" si="14"/>
        <v>MAYOR RIESGO</v>
      </c>
      <c r="R99" s="130">
        <f>N99</f>
        <v>1559</v>
      </c>
      <c r="S99" s="191" t="s">
        <v>623</v>
      </c>
    </row>
    <row r="100" spans="1:19" ht="18" customHeight="1">
      <c r="A100" s="3">
        <v>90</v>
      </c>
      <c r="B100" s="330" t="s">
        <v>108</v>
      </c>
      <c r="C100" s="331"/>
      <c r="D100" s="331"/>
      <c r="E100" s="331"/>
      <c r="F100" s="332"/>
      <c r="G100" s="2" t="s">
        <v>19</v>
      </c>
      <c r="H100" s="129">
        <f>'ANÁLISIS CONSOLIDADO'!L100</f>
        <v>1.1769016325941444</v>
      </c>
      <c r="I100" s="16">
        <f>'ANÁLISIS CONSOLIDADO'!N100</f>
        <v>2076.5500000000002</v>
      </c>
      <c r="J100" s="49">
        <f>'ANÁLISIS CONSOLIDADO'!X100</f>
        <v>0.31392080590985949</v>
      </c>
      <c r="K100" s="16">
        <f>'ANÁLISIS CONSOLIDADO'!Z100</f>
        <v>1634.7460999999998</v>
      </c>
      <c r="L100" s="123">
        <f t="shared" si="11"/>
        <v>0.21056887648194356</v>
      </c>
      <c r="M100" s="49">
        <f t="shared" si="12"/>
        <v>0.78943112351805644</v>
      </c>
      <c r="N100" s="130">
        <f t="shared" si="13"/>
        <v>1728</v>
      </c>
      <c r="O100" s="189">
        <f>MIN('ANÁLISIS CONSOLIDADO'!H100:K100)</f>
        <v>1206</v>
      </c>
      <c r="P100" s="50">
        <f>COUNTIFS('ANÁLISIS CONSOLIDADO'!H100:K100,"&gt;0",'ANÁLISIS CONSOLIDADO'!H100:K100,"&lt;="&amp;'PRECIOS UNITARIOS TECHO'!N100)</f>
        <v>2</v>
      </c>
      <c r="Q100" s="190" t="str">
        <f t="shared" si="14"/>
        <v>MAYOR RIESGO</v>
      </c>
      <c r="R100" s="130">
        <f>N100</f>
        <v>1728</v>
      </c>
      <c r="S100" s="191" t="s">
        <v>623</v>
      </c>
    </row>
    <row r="101" spans="1:19" ht="18" customHeight="1">
      <c r="A101" s="3">
        <v>91</v>
      </c>
      <c r="B101" s="341" t="s">
        <v>153</v>
      </c>
      <c r="C101" s="334"/>
      <c r="D101" s="334"/>
      <c r="E101" s="334"/>
      <c r="F101" s="335"/>
      <c r="G101" s="2" t="s">
        <v>19</v>
      </c>
      <c r="H101" s="129">
        <f>'ANÁLISIS CONSOLIDADO'!L101</f>
        <v>1.1950940160770163</v>
      </c>
      <c r="I101" s="16">
        <f>'ANÁLISIS CONSOLIDADO'!N101</f>
        <v>2112.25</v>
      </c>
      <c r="J101" s="49">
        <f>'ANÁLISIS CONSOLIDADO'!X101</f>
        <v>0.25425979995182368</v>
      </c>
      <c r="K101" s="16">
        <f>'ANÁLISIS CONSOLIDADO'!Z101</f>
        <v>1760.4933999999998</v>
      </c>
      <c r="L101" s="123">
        <f t="shared" si="11"/>
        <v>0.17542976541675886</v>
      </c>
      <c r="M101" s="49">
        <f t="shared" si="12"/>
        <v>0.82457023458324108</v>
      </c>
      <c r="N101" s="130">
        <f t="shared" si="13"/>
        <v>1823</v>
      </c>
      <c r="O101" s="189">
        <f>MIN('ANÁLISIS CONSOLIDADO'!H101:K101)</f>
        <v>1262</v>
      </c>
      <c r="P101" s="50">
        <f>COUNTIFS('ANÁLISIS CONSOLIDADO'!H101:K101,"&gt;0",'ANÁLISIS CONSOLIDADO'!H101:K101,"&lt;="&amp;'PRECIOS UNITARIOS TECHO'!N101)</f>
        <v>2</v>
      </c>
      <c r="Q101" s="190" t="str">
        <f t="shared" si="14"/>
        <v>MAYOR RIESGO</v>
      </c>
      <c r="R101" s="130">
        <f>N101</f>
        <v>1823</v>
      </c>
      <c r="S101" s="191" t="s">
        <v>623</v>
      </c>
    </row>
    <row r="102" spans="1:19" ht="18" customHeight="1">
      <c r="A102" s="3">
        <v>92</v>
      </c>
      <c r="B102" s="330" t="s">
        <v>109</v>
      </c>
      <c r="C102" s="331"/>
      <c r="D102" s="331"/>
      <c r="E102" s="331"/>
      <c r="F102" s="332"/>
      <c r="G102" s="2" t="s">
        <v>19</v>
      </c>
      <c r="H102" s="129">
        <f>'ANÁLISIS CONSOLIDADO'!L102</f>
        <v>1.2094109384796654</v>
      </c>
      <c r="I102" s="16">
        <f>'ANÁLISIS CONSOLIDADO'!N102</f>
        <v>1184.05</v>
      </c>
      <c r="J102" s="49">
        <f>'ANÁLISIS CONSOLIDADO'!X102</f>
        <v>0.27616011928575823</v>
      </c>
      <c r="K102" s="16">
        <f>'ANÁLISIS CONSOLIDADO'!Z102</f>
        <v>991.20420844</v>
      </c>
      <c r="L102" s="123">
        <f t="shared" si="11"/>
        <v>0.18589492427319809</v>
      </c>
      <c r="M102" s="49">
        <f t="shared" si="12"/>
        <v>0.8141050757268018</v>
      </c>
      <c r="N102" s="130">
        <f t="shared" si="13"/>
        <v>1028</v>
      </c>
      <c r="O102" s="189">
        <f>MIN('ANÁLISIS CONSOLIDADO'!H102:K102)</f>
        <v>481</v>
      </c>
      <c r="P102" s="50">
        <f>COUNTIFS('ANÁLISIS CONSOLIDADO'!H102:K102,"&gt;0",'ANÁLISIS CONSOLIDADO'!H102:K102,"&lt;="&amp;'PRECIOS UNITARIOS TECHO'!N102)</f>
        <v>1</v>
      </c>
      <c r="Q102" s="190" t="str">
        <f t="shared" si="14"/>
        <v>MAYOR RIESGO</v>
      </c>
      <c r="R102" s="51">
        <f>I102</f>
        <v>1184.05</v>
      </c>
      <c r="S102" s="190" t="s">
        <v>622</v>
      </c>
    </row>
    <row r="103" spans="1:19" ht="18" customHeight="1">
      <c r="A103" s="3">
        <v>93</v>
      </c>
      <c r="B103" s="330" t="s">
        <v>110</v>
      </c>
      <c r="C103" s="331"/>
      <c r="D103" s="331"/>
      <c r="E103" s="331"/>
      <c r="F103" s="332"/>
      <c r="G103" s="2" t="s">
        <v>77</v>
      </c>
      <c r="H103" s="129">
        <f>'ANÁLISIS CONSOLIDADO'!L103</f>
        <v>0.66565802726452616</v>
      </c>
      <c r="I103" s="16">
        <f>'ANÁLISIS CONSOLIDADO'!N103</f>
        <v>18162.5</v>
      </c>
      <c r="J103" s="49">
        <f>'ANÁLISIS CONSOLIDADO'!X103</f>
        <v>1.0042366361187943E-2</v>
      </c>
      <c r="K103" s="16">
        <f>'ANÁLISIS CONSOLIDADO'!Z103</f>
        <v>14460.9707</v>
      </c>
      <c r="L103" s="123">
        <f t="shared" si="11"/>
        <v>1.4862158518662398E-2</v>
      </c>
      <c r="M103" s="49">
        <f t="shared" si="12"/>
        <v>0.98513784148133765</v>
      </c>
      <c r="N103" s="130">
        <f t="shared" si="13"/>
        <v>14516</v>
      </c>
      <c r="O103" s="189">
        <f>MIN('ANÁLISIS CONSOLIDADO'!H103:K103)</f>
        <v>1963.5</v>
      </c>
      <c r="P103" s="50">
        <f>COUNTIFS('ANÁLISIS CONSOLIDADO'!H103:K103,"&gt;0",'ANÁLISIS CONSOLIDADO'!H103:K103,"&lt;="&amp;'PRECIOS UNITARIOS TECHO'!N103)</f>
        <v>2</v>
      </c>
      <c r="Q103" s="190" t="str">
        <f t="shared" si="14"/>
        <v>MAYOR RIESGO</v>
      </c>
      <c r="R103" s="130">
        <f>N103</f>
        <v>14516</v>
      </c>
      <c r="S103" s="191" t="s">
        <v>623</v>
      </c>
    </row>
    <row r="104" spans="1:19" ht="18" customHeight="1">
      <c r="A104" s="3">
        <v>94</v>
      </c>
      <c r="B104" s="330" t="s">
        <v>111</v>
      </c>
      <c r="C104" s="331"/>
      <c r="D104" s="331"/>
      <c r="E104" s="331"/>
      <c r="F104" s="332"/>
      <c r="G104" s="2" t="s">
        <v>19</v>
      </c>
      <c r="H104" s="129">
        <f>'ANÁLISIS CONSOLIDADO'!L104</f>
        <v>0.70292969047131504</v>
      </c>
      <c r="I104" s="16">
        <f>'ANÁLISIS CONSOLIDADO'!N104</f>
        <v>27358.1</v>
      </c>
      <c r="J104" s="49">
        <f>'ANÁLISIS CONSOLIDADO'!X104</f>
        <v>8.2286747988950693E-2</v>
      </c>
      <c r="K104" s="16">
        <f>'ANÁLISIS CONSOLIDADO'!Z104</f>
        <v>10172.8711160896</v>
      </c>
      <c r="L104" s="123">
        <f t="shared" si="11"/>
        <v>0.10479498894636888</v>
      </c>
      <c r="M104" s="49">
        <f t="shared" si="12"/>
        <v>0.89520501105363104</v>
      </c>
      <c r="N104" s="130">
        <f t="shared" si="13"/>
        <v>11974</v>
      </c>
      <c r="O104" s="189">
        <f>MIN('ANÁLISIS CONSOLIDADO'!H104:K104)</f>
        <v>10308</v>
      </c>
      <c r="P104" s="50">
        <f>COUNTIFS('ANÁLISIS CONSOLIDADO'!H104:K104,"&gt;0",'ANÁLISIS CONSOLIDADO'!H104:K104,"&lt;="&amp;'PRECIOS UNITARIOS TECHO'!N104)</f>
        <v>2</v>
      </c>
      <c r="Q104" s="190" t="str">
        <f t="shared" si="14"/>
        <v>MAYOR RIESGO</v>
      </c>
      <c r="R104" s="130">
        <f>N104</f>
        <v>11974</v>
      </c>
      <c r="S104" s="191" t="s">
        <v>623</v>
      </c>
    </row>
    <row r="105" spans="1:19" ht="27.75" customHeight="1">
      <c r="A105" s="3">
        <v>95</v>
      </c>
      <c r="B105" s="341" t="s">
        <v>154</v>
      </c>
      <c r="C105" s="334"/>
      <c r="D105" s="334"/>
      <c r="E105" s="334"/>
      <c r="F105" s="335"/>
      <c r="G105" s="2" t="s">
        <v>19</v>
      </c>
      <c r="H105" s="129">
        <f>'ANÁLISIS CONSOLIDADO'!L105</f>
        <v>0.3317058197090495</v>
      </c>
      <c r="I105" s="16">
        <f>'ANÁLISIS CONSOLIDADO'!N105</f>
        <v>2850.05</v>
      </c>
      <c r="J105" s="49">
        <f>'ANÁLISIS CONSOLIDADO'!X105</f>
        <v>8.2462543065346464E-2</v>
      </c>
      <c r="K105" s="16">
        <f>'ANÁLISIS CONSOLIDADO'!Z105</f>
        <v>2502.40247</v>
      </c>
      <c r="L105" s="123">
        <f t="shared" si="11"/>
        <v>0.19910391637099792</v>
      </c>
      <c r="M105" s="49">
        <f t="shared" si="12"/>
        <v>0.80089608362900211</v>
      </c>
      <c r="N105" s="130">
        <f t="shared" si="13"/>
        <v>2572</v>
      </c>
      <c r="O105" s="189">
        <f>MIN('ANÁLISIS CONSOLIDADO'!H105:K105)</f>
        <v>1587</v>
      </c>
      <c r="P105" s="50">
        <f>COUNTIFS('ANÁLISIS CONSOLIDADO'!H105:K105,"&gt;0",'ANÁLISIS CONSOLIDADO'!H105:K105,"&lt;="&amp;'PRECIOS UNITARIOS TECHO'!N105)</f>
        <v>2</v>
      </c>
      <c r="Q105" s="190" t="str">
        <f t="shared" si="14"/>
        <v>MAYOR RIESGO</v>
      </c>
      <c r="R105" s="130">
        <f>N105</f>
        <v>2572</v>
      </c>
      <c r="S105" s="191" t="s">
        <v>623</v>
      </c>
    </row>
    <row r="106" spans="1:19" ht="18" customHeight="1">
      <c r="A106" s="3">
        <v>96</v>
      </c>
      <c r="B106" s="330" t="s">
        <v>112</v>
      </c>
      <c r="C106" s="331"/>
      <c r="D106" s="331"/>
      <c r="E106" s="331"/>
      <c r="F106" s="332"/>
      <c r="G106" s="2" t="s">
        <v>43</v>
      </c>
      <c r="H106" s="129">
        <f>'ANÁLISIS CONSOLIDADO'!L106</f>
        <v>0.12538379162587193</v>
      </c>
      <c r="I106" s="16">
        <f>'ANÁLISIS CONSOLIDADO'!N106</f>
        <v>27965</v>
      </c>
      <c r="J106" s="49">
        <f>'ANÁLISIS CONSOLIDADO'!X106</f>
        <v>0.66982199554698119</v>
      </c>
      <c r="K106" s="16">
        <f>'ANÁLISIS CONSOLIDADO'!Z106</f>
        <v>20119.599199999997</v>
      </c>
      <c r="L106" s="123">
        <f t="shared" si="11"/>
        <v>0.84232535319990409</v>
      </c>
      <c r="M106" s="49">
        <f t="shared" si="12"/>
        <v>0.15767464680009602</v>
      </c>
      <c r="N106" s="130">
        <f t="shared" si="13"/>
        <v>26728</v>
      </c>
      <c r="O106" s="189">
        <f>MIN('ANÁLISIS CONSOLIDADO'!H106:K106)</f>
        <v>23116</v>
      </c>
      <c r="P106" s="50">
        <f>COUNTIFS('ANÁLISIS CONSOLIDADO'!H106:K106,"&gt;0",'ANÁLISIS CONSOLIDADO'!H106:K106,"&lt;="&amp;'PRECIOS UNITARIOS TECHO'!N106)</f>
        <v>2</v>
      </c>
      <c r="Q106" s="190" t="str">
        <f t="shared" si="14"/>
        <v>MAYOR RIESGO</v>
      </c>
      <c r="R106" s="130">
        <f>N106</f>
        <v>26728</v>
      </c>
      <c r="S106" s="191" t="s">
        <v>623</v>
      </c>
    </row>
    <row r="107" spans="1:19" ht="18" customHeight="1">
      <c r="A107" s="3">
        <v>97</v>
      </c>
      <c r="B107" s="341" t="s">
        <v>155</v>
      </c>
      <c r="C107" s="334"/>
      <c r="D107" s="334"/>
      <c r="E107" s="334"/>
      <c r="F107" s="335"/>
      <c r="G107" s="2" t="s">
        <v>43</v>
      </c>
      <c r="H107" s="129">
        <f>'ANÁLISIS CONSOLIDADO'!L107</f>
        <v>5.5012761506237531E-2</v>
      </c>
      <c r="I107" s="16">
        <f>'ANÁLISIS CONSOLIDADO'!N107</f>
        <v>31059</v>
      </c>
      <c r="J107" s="49">
        <f>'ANÁLISIS CONSOLIDADO'!X107</f>
        <v>0.26543567213768371</v>
      </c>
      <c r="K107" s="16">
        <f>'ANÁLISIS CONSOLIDADO'!Z107</f>
        <v>25023.743900000001</v>
      </c>
      <c r="L107" s="123">
        <f t="shared" si="11"/>
        <v>0.82832569695950797</v>
      </c>
      <c r="M107" s="49">
        <f t="shared" si="12"/>
        <v>0.17167430304049203</v>
      </c>
      <c r="N107" s="130">
        <f t="shared" si="13"/>
        <v>30023</v>
      </c>
      <c r="O107" s="189">
        <f>MIN('ANÁLISIS CONSOLIDADO'!H107:K107)</f>
        <v>29750</v>
      </c>
      <c r="P107" s="50">
        <f>COUNTIFS('ANÁLISIS CONSOLIDADO'!H107:K107,"&gt;0",'ANÁLISIS CONSOLIDADO'!H107:K107,"&lt;="&amp;'PRECIOS UNITARIOS TECHO'!N107)</f>
        <v>2</v>
      </c>
      <c r="Q107" s="190" t="str">
        <f t="shared" si="14"/>
        <v>MAYOR RIESGO</v>
      </c>
      <c r="R107" s="130">
        <f>N107</f>
        <v>30023</v>
      </c>
      <c r="S107" s="191" t="s">
        <v>623</v>
      </c>
    </row>
    <row r="108" spans="1:19" ht="18" customHeight="1">
      <c r="A108" s="3">
        <v>98</v>
      </c>
      <c r="B108" s="330" t="s">
        <v>113</v>
      </c>
      <c r="C108" s="331"/>
      <c r="D108" s="331"/>
      <c r="E108" s="331"/>
      <c r="F108" s="332"/>
      <c r="G108" s="2" t="s">
        <v>43</v>
      </c>
      <c r="H108" s="129">
        <f>'ANÁLISIS CONSOLIDADO'!L108</f>
        <v>0.46403265859179149</v>
      </c>
      <c r="I108" s="16">
        <f>'ANÁLISIS CONSOLIDADO'!N108</f>
        <v>18394.5</v>
      </c>
      <c r="J108" s="49">
        <f>'ANÁLISIS CONSOLIDADO'!X108</f>
        <v>3.0186176783625177E-2</v>
      </c>
      <c r="K108" s="16">
        <f>'ANÁLISIS CONSOLIDADO'!Z108</f>
        <v>15089.707200000001</v>
      </c>
      <c r="L108" s="123">
        <f t="shared" si="11"/>
        <v>6.1078564034685701E-2</v>
      </c>
      <c r="M108" s="49">
        <f t="shared" si="12"/>
        <v>0.9389214359653143</v>
      </c>
      <c r="N108" s="130">
        <f t="shared" si="13"/>
        <v>15292</v>
      </c>
      <c r="O108" s="189">
        <f>MIN('ANÁLISIS CONSOLIDADO'!H108:K108)</f>
        <v>14280</v>
      </c>
      <c r="P108" s="50">
        <f>COUNTIFS('ANÁLISIS CONSOLIDADO'!H108:K108,"&gt;0",'ANÁLISIS CONSOLIDADO'!H108:K108,"&lt;="&amp;'PRECIOS UNITARIOS TECHO'!N108)</f>
        <v>1</v>
      </c>
      <c r="Q108" s="190" t="str">
        <f t="shared" si="14"/>
        <v>MAYOR RIESGO</v>
      </c>
      <c r="R108" s="51">
        <f t="shared" ref="R108:R112" si="16">I108</f>
        <v>18394.5</v>
      </c>
      <c r="S108" s="190" t="s">
        <v>622</v>
      </c>
    </row>
    <row r="109" spans="1:19" ht="18" customHeight="1">
      <c r="A109" s="3">
        <v>99</v>
      </c>
      <c r="B109" s="330" t="s">
        <v>114</v>
      </c>
      <c r="C109" s="331"/>
      <c r="D109" s="331"/>
      <c r="E109" s="331"/>
      <c r="F109" s="332"/>
      <c r="G109" s="2" t="s">
        <v>115</v>
      </c>
      <c r="H109" s="129">
        <f>'ANÁLISIS CONSOLIDADO'!L109</f>
        <v>0.12015798272054892</v>
      </c>
      <c r="I109" s="16">
        <f>'ANÁLISIS CONSOLIDADO'!N109</f>
        <v>20825</v>
      </c>
      <c r="J109" s="49">
        <f>'ANÁLISIS CONSOLIDADO'!X109</f>
        <v>0.18574030288016469</v>
      </c>
      <c r="K109" s="16">
        <f>'ANÁLISIS CONSOLIDADO'!Z109</f>
        <v>13094.797170393598</v>
      </c>
      <c r="L109" s="123">
        <f t="shared" si="11"/>
        <v>0.60719628590076469</v>
      </c>
      <c r="M109" s="49">
        <f t="shared" si="12"/>
        <v>0.3928037140992352</v>
      </c>
      <c r="N109" s="130">
        <f t="shared" si="13"/>
        <v>17789</v>
      </c>
      <c r="O109" s="189">
        <f>MIN('ANÁLISIS CONSOLIDADO'!H109:K109)</f>
        <v>18243</v>
      </c>
      <c r="P109" s="50">
        <f>COUNTIFS('ANÁLISIS CONSOLIDADO'!H109:K109,"&gt;0",'ANÁLISIS CONSOLIDADO'!H109:K109,"&lt;="&amp;'PRECIOS UNITARIOS TECHO'!N109)</f>
        <v>0</v>
      </c>
      <c r="Q109" s="190" t="str">
        <f t="shared" si="14"/>
        <v>MAYOR RIESGO</v>
      </c>
      <c r="R109" s="51">
        <f t="shared" si="16"/>
        <v>20825</v>
      </c>
      <c r="S109" s="190" t="s">
        <v>622</v>
      </c>
    </row>
    <row r="110" spans="1:19" ht="18" customHeight="1">
      <c r="A110" s="3">
        <v>100</v>
      </c>
      <c r="B110" s="330" t="s">
        <v>116</v>
      </c>
      <c r="C110" s="331"/>
      <c r="D110" s="331"/>
      <c r="E110" s="331"/>
      <c r="F110" s="332"/>
      <c r="G110" s="2" t="s">
        <v>115</v>
      </c>
      <c r="H110" s="129">
        <f>'ANÁLISIS CONSOLIDADO'!L110</f>
        <v>0.37142089237579273</v>
      </c>
      <c r="I110" s="16">
        <f>'ANÁLISIS CONSOLIDADO'!N110</f>
        <v>20825</v>
      </c>
      <c r="J110" s="49">
        <f>'ANÁLISIS CONSOLIDADO'!X110</f>
        <v>0.35874504242133842</v>
      </c>
      <c r="K110" s="16">
        <f>'ANÁLISIS CONSOLIDADO'!Z110</f>
        <v>11612.4508711328</v>
      </c>
      <c r="L110" s="123">
        <f t="shared" si="11"/>
        <v>0.49131988404938653</v>
      </c>
      <c r="M110" s="49">
        <f t="shared" si="12"/>
        <v>0.50868011595061335</v>
      </c>
      <c r="N110" s="130">
        <f t="shared" si="13"/>
        <v>16139</v>
      </c>
      <c r="O110" s="189">
        <f>MIN('ANÁLISIS CONSOLIDADO'!H110:K110)</f>
        <v>10496</v>
      </c>
      <c r="P110" s="50">
        <f>COUNTIFS('ANÁLISIS CONSOLIDADO'!H110:K110,"&gt;0",'ANÁLISIS CONSOLIDADO'!H110:K110,"&lt;="&amp;'PRECIOS UNITARIOS TECHO'!N110)</f>
        <v>1</v>
      </c>
      <c r="Q110" s="190" t="str">
        <f t="shared" si="14"/>
        <v>MAYOR RIESGO</v>
      </c>
      <c r="R110" s="51">
        <f t="shared" si="16"/>
        <v>20825</v>
      </c>
      <c r="S110" s="190" t="s">
        <v>622</v>
      </c>
    </row>
    <row r="111" spans="1:19" ht="18" customHeight="1">
      <c r="A111" s="3">
        <v>101</v>
      </c>
      <c r="B111" s="330" t="s">
        <v>117</v>
      </c>
      <c r="C111" s="331"/>
      <c r="D111" s="331"/>
      <c r="E111" s="331"/>
      <c r="F111" s="332"/>
      <c r="G111" s="2" t="s">
        <v>43</v>
      </c>
      <c r="H111" s="129">
        <f>'ANÁLISIS CONSOLIDADO'!L111</f>
        <v>0.55955862082370522</v>
      </c>
      <c r="I111" s="16">
        <f>'ANÁLISIS CONSOLIDADO'!N111</f>
        <v>20676.5</v>
      </c>
      <c r="J111" s="49">
        <f>'ANÁLISIS CONSOLIDADO'!X111</f>
        <v>5.5157705422049799E-2</v>
      </c>
      <c r="K111" s="16">
        <f>'ANÁLISIS CONSOLIDADO'!Z111</f>
        <v>16975.916700000002</v>
      </c>
      <c r="L111" s="123">
        <f t="shared" si="11"/>
        <v>8.972871398896036E-2</v>
      </c>
      <c r="M111" s="49">
        <f t="shared" si="12"/>
        <v>0.91027128601103968</v>
      </c>
      <c r="N111" s="130">
        <f t="shared" si="13"/>
        <v>17308</v>
      </c>
      <c r="O111" s="189">
        <f>MIN('ANÁLISIS CONSOLIDADO'!H111:K111)</f>
        <v>16065</v>
      </c>
      <c r="P111" s="50">
        <f>COUNTIFS('ANÁLISIS CONSOLIDADO'!H111:K111,"&gt;0",'ANÁLISIS CONSOLIDADO'!H111:K111,"&lt;="&amp;'PRECIOS UNITARIOS TECHO'!N111)</f>
        <v>1</v>
      </c>
      <c r="Q111" s="190" t="str">
        <f t="shared" si="14"/>
        <v>MAYOR RIESGO</v>
      </c>
      <c r="R111" s="51">
        <f t="shared" si="16"/>
        <v>20676.5</v>
      </c>
      <c r="S111" s="190" t="s">
        <v>622</v>
      </c>
    </row>
    <row r="112" spans="1:19" ht="27.75" customHeight="1">
      <c r="A112" s="3">
        <v>102</v>
      </c>
      <c r="B112" s="330" t="s">
        <v>118</v>
      </c>
      <c r="C112" s="331"/>
      <c r="D112" s="331"/>
      <c r="E112" s="331"/>
      <c r="F112" s="332"/>
      <c r="G112" s="2" t="s">
        <v>19</v>
      </c>
      <c r="H112" s="129">
        <f>'ANÁLISIS CONSOLIDADO'!L112</f>
        <v>0.23293396801832031</v>
      </c>
      <c r="I112" s="16">
        <f>'ANÁLISIS CONSOLIDADO'!N112</f>
        <v>8621.5499999999993</v>
      </c>
      <c r="J112" s="49">
        <f>'ANÁLISIS CONSOLIDADO'!X112</f>
        <v>0.18236190123873289</v>
      </c>
      <c r="K112" s="16">
        <f>'ANÁLISIS CONSOLIDADO'!Z112</f>
        <v>7869.7306619648007</v>
      </c>
      <c r="L112" s="123">
        <f t="shared" si="11"/>
        <v>0.43911320756686223</v>
      </c>
      <c r="M112" s="49">
        <f t="shared" si="12"/>
        <v>0.56088679243313777</v>
      </c>
      <c r="N112" s="130">
        <f t="shared" si="13"/>
        <v>8200</v>
      </c>
      <c r="O112" s="189">
        <f>MIN('ANÁLISIS CONSOLIDADO'!H112:K112)</f>
        <v>5648</v>
      </c>
      <c r="P112" s="50">
        <f>COUNTIFS('ANÁLISIS CONSOLIDADO'!H112:K112,"&gt;0",'ANÁLISIS CONSOLIDADO'!H112:K112,"&lt;="&amp;'PRECIOS UNITARIOS TECHO'!N112)</f>
        <v>1</v>
      </c>
      <c r="Q112" s="190" t="str">
        <f t="shared" si="14"/>
        <v>MAYOR RIESGO</v>
      </c>
      <c r="R112" s="51">
        <f t="shared" si="16"/>
        <v>8621.5499999999993</v>
      </c>
      <c r="S112" s="190" t="s">
        <v>622</v>
      </c>
    </row>
    <row r="113" spans="1:19" ht="18" customHeight="1">
      <c r="A113" s="3">
        <v>103</v>
      </c>
      <c r="B113" s="330" t="s">
        <v>119</v>
      </c>
      <c r="C113" s="331"/>
      <c r="D113" s="331"/>
      <c r="E113" s="331"/>
      <c r="F113" s="332"/>
      <c r="G113" s="2" t="s">
        <v>19</v>
      </c>
      <c r="H113" s="184">
        <f>'ANÁLISIS CONSOLIDADO'!L113</f>
        <v>0.25368206387915759</v>
      </c>
      <c r="I113" s="16">
        <f>'ANÁLISIS CONSOLIDADO'!N113</f>
        <v>151615</v>
      </c>
      <c r="J113" s="185" t="str">
        <f>'ANÁLISIS CONSOLIDADO'!X113</f>
        <v>No comparable</v>
      </c>
      <c r="K113" s="16" t="str">
        <f>'ANÁLISIS CONSOLIDADO'!Z113</f>
        <v>No comparable</v>
      </c>
      <c r="L113" s="186">
        <f t="shared" si="11"/>
        <v>0</v>
      </c>
      <c r="M113" s="185">
        <f t="shared" si="12"/>
        <v>0</v>
      </c>
      <c r="N113" s="130">
        <f>I113</f>
        <v>151615</v>
      </c>
      <c r="O113" s="189">
        <f>MIN('ANÁLISIS CONSOLIDADO'!H113:K113)</f>
        <v>135541</v>
      </c>
      <c r="P113" s="50">
        <f>COUNTIFS('ANÁLISIS CONSOLIDADO'!H113:K113,"&gt;0",'ANÁLISIS CONSOLIDADO'!H113:K113,"&lt;="&amp;'PRECIOS UNITARIOS TECHO'!N113)</f>
        <v>2</v>
      </c>
      <c r="Q113" s="190" t="str">
        <f t="shared" si="14"/>
        <v>MAYOR RIESGO</v>
      </c>
      <c r="R113" s="130">
        <f>N113</f>
        <v>151615</v>
      </c>
      <c r="S113" s="191" t="s">
        <v>623</v>
      </c>
    </row>
    <row r="114" spans="1:19" ht="18" customHeight="1">
      <c r="A114" s="3">
        <v>104</v>
      </c>
      <c r="B114" s="330" t="s">
        <v>203</v>
      </c>
      <c r="C114" s="331"/>
      <c r="D114" s="331"/>
      <c r="E114" s="331"/>
      <c r="F114" s="332"/>
      <c r="G114" s="2" t="s">
        <v>19</v>
      </c>
      <c r="H114" s="129">
        <f>'ANÁLISIS CONSOLIDADO'!L114</f>
        <v>0.33469412334222837</v>
      </c>
      <c r="I114" s="16">
        <f>'ANÁLISIS CONSOLIDADO'!N114</f>
        <v>310495</v>
      </c>
      <c r="J114" s="49">
        <f>'ANÁLISIS CONSOLIDADO'!X114</f>
        <v>7.6278409331462559E-3</v>
      </c>
      <c r="K114" s="16">
        <f>'ANÁLISIS CONSOLIDADO'!Z114</f>
        <v>69161.046199999997</v>
      </c>
      <c r="L114" s="123">
        <f t="shared" si="11"/>
        <v>2.2282651214895983E-2</v>
      </c>
      <c r="M114" s="49">
        <f t="shared" si="12"/>
        <v>0.97771734878510397</v>
      </c>
      <c r="N114" s="130">
        <f>I114</f>
        <v>310495</v>
      </c>
      <c r="O114" s="189">
        <f>MIN('ANÁLISIS CONSOLIDADO'!H114:K114)</f>
        <v>236453</v>
      </c>
      <c r="P114" s="50">
        <f>COUNTIFS('ANÁLISIS CONSOLIDADO'!H114:K114,"&gt;0",'ANÁLISIS CONSOLIDADO'!H114:K114,"&lt;="&amp;'PRECIOS UNITARIOS TECHO'!N114)</f>
        <v>2</v>
      </c>
      <c r="Q114" s="190" t="str">
        <f t="shared" si="14"/>
        <v>MAYOR RIESGO</v>
      </c>
      <c r="R114" s="130">
        <f>N114</f>
        <v>310495</v>
      </c>
      <c r="S114" s="191" t="s">
        <v>623</v>
      </c>
    </row>
    <row r="115" spans="1:19" ht="18" customHeight="1">
      <c r="A115" s="3">
        <v>105</v>
      </c>
      <c r="B115" s="330" t="s">
        <v>204</v>
      </c>
      <c r="C115" s="331"/>
      <c r="D115" s="331"/>
      <c r="E115" s="331"/>
      <c r="F115" s="332"/>
      <c r="G115" s="2" t="s">
        <v>19</v>
      </c>
      <c r="H115" s="129">
        <f>'ANÁLISIS CONSOLIDADO'!L115</f>
        <v>0.38305964912500134</v>
      </c>
      <c r="I115" s="16">
        <f>'ANÁLISIS CONSOLIDADO'!N115</f>
        <v>164416.5</v>
      </c>
      <c r="J115" s="49">
        <f>'ANÁLISIS CONSOLIDADO'!X115</f>
        <v>7.6279776598457971E-3</v>
      </c>
      <c r="K115" s="16">
        <f>'ANÁLISIS CONSOLIDADO'!Z115</f>
        <v>87897.393899999995</v>
      </c>
      <c r="L115" s="123">
        <f t="shared" si="11"/>
        <v>1.9524492553347608E-2</v>
      </c>
      <c r="M115" s="49">
        <f t="shared" si="12"/>
        <v>0.98047550744665235</v>
      </c>
      <c r="N115" s="130">
        <f t="shared" si="13"/>
        <v>89392</v>
      </c>
      <c r="O115" s="189">
        <f>MIN('ANÁLISIS CONSOLIDADO'!H115:K115)</f>
        <v>124950</v>
      </c>
      <c r="P115" s="50">
        <f>COUNTIFS('ANÁLISIS CONSOLIDADO'!H115:K115,"&gt;0",'ANÁLISIS CONSOLIDADO'!H115:K115,"&lt;="&amp;'PRECIOS UNITARIOS TECHO'!N115)</f>
        <v>0</v>
      </c>
      <c r="Q115" s="190" t="str">
        <f t="shared" si="14"/>
        <v>MAYOR RIESGO</v>
      </c>
      <c r="R115" s="51">
        <f>I115</f>
        <v>164416.5</v>
      </c>
      <c r="S115" s="190" t="s">
        <v>622</v>
      </c>
    </row>
    <row r="116" spans="1:19" ht="18" customHeight="1">
      <c r="A116" s="3">
        <v>106</v>
      </c>
      <c r="B116" s="330" t="s">
        <v>120</v>
      </c>
      <c r="C116" s="331"/>
      <c r="D116" s="331"/>
      <c r="E116" s="331"/>
      <c r="F116" s="332"/>
      <c r="G116" s="2" t="s">
        <v>19</v>
      </c>
      <c r="H116" s="129">
        <f>'ANÁLISIS CONSOLIDADO'!L116</f>
        <v>0.25360126149786572</v>
      </c>
      <c r="I116" s="16">
        <f>'ANÁLISIS CONSOLIDADO'!N116</f>
        <v>148155</v>
      </c>
      <c r="J116" s="49">
        <f>'ANÁLISIS CONSOLIDADO'!X116</f>
        <v>0.35292250602888708</v>
      </c>
      <c r="K116" s="16">
        <f>'ANÁLISIS CONSOLIDADO'!Z116</f>
        <v>91657.191722499992</v>
      </c>
      <c r="L116" s="123">
        <f t="shared" si="11"/>
        <v>0.58187745464289697</v>
      </c>
      <c r="M116" s="49">
        <f t="shared" si="12"/>
        <v>0.41812254535710308</v>
      </c>
      <c r="N116" s="130">
        <f t="shared" si="13"/>
        <v>124532</v>
      </c>
      <c r="O116" s="189">
        <f>MIN('ANÁLISIS CONSOLIDADO'!H116:K116)</f>
        <v>128074</v>
      </c>
      <c r="P116" s="50">
        <f>COUNTIFS('ANÁLISIS CONSOLIDADO'!H116:K116,"&gt;0",'ANÁLISIS CONSOLIDADO'!H116:K116,"&lt;="&amp;'PRECIOS UNITARIOS TECHO'!N116)</f>
        <v>0</v>
      </c>
      <c r="Q116" s="190" t="str">
        <f t="shared" si="14"/>
        <v>MAYOR RIESGO</v>
      </c>
      <c r="R116" s="51">
        <f>I116</f>
        <v>148155</v>
      </c>
      <c r="S116" s="190" t="s">
        <v>622</v>
      </c>
    </row>
    <row r="117" spans="1:19" ht="18" customHeight="1">
      <c r="A117" s="3">
        <v>107</v>
      </c>
      <c r="B117" s="330" t="s">
        <v>205</v>
      </c>
      <c r="C117" s="331"/>
      <c r="D117" s="331"/>
      <c r="E117" s="331"/>
      <c r="F117" s="332"/>
      <c r="G117" s="2" t="s">
        <v>31</v>
      </c>
      <c r="H117" s="129">
        <f>'ANÁLISIS CONSOLIDADO'!L117</f>
        <v>0.75854463711943465</v>
      </c>
      <c r="I117" s="16">
        <f>'ANÁLISIS CONSOLIDADO'!N117</f>
        <v>15261.75</v>
      </c>
      <c r="J117" s="49">
        <f>'ANÁLISIS CONSOLIDADO'!X117</f>
        <v>0.31986880955407515</v>
      </c>
      <c r="K117" s="16">
        <f>'ANÁLISIS CONSOLIDADO'!Z117</f>
        <v>12816.653255040001</v>
      </c>
      <c r="L117" s="123">
        <f t="shared" si="11"/>
        <v>0.29661055371735884</v>
      </c>
      <c r="M117" s="49">
        <f t="shared" si="12"/>
        <v>0.70338944628264122</v>
      </c>
      <c r="N117" s="130">
        <f t="shared" si="13"/>
        <v>13542</v>
      </c>
      <c r="O117" s="189">
        <f>MIN('ANÁLISIS CONSOLIDADO'!H117:K117)</f>
        <v>10196</v>
      </c>
      <c r="P117" s="50">
        <f>COUNTIFS('ANÁLISIS CONSOLIDADO'!H117:K117,"&gt;0",'ANÁLISIS CONSOLIDADO'!H117:K117,"&lt;="&amp;'PRECIOS UNITARIOS TECHO'!N117)</f>
        <v>2</v>
      </c>
      <c r="Q117" s="190" t="str">
        <f t="shared" si="14"/>
        <v>MAYOR RIESGO</v>
      </c>
      <c r="R117" s="130">
        <f>N117</f>
        <v>13542</v>
      </c>
      <c r="S117" s="191" t="s">
        <v>623</v>
      </c>
    </row>
    <row r="118" spans="1:19" ht="18" customHeight="1">
      <c r="A118" s="3">
        <v>108</v>
      </c>
      <c r="B118" s="330" t="s">
        <v>121</v>
      </c>
      <c r="C118" s="331"/>
      <c r="D118" s="331"/>
      <c r="E118" s="331"/>
      <c r="F118" s="332"/>
      <c r="G118" s="2" t="s">
        <v>33</v>
      </c>
      <c r="H118" s="129">
        <f>'ANÁLISIS CONSOLIDADO'!L118</f>
        <v>0.45976881848102852</v>
      </c>
      <c r="I118" s="16">
        <f>'ANÁLISIS CONSOLIDADO'!N118</f>
        <v>24038</v>
      </c>
      <c r="J118" s="49">
        <f>'ANÁLISIS CONSOLIDADO'!X118</f>
        <v>0.35625295283623687</v>
      </c>
      <c r="K118" s="16">
        <f>'ANÁLISIS CONSOLIDADO'!Z118</f>
        <v>18862.126199999999</v>
      </c>
      <c r="L118" s="123">
        <f t="shared" si="11"/>
        <v>0.43657285302713744</v>
      </c>
      <c r="M118" s="49">
        <f t="shared" si="12"/>
        <v>0.56342714697286256</v>
      </c>
      <c r="N118" s="130">
        <f t="shared" si="13"/>
        <v>21122</v>
      </c>
      <c r="O118" s="189">
        <f>MIN('ANÁLISIS CONSOLIDADO'!H118:K118)</f>
        <v>9434</v>
      </c>
      <c r="P118" s="50">
        <f>COUNTIFS('ANÁLISIS CONSOLIDADO'!H118:K118,"&gt;0",'ANÁLISIS CONSOLIDADO'!H118:K118,"&lt;="&amp;'PRECIOS UNITARIOS TECHO'!N118)</f>
        <v>2</v>
      </c>
      <c r="Q118" s="190" t="str">
        <f t="shared" si="14"/>
        <v>MAYOR RIESGO</v>
      </c>
      <c r="R118" s="130">
        <f>N118</f>
        <v>21122</v>
      </c>
      <c r="S118" s="191" t="s">
        <v>623</v>
      </c>
    </row>
    <row r="119" spans="1:19" ht="27.75" customHeight="1">
      <c r="A119" s="3">
        <v>109</v>
      </c>
      <c r="B119" s="330" t="s">
        <v>206</v>
      </c>
      <c r="C119" s="331"/>
      <c r="D119" s="331"/>
      <c r="E119" s="331"/>
      <c r="F119" s="332"/>
      <c r="G119" s="2" t="s">
        <v>43</v>
      </c>
      <c r="H119" s="129">
        <f>'ANÁLISIS CONSOLIDADO'!L119</f>
        <v>0.19300073534160342</v>
      </c>
      <c r="I119" s="16">
        <f>'ANÁLISIS CONSOLIDADO'!N119</f>
        <v>88951</v>
      </c>
      <c r="J119" s="49">
        <f>'ANÁLISIS CONSOLIDADO'!X119</f>
        <v>8.0591227723106312E-2</v>
      </c>
      <c r="K119" s="16">
        <f>'ANÁLISIS CONSOLIDADO'!Z119</f>
        <v>50298.951199999996</v>
      </c>
      <c r="L119" s="123">
        <f t="shared" si="11"/>
        <v>0.29456723370212795</v>
      </c>
      <c r="M119" s="49">
        <f t="shared" si="12"/>
        <v>0.70543276629787199</v>
      </c>
      <c r="N119" s="130">
        <f t="shared" si="13"/>
        <v>61685</v>
      </c>
      <c r="O119" s="189">
        <f>MIN('ANÁLISIS CONSOLIDADO'!H119:K119)</f>
        <v>59488.1</v>
      </c>
      <c r="P119" s="50">
        <f>COUNTIFS('ANÁLISIS CONSOLIDADO'!H119:K119,"&gt;0",'ANÁLISIS CONSOLIDADO'!H119:K119,"&lt;="&amp;'PRECIOS UNITARIOS TECHO'!N119)</f>
        <v>1</v>
      </c>
      <c r="Q119" s="190" t="str">
        <f t="shared" si="14"/>
        <v>MAYOR RIESGO</v>
      </c>
      <c r="R119" s="51">
        <f>I119</f>
        <v>88951</v>
      </c>
      <c r="S119" s="190" t="s">
        <v>622</v>
      </c>
    </row>
    <row r="120" spans="1:19" ht="18" customHeight="1">
      <c r="A120" s="3">
        <v>110</v>
      </c>
      <c r="B120" s="330" t="s">
        <v>122</v>
      </c>
      <c r="C120" s="331"/>
      <c r="D120" s="331"/>
      <c r="E120" s="331"/>
      <c r="F120" s="332"/>
      <c r="G120" s="2" t="s">
        <v>19</v>
      </c>
      <c r="H120" s="129">
        <f>'ANÁLISIS CONSOLIDADO'!L120</f>
        <v>0.46925651402601887</v>
      </c>
      <c r="I120" s="16">
        <f>'ANÁLISIS CONSOLIDADO'!N120</f>
        <v>8032.5</v>
      </c>
      <c r="J120" s="49">
        <f>'ANÁLISIS CONSOLIDADO'!X120</f>
        <v>8.337557403790205E-2</v>
      </c>
      <c r="K120" s="16">
        <f>'ANÁLISIS CONSOLIDADO'!Z120</f>
        <v>4724.4444751423998</v>
      </c>
      <c r="L120" s="123">
        <f t="shared" si="11"/>
        <v>0.15086994736407397</v>
      </c>
      <c r="M120" s="49">
        <f t="shared" si="12"/>
        <v>0.849130052635926</v>
      </c>
      <c r="N120" s="130">
        <f t="shared" si="13"/>
        <v>5224</v>
      </c>
      <c r="O120" s="189">
        <f>MIN('ANÁLISIS CONSOLIDADO'!H120:K120)</f>
        <v>3561</v>
      </c>
      <c r="P120" s="50">
        <f>COUNTIFS('ANÁLISIS CONSOLIDADO'!H120:K120,"&gt;0",'ANÁLISIS CONSOLIDADO'!H120:K120,"&lt;="&amp;'PRECIOS UNITARIOS TECHO'!N120)</f>
        <v>1</v>
      </c>
      <c r="Q120" s="190" t="str">
        <f t="shared" si="14"/>
        <v>MAYOR RIESGO</v>
      </c>
      <c r="R120" s="51">
        <f>I120</f>
        <v>8032.5</v>
      </c>
      <c r="S120" s="190" t="s">
        <v>622</v>
      </c>
    </row>
    <row r="121" spans="1:19" ht="18" customHeight="1">
      <c r="A121" s="3">
        <v>111</v>
      </c>
      <c r="B121" s="330" t="s">
        <v>123</v>
      </c>
      <c r="C121" s="331"/>
      <c r="D121" s="331"/>
      <c r="E121" s="331"/>
      <c r="F121" s="332"/>
      <c r="G121" s="2" t="s">
        <v>19</v>
      </c>
      <c r="H121" s="129">
        <f>'ANÁLISIS CONSOLIDADO'!L121</f>
        <v>0.67012225636514333</v>
      </c>
      <c r="I121" s="16">
        <f>'ANÁLISIS CONSOLIDADO'!N121</f>
        <v>3326.05</v>
      </c>
      <c r="J121" s="49">
        <f>'ANÁLISIS CONSOLIDADO'!X121</f>
        <v>0.11983331080850811</v>
      </c>
      <c r="K121" s="16">
        <f>'ANÁLISIS CONSOLIDADO'!Z121</f>
        <v>2013.2454729999997</v>
      </c>
      <c r="L121" s="123">
        <f t="shared" si="11"/>
        <v>0.15169626721823687</v>
      </c>
      <c r="M121" s="49">
        <f t="shared" si="12"/>
        <v>0.84830373278176308</v>
      </c>
      <c r="N121" s="130">
        <f t="shared" si="13"/>
        <v>2213</v>
      </c>
      <c r="O121" s="189">
        <f>MIN('ANÁLISIS CONSOLIDADO'!H121:K121)</f>
        <v>812</v>
      </c>
      <c r="P121" s="50">
        <f>COUNTIFS('ANÁLISIS CONSOLIDADO'!H121:K121,"&gt;0",'ANÁLISIS CONSOLIDADO'!H121:K121,"&lt;="&amp;'PRECIOS UNITARIOS TECHO'!N121)</f>
        <v>2</v>
      </c>
      <c r="Q121" s="190" t="str">
        <f t="shared" si="14"/>
        <v>MAYOR RIESGO</v>
      </c>
      <c r="R121" s="130">
        <f>N121</f>
        <v>2213</v>
      </c>
      <c r="S121" s="191" t="s">
        <v>623</v>
      </c>
    </row>
    <row r="122" spans="1:19" ht="18" customHeight="1">
      <c r="A122" s="3">
        <v>112</v>
      </c>
      <c r="B122" s="330" t="s">
        <v>124</v>
      </c>
      <c r="C122" s="331"/>
      <c r="D122" s="331"/>
      <c r="E122" s="331"/>
      <c r="F122" s="332"/>
      <c r="G122" s="2" t="s">
        <v>19</v>
      </c>
      <c r="H122" s="129">
        <f>'ANÁLISIS CONSOLIDADO'!L122</f>
        <v>0.31281028061676669</v>
      </c>
      <c r="I122" s="16">
        <f>'ANÁLISIS CONSOLIDADO'!N122</f>
        <v>936530</v>
      </c>
      <c r="J122" s="49">
        <f>'ANÁLISIS CONSOLIDADO'!X122</f>
        <v>0.29691302677416009</v>
      </c>
      <c r="K122" s="16">
        <f>'ANÁLISIS CONSOLIDADO'!Z122</f>
        <v>862976.16240000003</v>
      </c>
      <c r="L122" s="123">
        <f t="shared" si="11"/>
        <v>0.48696355080254955</v>
      </c>
      <c r="M122" s="49">
        <f t="shared" si="12"/>
        <v>0.51303644919745051</v>
      </c>
      <c r="N122" s="130">
        <f t="shared" si="13"/>
        <v>898795</v>
      </c>
      <c r="O122" s="189">
        <f>MIN('ANÁLISIS CONSOLIDADO'!H122:K122)</f>
        <v>539070</v>
      </c>
      <c r="P122" s="50">
        <f>COUNTIFS('ANÁLISIS CONSOLIDADO'!H122:K122,"&gt;0",'ANÁLISIS CONSOLIDADO'!H122:K122,"&lt;="&amp;'PRECIOS UNITARIOS TECHO'!N122)</f>
        <v>2</v>
      </c>
      <c r="Q122" s="190" t="str">
        <f t="shared" si="14"/>
        <v>MAYOR RIESGO</v>
      </c>
      <c r="R122" s="130">
        <f>N122</f>
        <v>898795</v>
      </c>
      <c r="S122" s="191" t="s">
        <v>623</v>
      </c>
    </row>
    <row r="123" spans="1:19" ht="18" customHeight="1">
      <c r="A123" s="3">
        <v>113</v>
      </c>
      <c r="B123" s="330" t="s">
        <v>125</v>
      </c>
      <c r="C123" s="331"/>
      <c r="D123" s="331"/>
      <c r="E123" s="331"/>
      <c r="F123" s="332"/>
      <c r="G123" s="2" t="s">
        <v>19</v>
      </c>
      <c r="H123" s="129">
        <f>'ANÁLISIS CONSOLIDADO'!L123</f>
        <v>0.34321621389507823</v>
      </c>
      <c r="I123" s="16">
        <f>'ANÁLISIS CONSOLIDADO'!N123</f>
        <v>1055530</v>
      </c>
      <c r="J123" s="49">
        <f>'ANÁLISIS CONSOLIDADO'!X123</f>
        <v>7.6284376999082E-3</v>
      </c>
      <c r="K123" s="16">
        <f>'ANÁLISIS CONSOLIDADO'!Z123</f>
        <v>993403.70120000001</v>
      </c>
      <c r="L123" s="123">
        <f t="shared" si="11"/>
        <v>2.1743063960725378E-2</v>
      </c>
      <c r="M123" s="49">
        <f t="shared" si="12"/>
        <v>0.97825693603927466</v>
      </c>
      <c r="N123" s="130">
        <f t="shared" si="13"/>
        <v>994755</v>
      </c>
      <c r="O123" s="189">
        <f>MIN('ANÁLISIS CONSOLIDADO'!H123:K123)</f>
        <v>773500</v>
      </c>
      <c r="P123" s="50">
        <f>COUNTIFS('ANÁLISIS CONSOLIDADO'!H123:K123,"&gt;0",'ANÁLISIS CONSOLIDADO'!H123:K123,"&lt;="&amp;'PRECIOS UNITARIOS TECHO'!N123)</f>
        <v>1</v>
      </c>
      <c r="Q123" s="190" t="str">
        <f t="shared" si="14"/>
        <v>MAYOR RIESGO</v>
      </c>
      <c r="R123" s="51">
        <f t="shared" ref="R123:R133" si="17">I123</f>
        <v>1055530</v>
      </c>
      <c r="S123" s="190" t="s">
        <v>622</v>
      </c>
    </row>
    <row r="124" spans="1:19" ht="18" customHeight="1">
      <c r="A124" s="3">
        <v>114</v>
      </c>
      <c r="B124" s="330" t="s">
        <v>126</v>
      </c>
      <c r="C124" s="331"/>
      <c r="D124" s="331"/>
      <c r="E124" s="331"/>
      <c r="F124" s="332"/>
      <c r="G124" s="2" t="s">
        <v>19</v>
      </c>
      <c r="H124" s="129">
        <f>'ANÁLISIS CONSOLIDADO'!L124</f>
        <v>0.15036334345554828</v>
      </c>
      <c r="I124" s="16">
        <f>'ANÁLISIS CONSOLIDADO'!N124</f>
        <v>952000</v>
      </c>
      <c r="J124" s="49">
        <f>'ANÁLISIS CONSOLIDADO'!X124</f>
        <v>8.1446853270212023E-3</v>
      </c>
      <c r="K124" s="16">
        <f>'ANÁLISIS CONSOLIDADO'!Z124</f>
        <v>391466.03239999997</v>
      </c>
      <c r="L124" s="123">
        <f t="shared" si="11"/>
        <v>5.1383424483775059E-2</v>
      </c>
      <c r="M124" s="49">
        <f t="shared" si="12"/>
        <v>0.94861657551622491</v>
      </c>
      <c r="N124" s="130">
        <f t="shared" si="13"/>
        <v>420269</v>
      </c>
      <c r="O124" s="189">
        <f>MIN('ANÁLISIS CONSOLIDADO'!H124:K124)</f>
        <v>773500</v>
      </c>
      <c r="P124" s="50">
        <f>COUNTIFS('ANÁLISIS CONSOLIDADO'!H124:K124,"&gt;0",'ANÁLISIS CONSOLIDADO'!H124:K124,"&lt;="&amp;'PRECIOS UNITARIOS TECHO'!N124)</f>
        <v>0</v>
      </c>
      <c r="Q124" s="190" t="str">
        <f t="shared" si="14"/>
        <v>MAYOR RIESGO</v>
      </c>
      <c r="R124" s="51">
        <f t="shared" si="17"/>
        <v>952000</v>
      </c>
      <c r="S124" s="190" t="s">
        <v>622</v>
      </c>
    </row>
    <row r="125" spans="1:19" ht="18" customHeight="1">
      <c r="A125" s="3">
        <v>115</v>
      </c>
      <c r="B125" s="330" t="s">
        <v>127</v>
      </c>
      <c r="C125" s="331"/>
      <c r="D125" s="331"/>
      <c r="E125" s="331"/>
      <c r="F125" s="332"/>
      <c r="G125" s="2" t="s">
        <v>19</v>
      </c>
      <c r="H125" s="129">
        <f>'ANÁLISIS CONSOLIDADO'!L125</f>
        <v>0.15036334345554828</v>
      </c>
      <c r="I125" s="16">
        <f>'ANÁLISIS CONSOLIDADO'!N125</f>
        <v>952000</v>
      </c>
      <c r="J125" s="49">
        <f>'ANÁLISIS CONSOLIDADO'!X125</f>
        <v>0.33148446692286787</v>
      </c>
      <c r="K125" s="16">
        <f>'ANÁLISIS CONSOLIDADO'!Z125</f>
        <v>390460.47764</v>
      </c>
      <c r="L125" s="123">
        <f t="shared" si="11"/>
        <v>0.68794432553826201</v>
      </c>
      <c r="M125" s="49">
        <f t="shared" si="12"/>
        <v>0.31205567446173793</v>
      </c>
      <c r="N125" s="130">
        <f t="shared" si="13"/>
        <v>776769</v>
      </c>
      <c r="O125" s="189">
        <f>MIN('ANÁLISIS CONSOLIDADO'!H125:K125)</f>
        <v>773500</v>
      </c>
      <c r="P125" s="50">
        <f>COUNTIFS('ANÁLISIS CONSOLIDADO'!H125:K125,"&gt;0",'ANÁLISIS CONSOLIDADO'!H125:K125,"&lt;="&amp;'PRECIOS UNITARIOS TECHO'!N125)</f>
        <v>1</v>
      </c>
      <c r="Q125" s="190" t="str">
        <f t="shared" si="14"/>
        <v>MAYOR RIESGO</v>
      </c>
      <c r="R125" s="51">
        <f t="shared" si="17"/>
        <v>952000</v>
      </c>
      <c r="S125" s="190" t="s">
        <v>622</v>
      </c>
    </row>
    <row r="126" spans="1:19" ht="18" customHeight="1">
      <c r="A126" s="3">
        <v>116</v>
      </c>
      <c r="B126" s="330" t="s">
        <v>128</v>
      </c>
      <c r="C126" s="331"/>
      <c r="D126" s="331"/>
      <c r="E126" s="331"/>
      <c r="F126" s="332"/>
      <c r="G126" s="2" t="s">
        <v>19</v>
      </c>
      <c r="H126" s="129">
        <f>'ANÁLISIS CONSOLIDADO'!L126</f>
        <v>0.15036334345554828</v>
      </c>
      <c r="I126" s="16">
        <f>'ANÁLISIS CONSOLIDADO'!N126</f>
        <v>952000</v>
      </c>
      <c r="J126" s="49">
        <f>'ANÁLISIS CONSOLIDADO'!X126</f>
        <v>0.33148446692286787</v>
      </c>
      <c r="K126" s="16">
        <f>'ANÁLISIS CONSOLIDADO'!Z126</f>
        <v>390460.47764</v>
      </c>
      <c r="L126" s="123">
        <f t="shared" si="11"/>
        <v>0.68794432553826201</v>
      </c>
      <c r="M126" s="49">
        <f t="shared" si="12"/>
        <v>0.31205567446173793</v>
      </c>
      <c r="N126" s="130">
        <f t="shared" si="13"/>
        <v>776769</v>
      </c>
      <c r="O126" s="189">
        <f>MIN('ANÁLISIS CONSOLIDADO'!H126:K126)</f>
        <v>773500</v>
      </c>
      <c r="P126" s="50">
        <f>COUNTIFS('ANÁLISIS CONSOLIDADO'!H126:K126,"&gt;0",'ANÁLISIS CONSOLIDADO'!H126:K126,"&lt;="&amp;'PRECIOS UNITARIOS TECHO'!N126)</f>
        <v>1</v>
      </c>
      <c r="Q126" s="190" t="str">
        <f t="shared" si="14"/>
        <v>MAYOR RIESGO</v>
      </c>
      <c r="R126" s="51">
        <f t="shared" si="17"/>
        <v>952000</v>
      </c>
      <c r="S126" s="190" t="s">
        <v>622</v>
      </c>
    </row>
    <row r="127" spans="1:19" ht="18" customHeight="1">
      <c r="A127" s="3">
        <v>117</v>
      </c>
      <c r="B127" s="330" t="s">
        <v>129</v>
      </c>
      <c r="C127" s="331"/>
      <c r="D127" s="331"/>
      <c r="E127" s="331"/>
      <c r="F127" s="332"/>
      <c r="G127" s="2" t="s">
        <v>19</v>
      </c>
      <c r="H127" s="129">
        <f>'ANÁLISIS CONSOLIDADO'!L127</f>
        <v>0.15036334345554828</v>
      </c>
      <c r="I127" s="16">
        <f>'ANÁLISIS CONSOLIDADO'!N127</f>
        <v>952000</v>
      </c>
      <c r="J127" s="49">
        <f>'ANÁLISIS CONSOLIDADO'!X127</f>
        <v>0.33148446692286787</v>
      </c>
      <c r="K127" s="16">
        <f>'ANÁLISIS CONSOLIDADO'!Z127</f>
        <v>390460.47764</v>
      </c>
      <c r="L127" s="123">
        <f t="shared" si="11"/>
        <v>0.68794432553826201</v>
      </c>
      <c r="M127" s="49">
        <f t="shared" si="12"/>
        <v>0.31205567446173793</v>
      </c>
      <c r="N127" s="130">
        <f t="shared" si="13"/>
        <v>776769</v>
      </c>
      <c r="O127" s="189">
        <f>MIN('ANÁLISIS CONSOLIDADO'!H127:K127)</f>
        <v>773500</v>
      </c>
      <c r="P127" s="50">
        <f>COUNTIFS('ANÁLISIS CONSOLIDADO'!H127:K127,"&gt;0",'ANÁLISIS CONSOLIDADO'!H127:K127,"&lt;="&amp;'PRECIOS UNITARIOS TECHO'!N127)</f>
        <v>1</v>
      </c>
      <c r="Q127" s="190" t="str">
        <f t="shared" si="14"/>
        <v>MAYOR RIESGO</v>
      </c>
      <c r="R127" s="51">
        <f t="shared" si="17"/>
        <v>952000</v>
      </c>
      <c r="S127" s="190" t="s">
        <v>622</v>
      </c>
    </row>
    <row r="128" spans="1:19" ht="18" customHeight="1">
      <c r="A128" s="3">
        <v>118</v>
      </c>
      <c r="B128" s="330" t="s">
        <v>130</v>
      </c>
      <c r="C128" s="331"/>
      <c r="D128" s="331"/>
      <c r="E128" s="331"/>
      <c r="F128" s="332"/>
      <c r="G128" s="2" t="s">
        <v>19</v>
      </c>
      <c r="H128" s="129">
        <f>'ANÁLISIS CONSOLIDADO'!L128</f>
        <v>0.68135607488351657</v>
      </c>
      <c r="I128" s="16">
        <f>'ANÁLISIS CONSOLIDADO'!N128</f>
        <v>5265.75</v>
      </c>
      <c r="J128" s="49">
        <f>'ANÁLISIS CONSOLIDADO'!X128</f>
        <v>0.12406467578794331</v>
      </c>
      <c r="K128" s="16">
        <f>'ANÁLISIS CONSOLIDADO'!Z128</f>
        <v>3025.8719808831993</v>
      </c>
      <c r="L128" s="123">
        <f t="shared" si="11"/>
        <v>0.15403709885114528</v>
      </c>
      <c r="M128" s="49">
        <f t="shared" si="12"/>
        <v>0.84596290114885464</v>
      </c>
      <c r="N128" s="130">
        <f t="shared" si="13"/>
        <v>3371</v>
      </c>
      <c r="O128" s="189">
        <f>MIN('ANÁLISIS CONSOLIDADO'!H128:K128)</f>
        <v>2030</v>
      </c>
      <c r="P128" s="50">
        <f>COUNTIFS('ANÁLISIS CONSOLIDADO'!H128:K128,"&gt;0",'ANÁLISIS CONSOLIDADO'!H128:K128,"&lt;="&amp;'PRECIOS UNITARIOS TECHO'!N128)</f>
        <v>2</v>
      </c>
      <c r="Q128" s="190" t="str">
        <f t="shared" si="14"/>
        <v>MAYOR RIESGO</v>
      </c>
      <c r="R128" s="130">
        <f>N128</f>
        <v>3371</v>
      </c>
      <c r="S128" s="191" t="s">
        <v>623</v>
      </c>
    </row>
    <row r="129" spans="1:19" ht="18" customHeight="1">
      <c r="A129" s="3">
        <v>119</v>
      </c>
      <c r="B129" s="330" t="s">
        <v>131</v>
      </c>
      <c r="C129" s="331"/>
      <c r="D129" s="331"/>
      <c r="E129" s="331"/>
      <c r="F129" s="332"/>
      <c r="G129" s="2" t="s">
        <v>19</v>
      </c>
      <c r="H129" s="129">
        <f>'ANÁLISIS CONSOLIDADO'!L129</f>
        <v>0.68135607488351657</v>
      </c>
      <c r="I129" s="16">
        <f>'ANÁLISIS CONSOLIDADO'!N129</f>
        <v>5265.75</v>
      </c>
      <c r="J129" s="49">
        <f>'ANÁLISIS CONSOLIDADO'!X129</f>
        <v>0.1496552465592243</v>
      </c>
      <c r="K129" s="16">
        <f>'ANÁLISIS CONSOLIDADO'!Z129</f>
        <v>3189.3218999999995</v>
      </c>
      <c r="L129" s="123">
        <f t="shared" si="11"/>
        <v>0.18008809591114097</v>
      </c>
      <c r="M129" s="49">
        <f t="shared" si="12"/>
        <v>0.81991190408885906</v>
      </c>
      <c r="N129" s="130">
        <f t="shared" si="13"/>
        <v>3564</v>
      </c>
      <c r="O129" s="189">
        <f>MIN('ANÁLISIS CONSOLIDADO'!H129:K129)</f>
        <v>2030</v>
      </c>
      <c r="P129" s="50">
        <f>COUNTIFS('ANÁLISIS CONSOLIDADO'!H129:K129,"&gt;0",'ANÁLISIS CONSOLIDADO'!H129:K129,"&lt;="&amp;'PRECIOS UNITARIOS TECHO'!N129)</f>
        <v>2</v>
      </c>
      <c r="Q129" s="190" t="str">
        <f t="shared" si="14"/>
        <v>MAYOR RIESGO</v>
      </c>
      <c r="R129" s="130">
        <f>N129</f>
        <v>3564</v>
      </c>
      <c r="S129" s="191" t="s">
        <v>623</v>
      </c>
    </row>
    <row r="130" spans="1:19" ht="18" customHeight="1">
      <c r="A130" s="3">
        <v>120</v>
      </c>
      <c r="B130" s="330" t="s">
        <v>132</v>
      </c>
      <c r="C130" s="331"/>
      <c r="D130" s="331"/>
      <c r="E130" s="331"/>
      <c r="F130" s="332"/>
      <c r="G130" s="2" t="s">
        <v>48</v>
      </c>
      <c r="H130" s="129">
        <f>'ANÁLISIS CONSOLIDADO'!L130</f>
        <v>0.3993950226640916</v>
      </c>
      <c r="I130" s="16">
        <f>'ANÁLISIS CONSOLIDADO'!N130</f>
        <v>58266</v>
      </c>
      <c r="J130" s="49">
        <f>'ANÁLISIS CONSOLIDADO'!X130</f>
        <v>0.43432051287767914</v>
      </c>
      <c r="K130" s="16">
        <f>'ANÁLISIS CONSOLIDADO'!Z130</f>
        <v>50484.4358336</v>
      </c>
      <c r="L130" s="123">
        <f t="shared" si="11"/>
        <v>0.52094568754250936</v>
      </c>
      <c r="M130" s="49">
        <f t="shared" si="12"/>
        <v>0.47905431245749069</v>
      </c>
      <c r="N130" s="130">
        <f t="shared" si="13"/>
        <v>54539</v>
      </c>
      <c r="O130" s="189">
        <f>MIN('ANÁLISIS CONSOLIDADO'!H130:K130)</f>
        <v>53550</v>
      </c>
      <c r="P130" s="50">
        <f>COUNTIFS('ANÁLISIS CONSOLIDADO'!H130:K130,"&gt;0",'ANÁLISIS CONSOLIDADO'!H130:K130,"&lt;="&amp;'PRECIOS UNITARIOS TECHO'!N130)</f>
        <v>1</v>
      </c>
      <c r="Q130" s="190" t="str">
        <f t="shared" si="14"/>
        <v>MAYOR RIESGO</v>
      </c>
      <c r="R130" s="51">
        <f t="shared" si="17"/>
        <v>58266</v>
      </c>
      <c r="S130" s="190" t="s">
        <v>622</v>
      </c>
    </row>
    <row r="131" spans="1:19" ht="18" customHeight="1">
      <c r="A131" s="3">
        <v>121</v>
      </c>
      <c r="B131" s="330" t="s">
        <v>133</v>
      </c>
      <c r="C131" s="331"/>
      <c r="D131" s="331"/>
      <c r="E131" s="331"/>
      <c r="F131" s="332"/>
      <c r="G131" s="2" t="s">
        <v>19</v>
      </c>
      <c r="H131" s="129">
        <f>'ANÁLISIS CONSOLIDADO'!L131</f>
        <v>0.543234874202011</v>
      </c>
      <c r="I131" s="16">
        <f>'ANÁLISIS CONSOLIDADO'!N131</f>
        <v>1069561.29</v>
      </c>
      <c r="J131" s="49">
        <f>'ANÁLISIS CONSOLIDADO'!X131</f>
        <v>0.49478015704022515</v>
      </c>
      <c r="K131" s="16">
        <f>'ANÁLISIS CONSOLIDADO'!Z131</f>
        <v>662638.13682000001</v>
      </c>
      <c r="L131" s="123">
        <f t="shared" si="11"/>
        <v>0.47665991546201508</v>
      </c>
      <c r="M131" s="49">
        <f t="shared" si="12"/>
        <v>0.52334008453798508</v>
      </c>
      <c r="N131" s="130">
        <f t="shared" si="13"/>
        <v>856603</v>
      </c>
      <c r="O131" s="189">
        <f>MIN('ANÁLISIS CONSOLIDADO'!H131:K131)</f>
        <v>784210</v>
      </c>
      <c r="P131" s="50">
        <f>COUNTIFS('ANÁLISIS CONSOLIDADO'!H131:K131,"&gt;0",'ANÁLISIS CONSOLIDADO'!H131:K131,"&lt;="&amp;'PRECIOS UNITARIOS TECHO'!N131)</f>
        <v>1</v>
      </c>
      <c r="Q131" s="190" t="str">
        <f t="shared" si="14"/>
        <v>MAYOR RIESGO</v>
      </c>
      <c r="R131" s="51">
        <f t="shared" si="17"/>
        <v>1069561.29</v>
      </c>
      <c r="S131" s="190" t="s">
        <v>622</v>
      </c>
    </row>
    <row r="132" spans="1:19" ht="20.25" customHeight="1">
      <c r="A132" s="3">
        <v>122</v>
      </c>
      <c r="B132" s="333" t="s">
        <v>599</v>
      </c>
      <c r="C132" s="415"/>
      <c r="D132" s="415"/>
      <c r="E132" s="415"/>
      <c r="F132" s="416"/>
      <c r="G132" s="2" t="s">
        <v>19</v>
      </c>
      <c r="H132" s="129">
        <f>'ANÁLISIS CONSOLIDADO'!L132</f>
        <v>0.27443705105463317</v>
      </c>
      <c r="I132" s="16">
        <f>'ANÁLISIS CONSOLIDADO'!N132</f>
        <v>8359.75</v>
      </c>
      <c r="J132" s="49">
        <f>'ANÁLISIS CONSOLIDADO'!X132</f>
        <v>0.50601635866975658</v>
      </c>
      <c r="K132" s="16">
        <f>'ANÁLISIS CONSOLIDADO'!Z132</f>
        <v>4291.8415937312002</v>
      </c>
      <c r="L132" s="123">
        <f t="shared" si="11"/>
        <v>0.64836203207626675</v>
      </c>
      <c r="M132" s="49">
        <f t="shared" si="12"/>
        <v>0.3516379679237332</v>
      </c>
      <c r="N132" s="130">
        <f t="shared" si="13"/>
        <v>6930</v>
      </c>
      <c r="O132" s="189">
        <f>MIN('ANÁLISIS CONSOLIDADO'!H132:K132)</f>
        <v>5748</v>
      </c>
      <c r="P132" s="50">
        <f>COUNTIFS('ANÁLISIS CONSOLIDADO'!H132:K132,"&gt;0",'ANÁLISIS CONSOLIDADO'!H132:K132,"&lt;="&amp;'PRECIOS UNITARIOS TECHO'!N132)</f>
        <v>1</v>
      </c>
      <c r="Q132" s="190" t="str">
        <f t="shared" si="14"/>
        <v>MAYOR RIESGO</v>
      </c>
      <c r="R132" s="51">
        <f t="shared" si="17"/>
        <v>8359.75</v>
      </c>
      <c r="S132" s="190" t="s">
        <v>622</v>
      </c>
    </row>
    <row r="133" spans="1:19" ht="30" customHeight="1">
      <c r="A133" s="3">
        <v>123</v>
      </c>
      <c r="B133" s="330" t="s">
        <v>246</v>
      </c>
      <c r="C133" s="331"/>
      <c r="D133" s="331"/>
      <c r="E133" s="331"/>
      <c r="F133" s="332"/>
      <c r="G133" s="2" t="s">
        <v>134</v>
      </c>
      <c r="H133" s="129">
        <f>'ANÁLISIS CONSOLIDADO'!L133</f>
        <v>0.15102879106179329</v>
      </c>
      <c r="I133" s="16">
        <f>'ANÁLISIS CONSOLIDADO'!N133</f>
        <v>7318.5</v>
      </c>
      <c r="J133" s="49">
        <f>'ANÁLISIS CONSOLIDADO'!X133</f>
        <v>0.72029643504504992</v>
      </c>
      <c r="K133" s="16">
        <f>'ANÁLISIS CONSOLIDADO'!Z133</f>
        <v>3198.4532033887999</v>
      </c>
      <c r="L133" s="123">
        <f t="shared" si="11"/>
        <v>0.82666771655791149</v>
      </c>
      <c r="M133" s="49">
        <f t="shared" si="12"/>
        <v>0.17333228344208862</v>
      </c>
      <c r="N133" s="130">
        <f>ROUNDUP((I133*L133)+(K133*M133),0)</f>
        <v>6605</v>
      </c>
      <c r="O133" s="189">
        <f>MIN('ANÁLISIS CONSOLIDADO'!H133:K133)</f>
        <v>5748</v>
      </c>
      <c r="P133" s="50">
        <f>COUNTIFS('ANÁLISIS CONSOLIDADO'!H133:K133,"&gt;0",'ANÁLISIS CONSOLIDADO'!H133:K133,"&lt;="&amp;'PRECIOS UNITARIOS TECHO'!N133)</f>
        <v>1</v>
      </c>
      <c r="Q133" s="190" t="str">
        <f t="shared" si="14"/>
        <v>MAYOR RIESGO</v>
      </c>
      <c r="R133" s="51">
        <f t="shared" si="17"/>
        <v>7318.5</v>
      </c>
      <c r="S133" s="190" t="s">
        <v>622</v>
      </c>
    </row>
    <row r="134" spans="1:19">
      <c r="K134" s="125"/>
    </row>
    <row r="135" spans="1:19">
      <c r="H135" s="127"/>
      <c r="I135" s="41"/>
      <c r="K135" s="128"/>
    </row>
    <row r="136" spans="1:19" hidden="1">
      <c r="K136" s="128"/>
    </row>
  </sheetData>
  <autoFilter ref="B9:S133" xr:uid="{3648D6D1-8874-4A4A-8241-4225C60FCC1A}">
    <filterColumn colId="0" showButton="0"/>
    <filterColumn colId="1" showButton="0"/>
    <filterColumn colId="2" showButton="0"/>
    <filterColumn colId="3" showButton="0"/>
  </autoFilter>
  <mergeCells count="145">
    <mergeCell ref="Q9:Q10"/>
    <mergeCell ref="R9:R10"/>
    <mergeCell ref="S9:S10"/>
    <mergeCell ref="R4:R5"/>
    <mergeCell ref="B133:F133"/>
    <mergeCell ref="B127:F127"/>
    <mergeCell ref="B128:F128"/>
    <mergeCell ref="B129:F129"/>
    <mergeCell ref="B130:F130"/>
    <mergeCell ref="B131:F131"/>
    <mergeCell ref="B132:F132"/>
    <mergeCell ref="B121:F121"/>
    <mergeCell ref="B122:F122"/>
    <mergeCell ref="B123:F123"/>
    <mergeCell ref="B124:F124"/>
    <mergeCell ref="B125:F125"/>
    <mergeCell ref="B126:F126"/>
    <mergeCell ref="B118:F118"/>
    <mergeCell ref="B119:F119"/>
    <mergeCell ref="B120:F120"/>
    <mergeCell ref="B109:F109"/>
    <mergeCell ref="B110:F110"/>
    <mergeCell ref="B111:F111"/>
    <mergeCell ref="B112:F112"/>
    <mergeCell ref="B113:F113"/>
    <mergeCell ref="B114:F114"/>
    <mergeCell ref="B115:F115"/>
    <mergeCell ref="B116:F116"/>
    <mergeCell ref="B117:F117"/>
    <mergeCell ref="B103:F103"/>
    <mergeCell ref="B104:F104"/>
    <mergeCell ref="B105:F105"/>
    <mergeCell ref="B106:F106"/>
    <mergeCell ref="B107:F107"/>
    <mergeCell ref="B108:F108"/>
    <mergeCell ref="B97:F97"/>
    <mergeCell ref="B98:F98"/>
    <mergeCell ref="B99:F99"/>
    <mergeCell ref="B100:F100"/>
    <mergeCell ref="B101:F101"/>
    <mergeCell ref="B102:F102"/>
    <mergeCell ref="B91:F91"/>
    <mergeCell ref="B92:F92"/>
    <mergeCell ref="B93:F93"/>
    <mergeCell ref="B94:F94"/>
    <mergeCell ref="B95:F95"/>
    <mergeCell ref="B96:F96"/>
    <mergeCell ref="B85:F85"/>
    <mergeCell ref="B86:F86"/>
    <mergeCell ref="B87:F87"/>
    <mergeCell ref="B88:F88"/>
    <mergeCell ref="B89:F89"/>
    <mergeCell ref="B90:F90"/>
    <mergeCell ref="B79:F79"/>
    <mergeCell ref="B80:F80"/>
    <mergeCell ref="B81:F81"/>
    <mergeCell ref="B82:F82"/>
    <mergeCell ref="B83:F83"/>
    <mergeCell ref="B84:F84"/>
    <mergeCell ref="B73:F73"/>
    <mergeCell ref="B74:F74"/>
    <mergeCell ref="B75:F75"/>
    <mergeCell ref="B76:F76"/>
    <mergeCell ref="B77:F77"/>
    <mergeCell ref="B78:F78"/>
    <mergeCell ref="B67:F67"/>
    <mergeCell ref="B68:F68"/>
    <mergeCell ref="B69:F69"/>
    <mergeCell ref="B70:F70"/>
    <mergeCell ref="B71:F71"/>
    <mergeCell ref="B72:F72"/>
    <mergeCell ref="B61:F61"/>
    <mergeCell ref="B62:F62"/>
    <mergeCell ref="B63:F63"/>
    <mergeCell ref="B64:F64"/>
    <mergeCell ref="B65:F65"/>
    <mergeCell ref="B66:F66"/>
    <mergeCell ref="B55:F55"/>
    <mergeCell ref="B56:F56"/>
    <mergeCell ref="B57:F57"/>
    <mergeCell ref="B58:F58"/>
    <mergeCell ref="B59:F59"/>
    <mergeCell ref="B60:F60"/>
    <mergeCell ref="B49:F49"/>
    <mergeCell ref="B50:F50"/>
    <mergeCell ref="B51:F51"/>
    <mergeCell ref="B52:F52"/>
    <mergeCell ref="B53:F53"/>
    <mergeCell ref="B54:F54"/>
    <mergeCell ref="B43:F43"/>
    <mergeCell ref="B44:F44"/>
    <mergeCell ref="B45:F45"/>
    <mergeCell ref="B46:F46"/>
    <mergeCell ref="B47:F47"/>
    <mergeCell ref="B48:F48"/>
    <mergeCell ref="B37:F37"/>
    <mergeCell ref="B38:F38"/>
    <mergeCell ref="B39:F39"/>
    <mergeCell ref="B40:F40"/>
    <mergeCell ref="B41:F41"/>
    <mergeCell ref="B42:F42"/>
    <mergeCell ref="B31:F31"/>
    <mergeCell ref="B32:F32"/>
    <mergeCell ref="B33:F33"/>
    <mergeCell ref="B34:F34"/>
    <mergeCell ref="B35:F35"/>
    <mergeCell ref="B36:F36"/>
    <mergeCell ref="B25:F25"/>
    <mergeCell ref="B26:F26"/>
    <mergeCell ref="B27:F27"/>
    <mergeCell ref="B28:F28"/>
    <mergeCell ref="B29:F29"/>
    <mergeCell ref="B30:F30"/>
    <mergeCell ref="B19:F19"/>
    <mergeCell ref="B20:F20"/>
    <mergeCell ref="H9:H10"/>
    <mergeCell ref="B21:F21"/>
    <mergeCell ref="B22:F22"/>
    <mergeCell ref="B23:F23"/>
    <mergeCell ref="B24:F24"/>
    <mergeCell ref="B13:F13"/>
    <mergeCell ref="B14:F14"/>
    <mergeCell ref="B15:F15"/>
    <mergeCell ref="B16:F16"/>
    <mergeCell ref="B17:F17"/>
    <mergeCell ref="B18:F18"/>
    <mergeCell ref="B9:F10"/>
    <mergeCell ref="G9:G10"/>
    <mergeCell ref="I9:I10"/>
    <mergeCell ref="J9:J10"/>
    <mergeCell ref="K9:K10"/>
    <mergeCell ref="L9:L10"/>
    <mergeCell ref="P9:P10"/>
    <mergeCell ref="A7:C7"/>
    <mergeCell ref="B11:F11"/>
    <mergeCell ref="B12:F12"/>
    <mergeCell ref="A1:H1"/>
    <mergeCell ref="A2:H2"/>
    <mergeCell ref="A4:C4"/>
    <mergeCell ref="D4:H4"/>
    <mergeCell ref="M9:M10"/>
    <mergeCell ref="N9:N10"/>
    <mergeCell ref="O9:O10"/>
    <mergeCell ref="D7:F7"/>
    <mergeCell ref="A9:A10"/>
  </mergeCells>
  <pageMargins left="0.7" right="0.7" top="0.75" bottom="0.75" header="0.3" footer="0.3"/>
  <pageSetup paperSize="9" scale="21" orientation="landscape" r:id="rId1"/>
  <ignoredErrors>
    <ignoredError sqref="N31 N38 R21:R26 R40:R43 R60 R72 R76 R85:R90 R91 R102"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3AB83-747F-4D44-B868-C5AA1A277A98}">
  <sheetPr>
    <tabColor theme="3" tint="0.249977111117893"/>
  </sheetPr>
  <dimension ref="A1:R145"/>
  <sheetViews>
    <sheetView showGridLines="0" topLeftCell="I27" zoomScaleNormal="100" workbookViewId="0">
      <selection activeCell="P27" sqref="P27"/>
    </sheetView>
  </sheetViews>
  <sheetFormatPr baseColWidth="10" defaultColWidth="8" defaultRowHeight="13.8"/>
  <cols>
    <col min="1" max="1" width="6.88671875" style="1" customWidth="1"/>
    <col min="2" max="2" width="21" style="1" customWidth="1"/>
    <col min="3" max="3" width="6.88671875" style="1" customWidth="1"/>
    <col min="4" max="4" width="2.88671875" style="1" customWidth="1"/>
    <col min="5" max="5" width="4" style="1" customWidth="1"/>
    <col min="6" max="6" width="17" style="1" customWidth="1"/>
    <col min="7" max="7" width="14.88671875" style="1" customWidth="1"/>
    <col min="8" max="8" width="13.88671875" style="1" customWidth="1"/>
    <col min="9" max="9" width="9" style="1" customWidth="1"/>
    <col min="10" max="10" width="16" style="1" customWidth="1"/>
    <col min="11" max="11" width="46.88671875" style="1" customWidth="1"/>
    <col min="12" max="12" width="8" style="1"/>
    <col min="13" max="14" width="11.109375" style="233" customWidth="1"/>
    <col min="15" max="17" width="8" style="1"/>
    <col min="18" max="18" width="11.21875" style="1" bestFit="1" customWidth="1"/>
    <col min="19" max="16384" width="8" style="1"/>
  </cols>
  <sheetData>
    <row r="1" spans="1:18" ht="32.1" customHeight="1">
      <c r="A1" s="428" t="s">
        <v>2</v>
      </c>
      <c r="B1" s="429"/>
      <c r="C1" s="429"/>
      <c r="D1" s="429"/>
      <c r="E1" s="429"/>
      <c r="F1" s="429"/>
      <c r="G1" s="429"/>
      <c r="H1" s="429"/>
      <c r="I1" s="429"/>
      <c r="J1" s="430"/>
      <c r="K1" s="437" t="s">
        <v>752</v>
      </c>
    </row>
    <row r="2" spans="1:18" ht="15" customHeight="1">
      <c r="A2" s="440" t="s">
        <v>162</v>
      </c>
      <c r="B2" s="441"/>
      <c r="C2" s="441"/>
      <c r="D2" s="441"/>
      <c r="E2" s="441"/>
      <c r="F2" s="441"/>
      <c r="G2" s="441"/>
      <c r="H2" s="441"/>
      <c r="I2" s="441"/>
      <c r="J2" s="442"/>
      <c r="K2" s="438"/>
    </row>
    <row r="3" spans="1:18" ht="11.1" customHeight="1">
      <c r="A3" s="443"/>
      <c r="B3" s="444"/>
      <c r="C3" s="444"/>
      <c r="D3" s="444"/>
      <c r="E3" s="444"/>
      <c r="F3" s="444"/>
      <c r="G3" s="444"/>
      <c r="H3" s="444"/>
      <c r="I3" s="444"/>
      <c r="J3" s="445"/>
      <c r="K3" s="438"/>
    </row>
    <row r="4" spans="1:18" ht="30" customHeight="1">
      <c r="A4" s="446" t="s">
        <v>163</v>
      </c>
      <c r="B4" s="447"/>
      <c r="C4" s="448" t="s">
        <v>3</v>
      </c>
      <c r="D4" s="449"/>
      <c r="E4" s="449"/>
      <c r="F4" s="449"/>
      <c r="G4" s="449"/>
      <c r="H4" s="449"/>
      <c r="I4" s="449"/>
      <c r="J4" s="450"/>
      <c r="K4" s="438"/>
    </row>
    <row r="5" spans="1:18" ht="11.1" customHeight="1">
      <c r="A5" s="423"/>
      <c r="B5" s="424"/>
      <c r="C5" s="424"/>
      <c r="D5" s="424"/>
      <c r="E5" s="424"/>
      <c r="F5" s="424"/>
      <c r="G5" s="424"/>
      <c r="H5" s="424"/>
      <c r="I5" s="424"/>
      <c r="J5" s="425"/>
      <c r="K5" s="438"/>
    </row>
    <row r="6" spans="1:18" ht="20.100000000000001" customHeight="1">
      <c r="A6" s="235" t="s">
        <v>4</v>
      </c>
      <c r="B6" s="451" t="s">
        <v>0</v>
      </c>
      <c r="C6" s="451"/>
      <c r="D6" s="452" t="s">
        <v>5</v>
      </c>
      <c r="E6" s="452"/>
      <c r="F6" s="453" t="s">
        <v>747</v>
      </c>
      <c r="G6" s="453"/>
      <c r="H6" s="236" t="s">
        <v>6</v>
      </c>
      <c r="I6" s="454" t="s">
        <v>746</v>
      </c>
      <c r="J6" s="455"/>
      <c r="K6" s="438"/>
    </row>
    <row r="7" spans="1:18" ht="11.1" customHeight="1">
      <c r="A7" s="235" t="s">
        <v>7</v>
      </c>
      <c r="B7" s="456" t="s">
        <v>745</v>
      </c>
      <c r="C7" s="456"/>
      <c r="D7" s="457" t="s">
        <v>8</v>
      </c>
      <c r="E7" s="457"/>
      <c r="F7" s="458" t="s">
        <v>744</v>
      </c>
      <c r="G7" s="458"/>
      <c r="H7" s="236" t="s">
        <v>9</v>
      </c>
      <c r="I7" s="459">
        <v>3115175505</v>
      </c>
      <c r="J7" s="460"/>
      <c r="K7" s="438"/>
    </row>
    <row r="8" spans="1:18" ht="11.1" customHeight="1">
      <c r="A8" s="235" t="s">
        <v>10</v>
      </c>
      <c r="B8" s="461">
        <v>46335</v>
      </c>
      <c r="C8" s="461"/>
      <c r="D8" s="457" t="s">
        <v>11</v>
      </c>
      <c r="E8" s="457"/>
      <c r="F8" s="462" t="s">
        <v>743</v>
      </c>
      <c r="G8" s="462"/>
      <c r="H8" s="236" t="s">
        <v>12</v>
      </c>
      <c r="I8" s="459">
        <v>6215575</v>
      </c>
      <c r="J8" s="460"/>
      <c r="K8" s="438"/>
    </row>
    <row r="9" spans="1:18" ht="11.1" customHeight="1">
      <c r="A9" s="420"/>
      <c r="B9" s="421"/>
      <c r="C9" s="421"/>
      <c r="D9" s="421"/>
      <c r="E9" s="421"/>
      <c r="F9" s="421"/>
      <c r="G9" s="421"/>
      <c r="H9" s="421"/>
      <c r="I9" s="421"/>
      <c r="J9" s="422"/>
      <c r="K9" s="438"/>
    </row>
    <row r="10" spans="1:18" ht="123.9" customHeight="1">
      <c r="A10" s="341" t="s">
        <v>753</v>
      </c>
      <c r="B10" s="334"/>
      <c r="C10" s="334"/>
      <c r="D10" s="334"/>
      <c r="E10" s="334"/>
      <c r="F10" s="334"/>
      <c r="G10" s="334"/>
      <c r="H10" s="334"/>
      <c r="I10" s="334"/>
      <c r="J10" s="335"/>
      <c r="K10" s="438"/>
    </row>
    <row r="11" spans="1:18" ht="12" customHeight="1">
      <c r="A11" s="423"/>
      <c r="B11" s="424"/>
      <c r="C11" s="424"/>
      <c r="D11" s="424"/>
      <c r="E11" s="424"/>
      <c r="F11" s="424"/>
      <c r="G11" s="424"/>
      <c r="H11" s="424"/>
      <c r="I11" s="424"/>
      <c r="J11" s="425"/>
      <c r="K11" s="438"/>
    </row>
    <row r="12" spans="1:18" ht="12.75" customHeight="1">
      <c r="A12" s="426" t="s">
        <v>13</v>
      </c>
      <c r="B12" s="427"/>
      <c r="C12" s="428" t="s">
        <v>628</v>
      </c>
      <c r="D12" s="429"/>
      <c r="E12" s="429"/>
      <c r="F12" s="429"/>
      <c r="G12" s="430"/>
      <c r="H12" s="431"/>
      <c r="I12" s="432"/>
      <c r="J12" s="433"/>
      <c r="K12" s="438"/>
    </row>
    <row r="13" spans="1:18" ht="11.1" customHeight="1">
      <c r="A13" s="420"/>
      <c r="B13" s="421"/>
      <c r="C13" s="421"/>
      <c r="D13" s="421"/>
      <c r="E13" s="421"/>
      <c r="F13" s="421"/>
      <c r="G13" s="421"/>
      <c r="H13" s="421"/>
      <c r="I13" s="421"/>
      <c r="J13" s="422"/>
      <c r="K13" s="439"/>
    </row>
    <row r="14" spans="1:18" ht="24.9" customHeight="1">
      <c r="A14" s="237" t="s">
        <v>14</v>
      </c>
      <c r="B14" s="434" t="s">
        <v>15</v>
      </c>
      <c r="C14" s="435"/>
      <c r="D14" s="435"/>
      <c r="E14" s="435"/>
      <c r="F14" s="436"/>
      <c r="G14" s="237" t="s">
        <v>16</v>
      </c>
      <c r="H14" s="238" t="s">
        <v>250</v>
      </c>
      <c r="I14" s="237" t="s">
        <v>17</v>
      </c>
      <c r="J14" s="239" t="s">
        <v>18</v>
      </c>
      <c r="K14" s="240" t="s">
        <v>742</v>
      </c>
      <c r="R14" s="296" t="s">
        <v>793</v>
      </c>
    </row>
    <row r="15" spans="1:18" ht="20.100000000000001" customHeight="1">
      <c r="A15" s="241">
        <v>1</v>
      </c>
      <c r="B15" s="341" t="s">
        <v>754</v>
      </c>
      <c r="C15" s="334"/>
      <c r="D15" s="334"/>
      <c r="E15" s="334"/>
      <c r="F15" s="335"/>
      <c r="G15" s="242" t="s">
        <v>19</v>
      </c>
      <c r="H15" s="243">
        <v>19215</v>
      </c>
      <c r="I15" s="244">
        <v>3651</v>
      </c>
      <c r="J15" s="244">
        <v>22866</v>
      </c>
      <c r="K15" s="245" t="s">
        <v>630</v>
      </c>
      <c r="M15" s="233">
        <f>H15*19%</f>
        <v>3650.85</v>
      </c>
      <c r="N15" s="233">
        <f>H15+M15</f>
        <v>22865.85</v>
      </c>
      <c r="O15" s="127">
        <f>J15-N15</f>
        <v>0.15000000000145519</v>
      </c>
    </row>
    <row r="16" spans="1:18" ht="12.75" customHeight="1">
      <c r="A16" s="241">
        <v>2</v>
      </c>
      <c r="B16" s="417" t="s">
        <v>20</v>
      </c>
      <c r="C16" s="418"/>
      <c r="D16" s="418"/>
      <c r="E16" s="418"/>
      <c r="F16" s="419"/>
      <c r="G16" s="242" t="s">
        <v>19</v>
      </c>
      <c r="H16" s="246">
        <v>1575</v>
      </c>
      <c r="I16" s="247">
        <v>299</v>
      </c>
      <c r="J16" s="244">
        <v>1874</v>
      </c>
      <c r="K16" s="245" t="s">
        <v>755</v>
      </c>
      <c r="M16" s="233">
        <f t="shared" ref="M16:M79" si="0">H16*19%</f>
        <v>299.25</v>
      </c>
      <c r="N16" s="233">
        <f t="shared" ref="N16:N79" si="1">H16+M16</f>
        <v>1874.25</v>
      </c>
      <c r="O16" s="127">
        <f t="shared" ref="O16:O79" si="2">J16-N16</f>
        <v>-0.25</v>
      </c>
    </row>
    <row r="17" spans="1:15" ht="12.75" customHeight="1">
      <c r="A17" s="241">
        <v>3</v>
      </c>
      <c r="B17" s="417" t="s">
        <v>21</v>
      </c>
      <c r="C17" s="418"/>
      <c r="D17" s="418"/>
      <c r="E17" s="418"/>
      <c r="F17" s="419"/>
      <c r="G17" s="242" t="s">
        <v>19</v>
      </c>
      <c r="H17" s="246">
        <v>2562</v>
      </c>
      <c r="I17" s="247">
        <v>487</v>
      </c>
      <c r="J17" s="244">
        <v>3049</v>
      </c>
      <c r="K17" s="245" t="s">
        <v>631</v>
      </c>
      <c r="M17" s="233">
        <f t="shared" si="0"/>
        <v>486.78000000000003</v>
      </c>
      <c r="N17" s="233">
        <f t="shared" si="1"/>
        <v>3048.78</v>
      </c>
      <c r="O17" s="127">
        <f t="shared" si="2"/>
        <v>0.21999999999979991</v>
      </c>
    </row>
    <row r="18" spans="1:15" ht="12.75" customHeight="1">
      <c r="A18" s="241">
        <v>4</v>
      </c>
      <c r="B18" s="417" t="s">
        <v>22</v>
      </c>
      <c r="C18" s="418"/>
      <c r="D18" s="418"/>
      <c r="E18" s="418"/>
      <c r="F18" s="419"/>
      <c r="G18" s="242" t="s">
        <v>23</v>
      </c>
      <c r="H18" s="248">
        <v>704</v>
      </c>
      <c r="I18" s="247">
        <v>134</v>
      </c>
      <c r="J18" s="247">
        <v>837</v>
      </c>
      <c r="K18" s="245" t="s">
        <v>632</v>
      </c>
      <c r="M18" s="233">
        <f t="shared" si="0"/>
        <v>133.76</v>
      </c>
      <c r="N18" s="233">
        <f t="shared" si="1"/>
        <v>837.76</v>
      </c>
      <c r="O18" s="127">
        <f t="shared" si="2"/>
        <v>-0.75999999999999091</v>
      </c>
    </row>
    <row r="19" spans="1:15" ht="19.5" customHeight="1">
      <c r="A19" s="241">
        <v>5</v>
      </c>
      <c r="B19" s="341" t="s">
        <v>756</v>
      </c>
      <c r="C19" s="334"/>
      <c r="D19" s="334"/>
      <c r="E19" s="334"/>
      <c r="F19" s="335"/>
      <c r="G19" s="242" t="s">
        <v>24</v>
      </c>
      <c r="H19" s="246">
        <v>1496</v>
      </c>
      <c r="I19" s="247">
        <v>284</v>
      </c>
      <c r="J19" s="244">
        <v>1781</v>
      </c>
      <c r="K19" s="245" t="s">
        <v>633</v>
      </c>
      <c r="M19" s="233">
        <f t="shared" si="0"/>
        <v>284.24</v>
      </c>
      <c r="N19" s="233">
        <f t="shared" si="1"/>
        <v>1780.24</v>
      </c>
      <c r="O19" s="127">
        <f t="shared" si="2"/>
        <v>0.75999999999999091</v>
      </c>
    </row>
    <row r="20" spans="1:15" ht="12.75" customHeight="1">
      <c r="A20" s="241">
        <v>6</v>
      </c>
      <c r="B20" s="417" t="s">
        <v>25</v>
      </c>
      <c r="C20" s="418"/>
      <c r="D20" s="418"/>
      <c r="E20" s="418"/>
      <c r="F20" s="419"/>
      <c r="G20" s="242" t="s">
        <v>19</v>
      </c>
      <c r="H20" s="248">
        <v>525</v>
      </c>
      <c r="I20" s="247">
        <v>100</v>
      </c>
      <c r="J20" s="247">
        <v>625</v>
      </c>
      <c r="K20" s="245" t="s">
        <v>634</v>
      </c>
      <c r="M20" s="233">
        <f t="shared" si="0"/>
        <v>99.75</v>
      </c>
      <c r="N20" s="233">
        <f t="shared" si="1"/>
        <v>624.75</v>
      </c>
      <c r="O20" s="127">
        <f t="shared" si="2"/>
        <v>0.25</v>
      </c>
    </row>
    <row r="21" spans="1:15" ht="12.75" customHeight="1">
      <c r="A21" s="241">
        <v>7</v>
      </c>
      <c r="B21" s="417" t="s">
        <v>26</v>
      </c>
      <c r="C21" s="418"/>
      <c r="D21" s="418"/>
      <c r="E21" s="418"/>
      <c r="F21" s="419"/>
      <c r="G21" s="242" t="s">
        <v>19</v>
      </c>
      <c r="H21" s="246">
        <v>3413</v>
      </c>
      <c r="I21" s="247">
        <v>648</v>
      </c>
      <c r="J21" s="244">
        <v>4061</v>
      </c>
      <c r="K21" s="245" t="s">
        <v>635</v>
      </c>
      <c r="M21" s="233">
        <f t="shared" si="0"/>
        <v>648.47</v>
      </c>
      <c r="N21" s="233">
        <f t="shared" si="1"/>
        <v>4061.4700000000003</v>
      </c>
      <c r="O21" s="127">
        <f t="shared" si="2"/>
        <v>-0.47000000000025466</v>
      </c>
    </row>
    <row r="22" spans="1:15" ht="12.75" customHeight="1">
      <c r="A22" s="241">
        <v>8</v>
      </c>
      <c r="B22" s="417" t="s">
        <v>27</v>
      </c>
      <c r="C22" s="418"/>
      <c r="D22" s="418"/>
      <c r="E22" s="418"/>
      <c r="F22" s="419"/>
      <c r="G22" s="242" t="s">
        <v>19</v>
      </c>
      <c r="H22" s="246">
        <v>2100</v>
      </c>
      <c r="I22" s="247">
        <v>399</v>
      </c>
      <c r="J22" s="244">
        <v>2499</v>
      </c>
      <c r="K22" s="245" t="s">
        <v>636</v>
      </c>
      <c r="M22" s="233">
        <f t="shared" si="0"/>
        <v>399</v>
      </c>
      <c r="N22" s="233">
        <f t="shared" si="1"/>
        <v>2499</v>
      </c>
      <c r="O22" s="127">
        <f t="shared" si="2"/>
        <v>0</v>
      </c>
    </row>
    <row r="23" spans="1:15" ht="12.75" customHeight="1">
      <c r="A23" s="241">
        <v>9</v>
      </c>
      <c r="B23" s="417" t="s">
        <v>28</v>
      </c>
      <c r="C23" s="418"/>
      <c r="D23" s="418"/>
      <c r="E23" s="418"/>
      <c r="F23" s="419"/>
      <c r="G23" s="242" t="s">
        <v>19</v>
      </c>
      <c r="H23" s="248">
        <v>520</v>
      </c>
      <c r="I23" s="247">
        <v>99</v>
      </c>
      <c r="J23" s="247">
        <v>619</v>
      </c>
      <c r="K23" s="245" t="s">
        <v>637</v>
      </c>
      <c r="M23" s="233">
        <f t="shared" si="0"/>
        <v>98.8</v>
      </c>
      <c r="N23" s="233">
        <f t="shared" si="1"/>
        <v>618.79999999999995</v>
      </c>
      <c r="O23" s="127">
        <f t="shared" si="2"/>
        <v>0.20000000000004547</v>
      </c>
    </row>
    <row r="24" spans="1:15" ht="12.75" customHeight="1">
      <c r="A24" s="241">
        <v>10</v>
      </c>
      <c r="B24" s="417" t="s">
        <v>29</v>
      </c>
      <c r="C24" s="418"/>
      <c r="D24" s="418"/>
      <c r="E24" s="418"/>
      <c r="F24" s="419"/>
      <c r="G24" s="242" t="s">
        <v>19</v>
      </c>
      <c r="H24" s="248">
        <v>520</v>
      </c>
      <c r="I24" s="247">
        <v>99</v>
      </c>
      <c r="J24" s="247">
        <v>619</v>
      </c>
      <c r="K24" s="245" t="s">
        <v>638</v>
      </c>
      <c r="M24" s="233">
        <f t="shared" si="0"/>
        <v>98.8</v>
      </c>
      <c r="N24" s="233">
        <f t="shared" si="1"/>
        <v>618.79999999999995</v>
      </c>
      <c r="O24" s="127">
        <f t="shared" si="2"/>
        <v>0.20000000000004547</v>
      </c>
    </row>
    <row r="25" spans="1:15" ht="12.75" customHeight="1">
      <c r="A25" s="241">
        <v>11</v>
      </c>
      <c r="B25" s="417" t="s">
        <v>30</v>
      </c>
      <c r="C25" s="418"/>
      <c r="D25" s="418"/>
      <c r="E25" s="418"/>
      <c r="F25" s="419"/>
      <c r="G25" s="242" t="s">
        <v>31</v>
      </c>
      <c r="H25" s="246">
        <v>2898</v>
      </c>
      <c r="I25" s="247">
        <v>551</v>
      </c>
      <c r="J25" s="244">
        <v>3449</v>
      </c>
      <c r="K25" s="245" t="s">
        <v>639</v>
      </c>
      <c r="M25" s="233">
        <f t="shared" si="0"/>
        <v>550.62</v>
      </c>
      <c r="N25" s="233">
        <f t="shared" si="1"/>
        <v>3448.62</v>
      </c>
      <c r="O25" s="127">
        <f t="shared" si="2"/>
        <v>0.38000000000010914</v>
      </c>
    </row>
    <row r="26" spans="1:15" ht="19.5" customHeight="1">
      <c r="A26" s="241">
        <v>12</v>
      </c>
      <c r="B26" s="341" t="s">
        <v>757</v>
      </c>
      <c r="C26" s="334"/>
      <c r="D26" s="334"/>
      <c r="E26" s="334"/>
      <c r="F26" s="335"/>
      <c r="G26" s="242" t="s">
        <v>19</v>
      </c>
      <c r="H26" s="246">
        <v>1181</v>
      </c>
      <c r="I26" s="247">
        <v>224</v>
      </c>
      <c r="J26" s="244">
        <v>1406</v>
      </c>
      <c r="K26" s="245" t="s">
        <v>640</v>
      </c>
      <c r="M26" s="233">
        <f t="shared" si="0"/>
        <v>224.39000000000001</v>
      </c>
      <c r="N26" s="233">
        <f t="shared" si="1"/>
        <v>1405.39</v>
      </c>
      <c r="O26" s="127">
        <f t="shared" si="2"/>
        <v>0.60999999999989996</v>
      </c>
    </row>
    <row r="27" spans="1:15" ht="12.75" customHeight="1">
      <c r="A27" s="241">
        <v>13</v>
      </c>
      <c r="B27" s="417" t="s">
        <v>32</v>
      </c>
      <c r="C27" s="418"/>
      <c r="D27" s="418"/>
      <c r="E27" s="418"/>
      <c r="F27" s="419"/>
      <c r="G27" s="242" t="s">
        <v>33</v>
      </c>
      <c r="H27" s="248">
        <v>919</v>
      </c>
      <c r="I27" s="247">
        <v>175</v>
      </c>
      <c r="J27" s="244">
        <v>1093</v>
      </c>
      <c r="K27" s="245" t="s">
        <v>641</v>
      </c>
      <c r="M27" s="233">
        <f t="shared" si="0"/>
        <v>174.61</v>
      </c>
      <c r="N27" s="233">
        <f t="shared" si="1"/>
        <v>1093.6100000000001</v>
      </c>
      <c r="O27" s="127">
        <f t="shared" si="2"/>
        <v>-0.61000000000012733</v>
      </c>
    </row>
    <row r="28" spans="1:15" ht="12.75" customHeight="1">
      <c r="A28" s="241">
        <v>14</v>
      </c>
      <c r="B28" s="417" t="s">
        <v>34</v>
      </c>
      <c r="C28" s="418"/>
      <c r="D28" s="418"/>
      <c r="E28" s="418"/>
      <c r="F28" s="419"/>
      <c r="G28" s="242" t="s">
        <v>19</v>
      </c>
      <c r="H28" s="243">
        <v>43969</v>
      </c>
      <c r="I28" s="244">
        <v>8354</v>
      </c>
      <c r="J28" s="244">
        <v>52323</v>
      </c>
      <c r="K28" s="245" t="s">
        <v>642</v>
      </c>
      <c r="M28" s="233">
        <f t="shared" si="0"/>
        <v>8354.11</v>
      </c>
      <c r="N28" s="233">
        <f t="shared" si="1"/>
        <v>52323.11</v>
      </c>
      <c r="O28" s="127">
        <f t="shared" si="2"/>
        <v>-0.11000000000058208</v>
      </c>
    </row>
    <row r="29" spans="1:15" ht="12.75" customHeight="1">
      <c r="A29" s="241">
        <v>15</v>
      </c>
      <c r="B29" s="417" t="s">
        <v>35</v>
      </c>
      <c r="C29" s="418"/>
      <c r="D29" s="418"/>
      <c r="E29" s="418"/>
      <c r="F29" s="419"/>
      <c r="G29" s="242" t="s">
        <v>19</v>
      </c>
      <c r="H29" s="243">
        <v>43969</v>
      </c>
      <c r="I29" s="244">
        <v>8354</v>
      </c>
      <c r="J29" s="244">
        <v>52323</v>
      </c>
      <c r="K29" s="245" t="s">
        <v>642</v>
      </c>
      <c r="M29" s="233">
        <f t="shared" si="0"/>
        <v>8354.11</v>
      </c>
      <c r="N29" s="233">
        <f t="shared" si="1"/>
        <v>52323.11</v>
      </c>
      <c r="O29" s="127">
        <f t="shared" si="2"/>
        <v>-0.11000000000058208</v>
      </c>
    </row>
    <row r="30" spans="1:15" ht="19.5" customHeight="1">
      <c r="A30" s="241">
        <v>16</v>
      </c>
      <c r="B30" s="341" t="s">
        <v>758</v>
      </c>
      <c r="C30" s="334"/>
      <c r="D30" s="334"/>
      <c r="E30" s="334"/>
      <c r="F30" s="335"/>
      <c r="G30" s="242" t="s">
        <v>19</v>
      </c>
      <c r="H30" s="246">
        <v>5859</v>
      </c>
      <c r="I30" s="244">
        <v>1113</v>
      </c>
      <c r="J30" s="244">
        <v>6972</v>
      </c>
      <c r="K30" s="245" t="s">
        <v>643</v>
      </c>
      <c r="M30" s="233">
        <f t="shared" si="0"/>
        <v>1113.21</v>
      </c>
      <c r="N30" s="233">
        <f t="shared" si="1"/>
        <v>6972.21</v>
      </c>
      <c r="O30" s="127">
        <f t="shared" si="2"/>
        <v>-0.21000000000003638</v>
      </c>
    </row>
    <row r="31" spans="1:15" ht="19.5" customHeight="1">
      <c r="A31" s="241">
        <v>17</v>
      </c>
      <c r="B31" s="341" t="s">
        <v>759</v>
      </c>
      <c r="C31" s="334"/>
      <c r="D31" s="334"/>
      <c r="E31" s="334"/>
      <c r="F31" s="335"/>
      <c r="G31" s="242" t="s">
        <v>19</v>
      </c>
      <c r="H31" s="246">
        <v>7109</v>
      </c>
      <c r="I31" s="244">
        <v>1351</v>
      </c>
      <c r="J31" s="244">
        <v>8459</v>
      </c>
      <c r="K31" s="245" t="s">
        <v>644</v>
      </c>
      <c r="M31" s="233">
        <f t="shared" si="0"/>
        <v>1350.71</v>
      </c>
      <c r="N31" s="233">
        <f t="shared" si="1"/>
        <v>8459.7099999999991</v>
      </c>
      <c r="O31" s="127">
        <f t="shared" si="2"/>
        <v>-0.70999999999912689</v>
      </c>
    </row>
    <row r="32" spans="1:15" ht="19.5" customHeight="1">
      <c r="A32" s="241">
        <v>18</v>
      </c>
      <c r="B32" s="341" t="s">
        <v>760</v>
      </c>
      <c r="C32" s="334"/>
      <c r="D32" s="334"/>
      <c r="E32" s="334"/>
      <c r="F32" s="335"/>
      <c r="G32" s="242" t="s">
        <v>19</v>
      </c>
      <c r="H32" s="246">
        <v>7749</v>
      </c>
      <c r="I32" s="244">
        <v>1472</v>
      </c>
      <c r="J32" s="244">
        <v>9221</v>
      </c>
      <c r="K32" s="245" t="s">
        <v>645</v>
      </c>
      <c r="M32" s="233">
        <f t="shared" si="0"/>
        <v>1472.31</v>
      </c>
      <c r="N32" s="233">
        <f t="shared" si="1"/>
        <v>9221.31</v>
      </c>
      <c r="O32" s="127">
        <f t="shared" si="2"/>
        <v>-0.30999999999949068</v>
      </c>
    </row>
    <row r="33" spans="1:15" ht="19.5" customHeight="1">
      <c r="A33" s="241">
        <v>19</v>
      </c>
      <c r="B33" s="341" t="s">
        <v>761</v>
      </c>
      <c r="C33" s="334"/>
      <c r="D33" s="334"/>
      <c r="E33" s="334"/>
      <c r="F33" s="335"/>
      <c r="G33" s="242" t="s">
        <v>19</v>
      </c>
      <c r="H33" s="246">
        <v>11288</v>
      </c>
      <c r="I33" s="244">
        <v>2145</v>
      </c>
      <c r="J33" s="244">
        <v>13432</v>
      </c>
      <c r="K33" s="245" t="s">
        <v>646</v>
      </c>
      <c r="M33" s="233">
        <f t="shared" si="0"/>
        <v>2144.7199999999998</v>
      </c>
      <c r="N33" s="233">
        <f t="shared" si="1"/>
        <v>13432.72</v>
      </c>
      <c r="O33" s="127">
        <f t="shared" si="2"/>
        <v>-0.71999999999934516</v>
      </c>
    </row>
    <row r="34" spans="1:15" ht="12.75" customHeight="1">
      <c r="A34" s="241">
        <v>20</v>
      </c>
      <c r="B34" s="417" t="s">
        <v>36</v>
      </c>
      <c r="C34" s="418"/>
      <c r="D34" s="418"/>
      <c r="E34" s="418"/>
      <c r="F34" s="419"/>
      <c r="G34" s="242" t="s">
        <v>19</v>
      </c>
      <c r="H34" s="246">
        <v>1214666</v>
      </c>
      <c r="I34" s="244">
        <v>230787</v>
      </c>
      <c r="J34" s="244">
        <v>1445453</v>
      </c>
      <c r="K34" s="245" t="s">
        <v>647</v>
      </c>
      <c r="M34" s="233">
        <f t="shared" si="0"/>
        <v>230786.54</v>
      </c>
      <c r="N34" s="233">
        <f t="shared" si="1"/>
        <v>1445452.54</v>
      </c>
      <c r="O34" s="127">
        <f t="shared" si="2"/>
        <v>0.4599999999627471</v>
      </c>
    </row>
    <row r="35" spans="1:15" ht="12.75" customHeight="1">
      <c r="A35" s="241">
        <v>21</v>
      </c>
      <c r="B35" s="417" t="s">
        <v>37</v>
      </c>
      <c r="C35" s="418"/>
      <c r="D35" s="418"/>
      <c r="E35" s="418"/>
      <c r="F35" s="419"/>
      <c r="G35" s="242" t="s">
        <v>19</v>
      </c>
      <c r="H35" s="246">
        <v>9450</v>
      </c>
      <c r="I35" s="244">
        <v>1796</v>
      </c>
      <c r="J35" s="244">
        <v>11246</v>
      </c>
      <c r="K35" s="245" t="s">
        <v>648</v>
      </c>
      <c r="M35" s="233">
        <f t="shared" si="0"/>
        <v>1795.5</v>
      </c>
      <c r="N35" s="233">
        <f t="shared" si="1"/>
        <v>11245.5</v>
      </c>
      <c r="O35" s="127">
        <f t="shared" si="2"/>
        <v>0.5</v>
      </c>
    </row>
    <row r="36" spans="1:15" ht="12.75" customHeight="1">
      <c r="A36" s="241">
        <v>22</v>
      </c>
      <c r="B36" s="417" t="s">
        <v>38</v>
      </c>
      <c r="C36" s="418"/>
      <c r="D36" s="418"/>
      <c r="E36" s="418"/>
      <c r="F36" s="419"/>
      <c r="G36" s="242" t="s">
        <v>39</v>
      </c>
      <c r="H36" s="246">
        <v>10159</v>
      </c>
      <c r="I36" s="244">
        <v>1930</v>
      </c>
      <c r="J36" s="244">
        <v>12089</v>
      </c>
      <c r="K36" s="245" t="s">
        <v>649</v>
      </c>
      <c r="M36" s="233">
        <f t="shared" si="0"/>
        <v>1930.21</v>
      </c>
      <c r="N36" s="233">
        <f t="shared" si="1"/>
        <v>12089.21</v>
      </c>
      <c r="O36" s="127">
        <f t="shared" si="2"/>
        <v>-0.20999999999912689</v>
      </c>
    </row>
    <row r="37" spans="1:15" ht="12.75" customHeight="1">
      <c r="A37" s="241">
        <v>23</v>
      </c>
      <c r="B37" s="417" t="s">
        <v>40</v>
      </c>
      <c r="C37" s="418"/>
      <c r="D37" s="418"/>
      <c r="E37" s="418"/>
      <c r="F37" s="419"/>
      <c r="G37" s="242" t="s">
        <v>39</v>
      </c>
      <c r="H37" s="246">
        <v>10159</v>
      </c>
      <c r="I37" s="244">
        <v>1930</v>
      </c>
      <c r="J37" s="244">
        <v>12089</v>
      </c>
      <c r="K37" s="245" t="s">
        <v>650</v>
      </c>
      <c r="M37" s="233">
        <f t="shared" si="0"/>
        <v>1930.21</v>
      </c>
      <c r="N37" s="233">
        <f t="shared" si="1"/>
        <v>12089.21</v>
      </c>
      <c r="O37" s="127">
        <f t="shared" si="2"/>
        <v>-0.20999999999912689</v>
      </c>
    </row>
    <row r="38" spans="1:15" ht="12.75" customHeight="1">
      <c r="A38" s="241">
        <v>24</v>
      </c>
      <c r="B38" s="417" t="s">
        <v>41</v>
      </c>
      <c r="C38" s="418"/>
      <c r="D38" s="418"/>
      <c r="E38" s="418"/>
      <c r="F38" s="419"/>
      <c r="G38" s="242" t="s">
        <v>19</v>
      </c>
      <c r="H38" s="246">
        <v>81900</v>
      </c>
      <c r="I38" s="244">
        <v>15561</v>
      </c>
      <c r="J38" s="244">
        <v>97461</v>
      </c>
      <c r="K38" s="245" t="s">
        <v>651</v>
      </c>
      <c r="M38" s="233">
        <f t="shared" si="0"/>
        <v>15561</v>
      </c>
      <c r="N38" s="233">
        <f t="shared" si="1"/>
        <v>97461</v>
      </c>
      <c r="O38" s="127">
        <f t="shared" si="2"/>
        <v>0</v>
      </c>
    </row>
    <row r="39" spans="1:15" ht="12.75" customHeight="1">
      <c r="A39" s="241">
        <v>25</v>
      </c>
      <c r="B39" s="417" t="s">
        <v>42</v>
      </c>
      <c r="C39" s="418"/>
      <c r="D39" s="418"/>
      <c r="E39" s="418"/>
      <c r="F39" s="419"/>
      <c r="G39" s="242" t="s">
        <v>43</v>
      </c>
      <c r="H39" s="246">
        <v>78750</v>
      </c>
      <c r="I39" s="244">
        <v>14963</v>
      </c>
      <c r="J39" s="244">
        <v>93713</v>
      </c>
      <c r="K39" s="245" t="s">
        <v>652</v>
      </c>
      <c r="M39" s="233">
        <f t="shared" si="0"/>
        <v>14962.5</v>
      </c>
      <c r="N39" s="233">
        <f t="shared" si="1"/>
        <v>93712.5</v>
      </c>
      <c r="O39" s="127">
        <f t="shared" si="2"/>
        <v>0.5</v>
      </c>
    </row>
    <row r="40" spans="1:15" ht="12.75" customHeight="1">
      <c r="A40" s="241">
        <v>26</v>
      </c>
      <c r="B40" s="417" t="s">
        <v>44</v>
      </c>
      <c r="C40" s="418"/>
      <c r="D40" s="418"/>
      <c r="E40" s="418"/>
      <c r="F40" s="419"/>
      <c r="G40" s="242" t="s">
        <v>45</v>
      </c>
      <c r="H40" s="246">
        <v>48300</v>
      </c>
      <c r="I40" s="244">
        <v>9177</v>
      </c>
      <c r="J40" s="244">
        <v>57477</v>
      </c>
      <c r="K40" s="245" t="s">
        <v>653</v>
      </c>
      <c r="M40" s="233">
        <f t="shared" si="0"/>
        <v>9177</v>
      </c>
      <c r="N40" s="233">
        <f t="shared" si="1"/>
        <v>57477</v>
      </c>
      <c r="O40" s="127">
        <f t="shared" si="2"/>
        <v>0</v>
      </c>
    </row>
    <row r="41" spans="1:15" ht="30.9" customHeight="1">
      <c r="A41" s="241">
        <v>27</v>
      </c>
      <c r="B41" s="417" t="s">
        <v>183</v>
      </c>
      <c r="C41" s="418"/>
      <c r="D41" s="418"/>
      <c r="E41" s="418"/>
      <c r="F41" s="419"/>
      <c r="G41" s="242" t="s">
        <v>19</v>
      </c>
      <c r="H41" s="246">
        <v>1381</v>
      </c>
      <c r="I41" s="247">
        <v>262</v>
      </c>
      <c r="J41" s="244">
        <v>1643</v>
      </c>
      <c r="K41" s="245" t="s">
        <v>654</v>
      </c>
      <c r="M41" s="233">
        <f t="shared" si="0"/>
        <v>262.39</v>
      </c>
      <c r="N41" s="233">
        <f t="shared" si="1"/>
        <v>1643.3899999999999</v>
      </c>
      <c r="O41" s="127">
        <f t="shared" si="2"/>
        <v>-0.38999999999987267</v>
      </c>
    </row>
    <row r="42" spans="1:15" ht="12.75" customHeight="1">
      <c r="A42" s="241">
        <v>28</v>
      </c>
      <c r="B42" s="417" t="s">
        <v>46</v>
      </c>
      <c r="C42" s="418"/>
      <c r="D42" s="418"/>
      <c r="E42" s="418"/>
      <c r="F42" s="419"/>
      <c r="G42" s="242" t="s">
        <v>19</v>
      </c>
      <c r="H42" s="246">
        <v>8967</v>
      </c>
      <c r="I42" s="244">
        <v>1704</v>
      </c>
      <c r="J42" s="244">
        <v>10671</v>
      </c>
      <c r="K42" s="245" t="s">
        <v>655</v>
      </c>
      <c r="M42" s="233">
        <f t="shared" si="0"/>
        <v>1703.73</v>
      </c>
      <c r="N42" s="233">
        <f t="shared" si="1"/>
        <v>10670.73</v>
      </c>
      <c r="O42" s="127">
        <f t="shared" si="2"/>
        <v>0.27000000000043656</v>
      </c>
    </row>
    <row r="43" spans="1:15" ht="12.9" customHeight="1">
      <c r="A43" s="241">
        <v>29</v>
      </c>
      <c r="B43" s="417" t="s">
        <v>47</v>
      </c>
      <c r="C43" s="418"/>
      <c r="D43" s="418"/>
      <c r="E43" s="418"/>
      <c r="F43" s="419"/>
      <c r="G43" s="242" t="s">
        <v>48</v>
      </c>
      <c r="H43" s="246">
        <v>1922</v>
      </c>
      <c r="I43" s="247">
        <v>365</v>
      </c>
      <c r="J43" s="244">
        <v>2287</v>
      </c>
      <c r="K43" s="245" t="s">
        <v>656</v>
      </c>
      <c r="M43" s="233">
        <f t="shared" si="0"/>
        <v>365.18</v>
      </c>
      <c r="N43" s="233">
        <f t="shared" si="1"/>
        <v>2287.1799999999998</v>
      </c>
      <c r="O43" s="127">
        <f t="shared" si="2"/>
        <v>-0.17999999999983629</v>
      </c>
    </row>
    <row r="44" spans="1:15" ht="12.75" customHeight="1">
      <c r="A44" s="241">
        <v>30</v>
      </c>
      <c r="B44" s="417" t="s">
        <v>49</v>
      </c>
      <c r="C44" s="418"/>
      <c r="D44" s="418"/>
      <c r="E44" s="418"/>
      <c r="F44" s="419"/>
      <c r="G44" s="242" t="s">
        <v>48</v>
      </c>
      <c r="H44" s="246">
        <v>1313</v>
      </c>
      <c r="I44" s="247">
        <v>249</v>
      </c>
      <c r="J44" s="244">
        <v>1562</v>
      </c>
      <c r="K44" s="245" t="s">
        <v>657</v>
      </c>
      <c r="M44" s="233">
        <f t="shared" si="0"/>
        <v>249.47</v>
      </c>
      <c r="N44" s="233">
        <f t="shared" si="1"/>
        <v>1562.47</v>
      </c>
      <c r="O44" s="127">
        <f t="shared" si="2"/>
        <v>-0.47000000000002728</v>
      </c>
    </row>
    <row r="45" spans="1:15" ht="12.75" customHeight="1">
      <c r="A45" s="241">
        <v>31</v>
      </c>
      <c r="B45" s="417" t="s">
        <v>50</v>
      </c>
      <c r="C45" s="418"/>
      <c r="D45" s="418"/>
      <c r="E45" s="418"/>
      <c r="F45" s="419"/>
      <c r="G45" s="242" t="s">
        <v>48</v>
      </c>
      <c r="H45" s="246">
        <v>6132</v>
      </c>
      <c r="I45" s="244">
        <v>1165</v>
      </c>
      <c r="J45" s="244">
        <v>7297</v>
      </c>
      <c r="K45" s="245" t="s">
        <v>658</v>
      </c>
      <c r="M45" s="233">
        <f t="shared" si="0"/>
        <v>1165.08</v>
      </c>
      <c r="N45" s="233">
        <f t="shared" si="1"/>
        <v>7297.08</v>
      </c>
      <c r="O45" s="127">
        <f t="shared" si="2"/>
        <v>-7.999999999992724E-2</v>
      </c>
    </row>
    <row r="46" spans="1:15" ht="12.75" customHeight="1">
      <c r="A46" s="241">
        <v>32</v>
      </c>
      <c r="B46" s="417" t="s">
        <v>51</v>
      </c>
      <c r="C46" s="418"/>
      <c r="D46" s="418"/>
      <c r="E46" s="418"/>
      <c r="F46" s="419"/>
      <c r="G46" s="242" t="s">
        <v>48</v>
      </c>
      <c r="H46" s="248">
        <v>630</v>
      </c>
      <c r="I46" s="247">
        <v>120</v>
      </c>
      <c r="J46" s="247">
        <v>750</v>
      </c>
      <c r="K46" s="245" t="s">
        <v>659</v>
      </c>
      <c r="M46" s="233">
        <f t="shared" si="0"/>
        <v>119.7</v>
      </c>
      <c r="N46" s="233">
        <f t="shared" si="1"/>
        <v>749.7</v>
      </c>
      <c r="O46" s="127">
        <f t="shared" si="2"/>
        <v>0.29999999999995453</v>
      </c>
    </row>
    <row r="47" spans="1:15" ht="12.75" customHeight="1">
      <c r="A47" s="241">
        <v>33</v>
      </c>
      <c r="B47" s="417" t="s">
        <v>52</v>
      </c>
      <c r="C47" s="418"/>
      <c r="D47" s="418"/>
      <c r="E47" s="418"/>
      <c r="F47" s="419"/>
      <c r="G47" s="242" t="s">
        <v>48</v>
      </c>
      <c r="H47" s="246">
        <v>1937</v>
      </c>
      <c r="I47" s="247">
        <v>368</v>
      </c>
      <c r="J47" s="244">
        <v>2305</v>
      </c>
      <c r="K47" s="245" t="s">
        <v>660</v>
      </c>
      <c r="M47" s="233">
        <f t="shared" si="0"/>
        <v>368.03000000000003</v>
      </c>
      <c r="N47" s="233">
        <f t="shared" si="1"/>
        <v>2305.0300000000002</v>
      </c>
      <c r="O47" s="127">
        <f t="shared" si="2"/>
        <v>-3.0000000000200089E-2</v>
      </c>
    </row>
    <row r="48" spans="1:15" ht="19.5" customHeight="1">
      <c r="A48" s="241">
        <v>34</v>
      </c>
      <c r="B48" s="341" t="s">
        <v>762</v>
      </c>
      <c r="C48" s="334"/>
      <c r="D48" s="334"/>
      <c r="E48" s="334"/>
      <c r="F48" s="335"/>
      <c r="G48" s="242" t="s">
        <v>19</v>
      </c>
      <c r="H48" s="246">
        <v>808500</v>
      </c>
      <c r="I48" s="244">
        <v>153615</v>
      </c>
      <c r="J48" s="244">
        <v>962115</v>
      </c>
      <c r="K48" s="245" t="s">
        <v>661</v>
      </c>
      <c r="M48" s="233">
        <f t="shared" si="0"/>
        <v>153615</v>
      </c>
      <c r="N48" s="233">
        <f t="shared" si="1"/>
        <v>962115</v>
      </c>
      <c r="O48" s="127">
        <f t="shared" si="2"/>
        <v>0</v>
      </c>
    </row>
    <row r="49" spans="1:15" ht="12.75" customHeight="1">
      <c r="A49" s="241">
        <v>35</v>
      </c>
      <c r="B49" s="417" t="s">
        <v>53</v>
      </c>
      <c r="C49" s="418"/>
      <c r="D49" s="418"/>
      <c r="E49" s="418"/>
      <c r="F49" s="419"/>
      <c r="G49" s="242" t="s">
        <v>54</v>
      </c>
      <c r="H49" s="248">
        <v>856</v>
      </c>
      <c r="I49" s="247">
        <v>163</v>
      </c>
      <c r="J49" s="244">
        <v>1018</v>
      </c>
      <c r="K49" s="245" t="s">
        <v>662</v>
      </c>
      <c r="M49" s="233">
        <f t="shared" si="0"/>
        <v>162.64000000000001</v>
      </c>
      <c r="N49" s="233">
        <f t="shared" si="1"/>
        <v>1018.64</v>
      </c>
      <c r="O49" s="127">
        <f t="shared" si="2"/>
        <v>-0.63999999999998636</v>
      </c>
    </row>
    <row r="50" spans="1:15" ht="12.75" customHeight="1">
      <c r="A50" s="241">
        <v>36</v>
      </c>
      <c r="B50" s="417" t="s">
        <v>55</v>
      </c>
      <c r="C50" s="418"/>
      <c r="D50" s="418"/>
      <c r="E50" s="418"/>
      <c r="F50" s="419"/>
      <c r="G50" s="242" t="s">
        <v>56</v>
      </c>
      <c r="H50" s="246">
        <v>2279</v>
      </c>
      <c r="I50" s="247">
        <v>433</v>
      </c>
      <c r="J50" s="244">
        <v>2711</v>
      </c>
      <c r="K50" s="245" t="s">
        <v>663</v>
      </c>
      <c r="M50" s="233">
        <f t="shared" si="0"/>
        <v>433.01</v>
      </c>
      <c r="N50" s="233">
        <f t="shared" si="1"/>
        <v>2712.01</v>
      </c>
      <c r="O50" s="127">
        <f t="shared" si="2"/>
        <v>-1.0100000000002183</v>
      </c>
    </row>
    <row r="51" spans="1:15" ht="12.75" customHeight="1">
      <c r="A51" s="241">
        <v>37</v>
      </c>
      <c r="B51" s="417" t="s">
        <v>57</v>
      </c>
      <c r="C51" s="418"/>
      <c r="D51" s="418"/>
      <c r="E51" s="418"/>
      <c r="F51" s="419"/>
      <c r="G51" s="242" t="s">
        <v>33</v>
      </c>
      <c r="H51" s="246">
        <v>2494</v>
      </c>
      <c r="I51" s="247">
        <v>474</v>
      </c>
      <c r="J51" s="244">
        <v>2968</v>
      </c>
      <c r="K51" s="245" t="s">
        <v>664</v>
      </c>
      <c r="M51" s="233">
        <f t="shared" si="0"/>
        <v>473.86</v>
      </c>
      <c r="N51" s="233">
        <f t="shared" si="1"/>
        <v>2967.86</v>
      </c>
      <c r="O51" s="127">
        <f t="shared" si="2"/>
        <v>0.13999999999987267</v>
      </c>
    </row>
    <row r="52" spans="1:15" ht="12.75" customHeight="1">
      <c r="A52" s="241">
        <v>38</v>
      </c>
      <c r="B52" s="417" t="s">
        <v>58</v>
      </c>
      <c r="C52" s="418"/>
      <c r="D52" s="418"/>
      <c r="E52" s="418"/>
      <c r="F52" s="419"/>
      <c r="G52" s="242" t="s">
        <v>19</v>
      </c>
      <c r="H52" s="246">
        <v>1906</v>
      </c>
      <c r="I52" s="247">
        <v>362</v>
      </c>
      <c r="J52" s="244">
        <v>2268</v>
      </c>
      <c r="K52" s="245" t="s">
        <v>665</v>
      </c>
      <c r="M52" s="233">
        <f t="shared" si="0"/>
        <v>362.14</v>
      </c>
      <c r="N52" s="233">
        <f t="shared" si="1"/>
        <v>2268.14</v>
      </c>
      <c r="O52" s="127">
        <f t="shared" si="2"/>
        <v>-0.13999999999987267</v>
      </c>
    </row>
    <row r="53" spans="1:15" ht="12.75" customHeight="1">
      <c r="A53" s="241">
        <v>39</v>
      </c>
      <c r="B53" s="417" t="s">
        <v>59</v>
      </c>
      <c r="C53" s="418"/>
      <c r="D53" s="418"/>
      <c r="E53" s="418"/>
      <c r="F53" s="419"/>
      <c r="G53" s="242" t="s">
        <v>56</v>
      </c>
      <c r="H53" s="246">
        <v>8064</v>
      </c>
      <c r="I53" s="244">
        <v>1532</v>
      </c>
      <c r="J53" s="244">
        <v>9596</v>
      </c>
      <c r="K53" s="245" t="s">
        <v>666</v>
      </c>
      <c r="M53" s="233">
        <f t="shared" si="0"/>
        <v>1532.16</v>
      </c>
      <c r="N53" s="233">
        <f t="shared" si="1"/>
        <v>9596.16</v>
      </c>
      <c r="O53" s="127">
        <f t="shared" si="2"/>
        <v>-0.15999999999985448</v>
      </c>
    </row>
    <row r="54" spans="1:15" ht="19.5" customHeight="1">
      <c r="A54" s="241">
        <v>40</v>
      </c>
      <c r="B54" s="341" t="s">
        <v>763</v>
      </c>
      <c r="C54" s="334"/>
      <c r="D54" s="334"/>
      <c r="E54" s="334"/>
      <c r="F54" s="335"/>
      <c r="G54" s="242" t="s">
        <v>19</v>
      </c>
      <c r="H54" s="246">
        <v>16433</v>
      </c>
      <c r="I54" s="244">
        <v>3122</v>
      </c>
      <c r="J54" s="244">
        <v>19555</v>
      </c>
      <c r="K54" s="245" t="s">
        <v>667</v>
      </c>
      <c r="M54" s="233">
        <f t="shared" si="0"/>
        <v>3122.27</v>
      </c>
      <c r="N54" s="233">
        <f t="shared" si="1"/>
        <v>19555.27</v>
      </c>
      <c r="O54" s="127">
        <f t="shared" si="2"/>
        <v>-0.27000000000043656</v>
      </c>
    </row>
    <row r="55" spans="1:15" ht="19.5" customHeight="1">
      <c r="A55" s="241">
        <v>41</v>
      </c>
      <c r="B55" s="341" t="s">
        <v>764</v>
      </c>
      <c r="C55" s="334"/>
      <c r="D55" s="334"/>
      <c r="E55" s="334"/>
      <c r="F55" s="335"/>
      <c r="G55" s="242" t="s">
        <v>19</v>
      </c>
      <c r="H55" s="246">
        <v>131250</v>
      </c>
      <c r="I55" s="244">
        <v>24938</v>
      </c>
      <c r="J55" s="244">
        <v>156188</v>
      </c>
      <c r="K55" s="245" t="s">
        <v>668</v>
      </c>
      <c r="M55" s="233">
        <f t="shared" si="0"/>
        <v>24937.5</v>
      </c>
      <c r="N55" s="233">
        <f t="shared" si="1"/>
        <v>156187.5</v>
      </c>
      <c r="O55" s="127">
        <f t="shared" si="2"/>
        <v>0.5</v>
      </c>
    </row>
    <row r="56" spans="1:15" ht="15.9" customHeight="1">
      <c r="A56" s="241">
        <v>42</v>
      </c>
      <c r="B56" s="417" t="s">
        <v>60</v>
      </c>
      <c r="C56" s="418"/>
      <c r="D56" s="418"/>
      <c r="E56" s="418"/>
      <c r="F56" s="419"/>
      <c r="G56" s="242" t="s">
        <v>19</v>
      </c>
      <c r="H56" s="246">
        <v>52448</v>
      </c>
      <c r="I56" s="244">
        <v>9965</v>
      </c>
      <c r="J56" s="244">
        <v>62413</v>
      </c>
      <c r="K56" s="245" t="s">
        <v>669</v>
      </c>
      <c r="M56" s="233">
        <f t="shared" si="0"/>
        <v>9965.1200000000008</v>
      </c>
      <c r="N56" s="233">
        <f t="shared" si="1"/>
        <v>62413.120000000003</v>
      </c>
      <c r="O56" s="127">
        <f t="shared" si="2"/>
        <v>-0.12000000000261934</v>
      </c>
    </row>
    <row r="57" spans="1:15" ht="12.75" customHeight="1">
      <c r="A57" s="241">
        <v>43</v>
      </c>
      <c r="B57" s="417" t="s">
        <v>61</v>
      </c>
      <c r="C57" s="418"/>
      <c r="D57" s="418"/>
      <c r="E57" s="418"/>
      <c r="F57" s="419"/>
      <c r="G57" s="242" t="s">
        <v>19</v>
      </c>
      <c r="H57" s="246">
        <v>804563</v>
      </c>
      <c r="I57" s="244">
        <v>152867</v>
      </c>
      <c r="J57" s="244">
        <v>957429</v>
      </c>
      <c r="K57" s="245" t="s">
        <v>670</v>
      </c>
      <c r="M57" s="233">
        <f t="shared" si="0"/>
        <v>152866.97</v>
      </c>
      <c r="N57" s="233">
        <f t="shared" si="1"/>
        <v>957429.97</v>
      </c>
      <c r="O57" s="127">
        <f t="shared" si="2"/>
        <v>-0.96999999997206032</v>
      </c>
    </row>
    <row r="58" spans="1:15" ht="19.5" customHeight="1">
      <c r="A58" s="241">
        <v>44</v>
      </c>
      <c r="B58" s="341" t="s">
        <v>765</v>
      </c>
      <c r="C58" s="334"/>
      <c r="D58" s="334"/>
      <c r="E58" s="334"/>
      <c r="F58" s="335"/>
      <c r="G58" s="242" t="s">
        <v>63</v>
      </c>
      <c r="H58" s="246">
        <v>43050</v>
      </c>
      <c r="I58" s="244">
        <v>8180</v>
      </c>
      <c r="J58" s="244">
        <v>51230</v>
      </c>
      <c r="K58" s="245" t="s">
        <v>671</v>
      </c>
      <c r="M58" s="233">
        <f t="shared" si="0"/>
        <v>8179.5</v>
      </c>
      <c r="N58" s="233">
        <f t="shared" si="1"/>
        <v>51229.5</v>
      </c>
      <c r="O58" s="127">
        <f t="shared" si="2"/>
        <v>0.5</v>
      </c>
    </row>
    <row r="59" spans="1:15" ht="12.75" customHeight="1">
      <c r="A59" s="241">
        <v>45</v>
      </c>
      <c r="B59" s="417" t="s">
        <v>64</v>
      </c>
      <c r="C59" s="418"/>
      <c r="D59" s="418"/>
      <c r="E59" s="418"/>
      <c r="F59" s="419"/>
      <c r="G59" s="242" t="s">
        <v>39</v>
      </c>
      <c r="H59" s="246">
        <v>2305</v>
      </c>
      <c r="I59" s="247">
        <v>438</v>
      </c>
      <c r="J59" s="244">
        <v>2743</v>
      </c>
      <c r="K59" s="245" t="s">
        <v>672</v>
      </c>
      <c r="M59" s="233">
        <f t="shared" si="0"/>
        <v>437.95</v>
      </c>
      <c r="N59" s="233">
        <f t="shared" si="1"/>
        <v>2742.95</v>
      </c>
      <c r="O59" s="127">
        <f t="shared" si="2"/>
        <v>5.0000000000181899E-2</v>
      </c>
    </row>
    <row r="60" spans="1:15" ht="12.75" customHeight="1">
      <c r="A60" s="241">
        <v>46</v>
      </c>
      <c r="B60" s="417" t="s">
        <v>65</v>
      </c>
      <c r="C60" s="418"/>
      <c r="D60" s="418"/>
      <c r="E60" s="418"/>
      <c r="F60" s="419"/>
      <c r="G60" s="242" t="s">
        <v>43</v>
      </c>
      <c r="H60" s="246">
        <v>4095</v>
      </c>
      <c r="I60" s="247">
        <v>778</v>
      </c>
      <c r="J60" s="244">
        <v>4873</v>
      </c>
      <c r="K60" s="245" t="s">
        <v>673</v>
      </c>
      <c r="M60" s="233">
        <f t="shared" si="0"/>
        <v>778.05</v>
      </c>
      <c r="N60" s="233">
        <f t="shared" si="1"/>
        <v>4873.05</v>
      </c>
      <c r="O60" s="127">
        <f t="shared" si="2"/>
        <v>-5.0000000000181899E-2</v>
      </c>
    </row>
    <row r="61" spans="1:15" ht="12.75" customHeight="1">
      <c r="A61" s="241">
        <v>47</v>
      </c>
      <c r="B61" s="417" t="s">
        <v>66</v>
      </c>
      <c r="C61" s="418"/>
      <c r="D61" s="418"/>
      <c r="E61" s="418"/>
      <c r="F61" s="419"/>
      <c r="G61" s="242" t="s">
        <v>39</v>
      </c>
      <c r="H61" s="246">
        <v>10658</v>
      </c>
      <c r="I61" s="244">
        <v>2025</v>
      </c>
      <c r="J61" s="244">
        <v>12682</v>
      </c>
      <c r="K61" s="245" t="s">
        <v>674</v>
      </c>
      <c r="M61" s="233">
        <f t="shared" si="0"/>
        <v>2025.02</v>
      </c>
      <c r="N61" s="233">
        <f t="shared" si="1"/>
        <v>12683.02</v>
      </c>
      <c r="O61" s="127">
        <f t="shared" si="2"/>
        <v>-1.0200000000004366</v>
      </c>
    </row>
    <row r="62" spans="1:15" ht="12.75" customHeight="1">
      <c r="A62" s="241">
        <v>48</v>
      </c>
      <c r="B62" s="417" t="s">
        <v>67</v>
      </c>
      <c r="C62" s="418"/>
      <c r="D62" s="418"/>
      <c r="E62" s="418"/>
      <c r="F62" s="419"/>
      <c r="G62" s="242" t="s">
        <v>39</v>
      </c>
      <c r="H62" s="246">
        <v>13073</v>
      </c>
      <c r="I62" s="244">
        <v>2484</v>
      </c>
      <c r="J62" s="244">
        <v>15556</v>
      </c>
      <c r="K62" s="245" t="s">
        <v>675</v>
      </c>
      <c r="M62" s="233">
        <f t="shared" si="0"/>
        <v>2483.87</v>
      </c>
      <c r="N62" s="233">
        <f t="shared" si="1"/>
        <v>15556.869999999999</v>
      </c>
      <c r="O62" s="127">
        <f t="shared" si="2"/>
        <v>-0.86999999999898137</v>
      </c>
    </row>
    <row r="63" spans="1:15" ht="19.5" customHeight="1">
      <c r="A63" s="241">
        <v>49</v>
      </c>
      <c r="B63" s="341" t="s">
        <v>766</v>
      </c>
      <c r="C63" s="334"/>
      <c r="D63" s="334"/>
      <c r="E63" s="334"/>
      <c r="F63" s="335"/>
      <c r="G63" s="242" t="s">
        <v>68</v>
      </c>
      <c r="H63" s="246">
        <v>2000</v>
      </c>
      <c r="I63" s="247">
        <v>380</v>
      </c>
      <c r="J63" s="244">
        <v>2380</v>
      </c>
      <c r="K63" s="245" t="s">
        <v>676</v>
      </c>
      <c r="M63" s="233">
        <f t="shared" si="0"/>
        <v>380</v>
      </c>
      <c r="N63" s="233">
        <f t="shared" si="1"/>
        <v>2380</v>
      </c>
      <c r="O63" s="127">
        <f t="shared" si="2"/>
        <v>0</v>
      </c>
    </row>
    <row r="64" spans="1:15" ht="18" customHeight="1">
      <c r="A64" s="241">
        <v>50</v>
      </c>
      <c r="B64" s="417" t="s">
        <v>69</v>
      </c>
      <c r="C64" s="418"/>
      <c r="D64" s="418"/>
      <c r="E64" s="418"/>
      <c r="F64" s="419"/>
      <c r="G64" s="242" t="s">
        <v>70</v>
      </c>
      <c r="H64" s="246">
        <v>2520</v>
      </c>
      <c r="I64" s="247">
        <v>479</v>
      </c>
      <c r="J64" s="244">
        <v>2999</v>
      </c>
      <c r="K64" s="245" t="s">
        <v>677</v>
      </c>
      <c r="M64" s="233">
        <f t="shared" si="0"/>
        <v>478.8</v>
      </c>
      <c r="N64" s="233">
        <f t="shared" si="1"/>
        <v>2998.8</v>
      </c>
      <c r="O64" s="127">
        <f t="shared" si="2"/>
        <v>0.1999999999998181</v>
      </c>
    </row>
    <row r="65" spans="1:15" ht="18.899999999999999" customHeight="1">
      <c r="A65" s="241">
        <v>51</v>
      </c>
      <c r="B65" s="417" t="s">
        <v>71</v>
      </c>
      <c r="C65" s="418"/>
      <c r="D65" s="418"/>
      <c r="E65" s="418"/>
      <c r="F65" s="419"/>
      <c r="G65" s="242" t="s">
        <v>54</v>
      </c>
      <c r="H65" s="246">
        <v>100275</v>
      </c>
      <c r="I65" s="244">
        <v>19052</v>
      </c>
      <c r="J65" s="244">
        <v>119327</v>
      </c>
      <c r="K65" s="245" t="s">
        <v>678</v>
      </c>
      <c r="M65" s="233">
        <f t="shared" si="0"/>
        <v>19052.25</v>
      </c>
      <c r="N65" s="233">
        <f t="shared" si="1"/>
        <v>119327.25</v>
      </c>
      <c r="O65" s="127">
        <f t="shared" si="2"/>
        <v>-0.25</v>
      </c>
    </row>
    <row r="66" spans="1:15" ht="27.15" customHeight="1">
      <c r="A66" s="241">
        <v>52</v>
      </c>
      <c r="B66" s="341" t="s">
        <v>767</v>
      </c>
      <c r="C66" s="334"/>
      <c r="D66" s="334"/>
      <c r="E66" s="334"/>
      <c r="F66" s="335"/>
      <c r="G66" s="242" t="s">
        <v>72</v>
      </c>
      <c r="H66" s="249">
        <v>987</v>
      </c>
      <c r="I66" s="250">
        <v>188</v>
      </c>
      <c r="J66" s="251">
        <v>1175</v>
      </c>
      <c r="K66" s="252" t="s">
        <v>679</v>
      </c>
      <c r="M66" s="233">
        <f t="shared" si="0"/>
        <v>187.53</v>
      </c>
      <c r="N66" s="233">
        <f t="shared" si="1"/>
        <v>1174.53</v>
      </c>
      <c r="O66" s="127">
        <f t="shared" si="2"/>
        <v>0.47000000000002728</v>
      </c>
    </row>
    <row r="67" spans="1:15" ht="12.75" customHeight="1">
      <c r="A67" s="241">
        <v>53</v>
      </c>
      <c r="B67" s="417" t="s">
        <v>73</v>
      </c>
      <c r="C67" s="418"/>
      <c r="D67" s="418"/>
      <c r="E67" s="418"/>
      <c r="F67" s="419"/>
      <c r="G67" s="242" t="s">
        <v>19</v>
      </c>
      <c r="H67" s="246">
        <v>69563</v>
      </c>
      <c r="I67" s="244">
        <v>13217</v>
      </c>
      <c r="J67" s="244">
        <v>82779</v>
      </c>
      <c r="K67" s="245" t="s">
        <v>768</v>
      </c>
      <c r="M67" s="233">
        <f t="shared" si="0"/>
        <v>13216.97</v>
      </c>
      <c r="N67" s="233">
        <f t="shared" si="1"/>
        <v>82779.97</v>
      </c>
      <c r="O67" s="127">
        <f t="shared" si="2"/>
        <v>-0.97000000000116415</v>
      </c>
    </row>
    <row r="68" spans="1:15" ht="44.1" customHeight="1">
      <c r="A68" s="241">
        <v>54</v>
      </c>
      <c r="B68" s="417" t="s">
        <v>74</v>
      </c>
      <c r="C68" s="418"/>
      <c r="D68" s="418"/>
      <c r="E68" s="418"/>
      <c r="F68" s="419"/>
      <c r="G68" s="242" t="s">
        <v>56</v>
      </c>
      <c r="H68" s="246">
        <v>3780</v>
      </c>
      <c r="I68" s="247">
        <v>0</v>
      </c>
      <c r="J68" s="244">
        <v>3780</v>
      </c>
      <c r="K68" s="252" t="s">
        <v>680</v>
      </c>
      <c r="M68" s="289"/>
      <c r="N68" s="233">
        <f t="shared" si="1"/>
        <v>3780</v>
      </c>
      <c r="O68" s="127">
        <f t="shared" si="2"/>
        <v>0</v>
      </c>
    </row>
    <row r="69" spans="1:15" ht="47.1" customHeight="1">
      <c r="A69" s="241">
        <v>55</v>
      </c>
      <c r="B69" s="417" t="s">
        <v>75</v>
      </c>
      <c r="C69" s="418"/>
      <c r="D69" s="418"/>
      <c r="E69" s="418"/>
      <c r="F69" s="419"/>
      <c r="G69" s="242" t="s">
        <v>56</v>
      </c>
      <c r="H69" s="253">
        <v>4111</v>
      </c>
      <c r="I69" s="250">
        <v>0</v>
      </c>
      <c r="J69" s="251">
        <v>4111</v>
      </c>
      <c r="K69" s="252" t="s">
        <v>681</v>
      </c>
      <c r="M69" s="289"/>
      <c r="N69" s="233">
        <f t="shared" si="1"/>
        <v>4111</v>
      </c>
      <c r="O69" s="127">
        <f t="shared" si="2"/>
        <v>0</v>
      </c>
    </row>
    <row r="70" spans="1:15" ht="12.75" customHeight="1">
      <c r="A70" s="241">
        <v>56</v>
      </c>
      <c r="B70" s="417" t="s">
        <v>76</v>
      </c>
      <c r="C70" s="418"/>
      <c r="D70" s="418"/>
      <c r="E70" s="418"/>
      <c r="F70" s="419"/>
      <c r="G70" s="242" t="s">
        <v>77</v>
      </c>
      <c r="H70" s="246">
        <v>13818</v>
      </c>
      <c r="I70" s="244">
        <v>2625</v>
      </c>
      <c r="J70" s="244">
        <v>16443</v>
      </c>
      <c r="K70" s="245" t="s">
        <v>682</v>
      </c>
      <c r="M70" s="233">
        <f t="shared" si="0"/>
        <v>2625.42</v>
      </c>
      <c r="N70" s="233">
        <f t="shared" si="1"/>
        <v>16443.419999999998</v>
      </c>
      <c r="O70" s="127">
        <f t="shared" si="2"/>
        <v>-0.41999999999825377</v>
      </c>
    </row>
    <row r="71" spans="1:15" ht="12.75" customHeight="1">
      <c r="A71" s="241">
        <v>57</v>
      </c>
      <c r="B71" s="417" t="s">
        <v>78</v>
      </c>
      <c r="C71" s="418"/>
      <c r="D71" s="418"/>
      <c r="E71" s="418"/>
      <c r="F71" s="419"/>
      <c r="G71" s="242" t="s">
        <v>77</v>
      </c>
      <c r="H71" s="246">
        <v>13860</v>
      </c>
      <c r="I71" s="244">
        <v>2633</v>
      </c>
      <c r="J71" s="244">
        <v>16493</v>
      </c>
      <c r="K71" s="245" t="s">
        <v>683</v>
      </c>
      <c r="M71" s="233">
        <f t="shared" si="0"/>
        <v>2633.4</v>
      </c>
      <c r="N71" s="233">
        <f t="shared" si="1"/>
        <v>16493.400000000001</v>
      </c>
      <c r="O71" s="127">
        <f t="shared" si="2"/>
        <v>-0.40000000000145519</v>
      </c>
    </row>
    <row r="72" spans="1:15" ht="12.9" customHeight="1">
      <c r="A72" s="241">
        <v>58</v>
      </c>
      <c r="B72" s="417" t="s">
        <v>79</v>
      </c>
      <c r="C72" s="418"/>
      <c r="D72" s="418"/>
      <c r="E72" s="418"/>
      <c r="F72" s="419"/>
      <c r="G72" s="242" t="s">
        <v>77</v>
      </c>
      <c r="H72" s="246">
        <v>16328</v>
      </c>
      <c r="I72" s="244">
        <v>3102</v>
      </c>
      <c r="J72" s="244">
        <v>19430</v>
      </c>
      <c r="K72" s="245" t="s">
        <v>684</v>
      </c>
      <c r="M72" s="233">
        <f t="shared" si="0"/>
        <v>3102.32</v>
      </c>
      <c r="N72" s="233">
        <f t="shared" si="1"/>
        <v>19430.32</v>
      </c>
      <c r="O72" s="127">
        <f t="shared" si="2"/>
        <v>-0.31999999999970896</v>
      </c>
    </row>
    <row r="73" spans="1:15" ht="18.899999999999999" customHeight="1">
      <c r="A73" s="241">
        <v>59</v>
      </c>
      <c r="B73" s="417" t="s">
        <v>80</v>
      </c>
      <c r="C73" s="418"/>
      <c r="D73" s="418"/>
      <c r="E73" s="418"/>
      <c r="F73" s="419"/>
      <c r="G73" s="242" t="s">
        <v>77</v>
      </c>
      <c r="H73" s="246">
        <v>18008</v>
      </c>
      <c r="I73" s="244">
        <v>3421</v>
      </c>
      <c r="J73" s="244">
        <v>21429</v>
      </c>
      <c r="K73" s="245" t="s">
        <v>685</v>
      </c>
      <c r="M73" s="233">
        <f t="shared" si="0"/>
        <v>3421.52</v>
      </c>
      <c r="N73" s="233">
        <f t="shared" si="1"/>
        <v>21429.52</v>
      </c>
      <c r="O73" s="127">
        <f t="shared" si="2"/>
        <v>-0.52000000000043656</v>
      </c>
    </row>
    <row r="74" spans="1:15" ht="60" customHeight="1">
      <c r="A74" s="254">
        <v>60</v>
      </c>
      <c r="B74" s="417" t="s">
        <v>189</v>
      </c>
      <c r="C74" s="418"/>
      <c r="D74" s="418"/>
      <c r="E74" s="418"/>
      <c r="F74" s="419"/>
      <c r="G74" s="255" t="s">
        <v>77</v>
      </c>
      <c r="H74" s="246">
        <v>13430</v>
      </c>
      <c r="I74" s="244">
        <v>2552</v>
      </c>
      <c r="J74" s="244">
        <v>15981</v>
      </c>
      <c r="K74" s="245" t="s">
        <v>686</v>
      </c>
      <c r="M74" s="233">
        <f t="shared" si="0"/>
        <v>2551.6999999999998</v>
      </c>
      <c r="N74" s="233">
        <f t="shared" si="1"/>
        <v>15981.7</v>
      </c>
      <c r="O74" s="127">
        <f t="shared" si="2"/>
        <v>-0.7000000000007276</v>
      </c>
    </row>
    <row r="75" spans="1:15" ht="12.75" customHeight="1">
      <c r="A75" s="241">
        <v>61</v>
      </c>
      <c r="B75" s="417" t="s">
        <v>82</v>
      </c>
      <c r="C75" s="418"/>
      <c r="D75" s="418"/>
      <c r="E75" s="418"/>
      <c r="F75" s="419"/>
      <c r="G75" s="242" t="s">
        <v>19</v>
      </c>
      <c r="H75" s="246">
        <v>19058</v>
      </c>
      <c r="I75" s="244">
        <v>3621</v>
      </c>
      <c r="J75" s="244">
        <v>22678</v>
      </c>
      <c r="K75" s="245" t="s">
        <v>687</v>
      </c>
      <c r="M75" s="233">
        <f t="shared" si="0"/>
        <v>3621.02</v>
      </c>
      <c r="N75" s="233">
        <f t="shared" si="1"/>
        <v>22679.02</v>
      </c>
      <c r="O75" s="127">
        <f t="shared" si="2"/>
        <v>-1.0200000000004366</v>
      </c>
    </row>
    <row r="76" spans="1:15" ht="12.75" customHeight="1">
      <c r="A76" s="241">
        <v>62</v>
      </c>
      <c r="B76" s="417" t="s">
        <v>83</v>
      </c>
      <c r="C76" s="418"/>
      <c r="D76" s="418"/>
      <c r="E76" s="418"/>
      <c r="F76" s="419"/>
      <c r="G76" s="242" t="s">
        <v>19</v>
      </c>
      <c r="H76" s="246">
        <v>26250</v>
      </c>
      <c r="I76" s="244">
        <v>4988</v>
      </c>
      <c r="J76" s="244">
        <v>31238</v>
      </c>
      <c r="K76" s="245" t="s">
        <v>688</v>
      </c>
      <c r="M76" s="233">
        <f t="shared" si="0"/>
        <v>4987.5</v>
      </c>
      <c r="N76" s="233">
        <f t="shared" si="1"/>
        <v>31237.5</v>
      </c>
      <c r="O76" s="127">
        <f t="shared" si="2"/>
        <v>0.5</v>
      </c>
    </row>
    <row r="77" spans="1:15" ht="12.75" customHeight="1">
      <c r="A77" s="241">
        <v>63</v>
      </c>
      <c r="B77" s="417" t="s">
        <v>84</v>
      </c>
      <c r="C77" s="418"/>
      <c r="D77" s="418"/>
      <c r="E77" s="418"/>
      <c r="F77" s="419"/>
      <c r="G77" s="242" t="s">
        <v>19</v>
      </c>
      <c r="H77" s="246">
        <v>65940</v>
      </c>
      <c r="I77" s="244">
        <v>12529</v>
      </c>
      <c r="J77" s="244">
        <v>78469</v>
      </c>
      <c r="K77" s="245" t="s">
        <v>689</v>
      </c>
      <c r="M77" s="233">
        <f t="shared" si="0"/>
        <v>12528.6</v>
      </c>
      <c r="N77" s="233">
        <f t="shared" si="1"/>
        <v>78468.600000000006</v>
      </c>
      <c r="O77" s="127">
        <f t="shared" si="2"/>
        <v>0.39999999999417923</v>
      </c>
    </row>
    <row r="78" spans="1:15" ht="19.5" customHeight="1">
      <c r="A78" s="241">
        <v>64</v>
      </c>
      <c r="B78" s="341" t="s">
        <v>769</v>
      </c>
      <c r="C78" s="334"/>
      <c r="D78" s="334"/>
      <c r="E78" s="334"/>
      <c r="F78" s="335"/>
      <c r="G78" s="242" t="s">
        <v>77</v>
      </c>
      <c r="H78" s="246">
        <v>6557</v>
      </c>
      <c r="I78" s="244">
        <v>1246</v>
      </c>
      <c r="J78" s="244">
        <v>7803</v>
      </c>
      <c r="K78" s="245" t="s">
        <v>690</v>
      </c>
      <c r="M78" s="233">
        <f t="shared" si="0"/>
        <v>1245.83</v>
      </c>
      <c r="N78" s="233">
        <f t="shared" si="1"/>
        <v>7802.83</v>
      </c>
      <c r="O78" s="127">
        <f t="shared" si="2"/>
        <v>0.17000000000007276</v>
      </c>
    </row>
    <row r="79" spans="1:15" ht="12.9" customHeight="1">
      <c r="A79" s="241">
        <v>65</v>
      </c>
      <c r="B79" s="417" t="s">
        <v>85</v>
      </c>
      <c r="C79" s="418"/>
      <c r="D79" s="418"/>
      <c r="E79" s="418"/>
      <c r="F79" s="419"/>
      <c r="G79" s="242" t="s">
        <v>77</v>
      </c>
      <c r="H79" s="246">
        <v>7959</v>
      </c>
      <c r="I79" s="244">
        <v>1512</v>
      </c>
      <c r="J79" s="244">
        <v>9471</v>
      </c>
      <c r="K79" s="245" t="s">
        <v>691</v>
      </c>
      <c r="M79" s="233">
        <f t="shared" si="0"/>
        <v>1512.21</v>
      </c>
      <c r="N79" s="233">
        <f t="shared" si="1"/>
        <v>9471.2099999999991</v>
      </c>
      <c r="O79" s="127">
        <f t="shared" si="2"/>
        <v>-0.20999999999912689</v>
      </c>
    </row>
    <row r="80" spans="1:15" ht="12.75" customHeight="1">
      <c r="A80" s="241">
        <v>66</v>
      </c>
      <c r="B80" s="417" t="s">
        <v>86</v>
      </c>
      <c r="C80" s="418"/>
      <c r="D80" s="418"/>
      <c r="E80" s="418"/>
      <c r="F80" s="419"/>
      <c r="G80" s="242" t="s">
        <v>19</v>
      </c>
      <c r="H80" s="248">
        <v>520</v>
      </c>
      <c r="I80" s="247">
        <v>99</v>
      </c>
      <c r="J80" s="247">
        <v>619</v>
      </c>
      <c r="K80" s="245" t="s">
        <v>692</v>
      </c>
      <c r="M80" s="233">
        <f t="shared" ref="M80:M137" si="3">H80*19%</f>
        <v>98.8</v>
      </c>
      <c r="N80" s="233">
        <f t="shared" ref="N80:N137" si="4">H80+M80</f>
        <v>618.79999999999995</v>
      </c>
      <c r="O80" s="127">
        <f t="shared" ref="O80:O137" si="5">J80-N80</f>
        <v>0.20000000000004547</v>
      </c>
    </row>
    <row r="81" spans="1:15" ht="19.5" customHeight="1">
      <c r="A81" s="241">
        <v>67</v>
      </c>
      <c r="B81" s="341" t="s">
        <v>770</v>
      </c>
      <c r="C81" s="334"/>
      <c r="D81" s="334"/>
      <c r="E81" s="334"/>
      <c r="F81" s="335"/>
      <c r="G81" s="242" t="s">
        <v>19</v>
      </c>
      <c r="H81" s="246">
        <v>1250</v>
      </c>
      <c r="I81" s="247">
        <v>237</v>
      </c>
      <c r="J81" s="244">
        <v>1487</v>
      </c>
      <c r="K81" s="245" t="s">
        <v>693</v>
      </c>
      <c r="M81" s="233">
        <f t="shared" si="3"/>
        <v>237.5</v>
      </c>
      <c r="N81" s="233">
        <f t="shared" si="4"/>
        <v>1487.5</v>
      </c>
      <c r="O81" s="127">
        <f t="shared" si="5"/>
        <v>-0.5</v>
      </c>
    </row>
    <row r="82" spans="1:15" ht="21.9" customHeight="1">
      <c r="A82" s="241">
        <v>68</v>
      </c>
      <c r="B82" s="417" t="s">
        <v>192</v>
      </c>
      <c r="C82" s="418"/>
      <c r="D82" s="418"/>
      <c r="E82" s="418"/>
      <c r="F82" s="419"/>
      <c r="G82" s="242" t="s">
        <v>19</v>
      </c>
      <c r="H82" s="246">
        <v>1250</v>
      </c>
      <c r="I82" s="247">
        <v>237</v>
      </c>
      <c r="J82" s="244">
        <v>1487</v>
      </c>
      <c r="K82" s="245" t="s">
        <v>694</v>
      </c>
      <c r="M82" s="233">
        <f t="shared" si="3"/>
        <v>237.5</v>
      </c>
      <c r="N82" s="233">
        <f t="shared" si="4"/>
        <v>1487.5</v>
      </c>
      <c r="O82" s="127">
        <f t="shared" si="5"/>
        <v>-0.5</v>
      </c>
    </row>
    <row r="83" spans="1:15" ht="21.9" customHeight="1">
      <c r="A83" s="241">
        <v>69</v>
      </c>
      <c r="B83" s="341" t="s">
        <v>771</v>
      </c>
      <c r="C83" s="334"/>
      <c r="D83" s="334"/>
      <c r="E83" s="334"/>
      <c r="F83" s="335"/>
      <c r="G83" s="242" t="s">
        <v>87</v>
      </c>
      <c r="H83" s="246">
        <v>4310</v>
      </c>
      <c r="I83" s="247">
        <v>819</v>
      </c>
      <c r="J83" s="244">
        <v>5129</v>
      </c>
      <c r="K83" s="245" t="s">
        <v>695</v>
      </c>
      <c r="M83" s="233">
        <f t="shared" si="3"/>
        <v>818.9</v>
      </c>
      <c r="N83" s="233">
        <f t="shared" si="4"/>
        <v>5128.8999999999996</v>
      </c>
      <c r="O83" s="127">
        <f t="shared" si="5"/>
        <v>0.1000000000003638</v>
      </c>
    </row>
    <row r="84" spans="1:15" ht="19.5" customHeight="1">
      <c r="A84" s="241">
        <v>70</v>
      </c>
      <c r="B84" s="341" t="s">
        <v>772</v>
      </c>
      <c r="C84" s="334"/>
      <c r="D84" s="334"/>
      <c r="E84" s="334"/>
      <c r="F84" s="335"/>
      <c r="G84" s="242" t="s">
        <v>87</v>
      </c>
      <c r="H84" s="246">
        <v>3371</v>
      </c>
      <c r="I84" s="247">
        <v>640</v>
      </c>
      <c r="J84" s="244">
        <v>4011</v>
      </c>
      <c r="K84" s="245" t="s">
        <v>773</v>
      </c>
      <c r="M84" s="233">
        <f t="shared" si="3"/>
        <v>640.49</v>
      </c>
      <c r="N84" s="233">
        <f t="shared" si="4"/>
        <v>4011.49</v>
      </c>
      <c r="O84" s="127">
        <f t="shared" si="5"/>
        <v>-0.48999999999978172</v>
      </c>
    </row>
    <row r="85" spans="1:15" ht="18" customHeight="1">
      <c r="A85" s="241">
        <v>71</v>
      </c>
      <c r="B85" s="417" t="s">
        <v>194</v>
      </c>
      <c r="C85" s="418"/>
      <c r="D85" s="418"/>
      <c r="E85" s="418"/>
      <c r="F85" s="419"/>
      <c r="G85" s="242" t="s">
        <v>19</v>
      </c>
      <c r="H85" s="246">
        <v>73500</v>
      </c>
      <c r="I85" s="244">
        <v>13965</v>
      </c>
      <c r="J85" s="244">
        <v>87465</v>
      </c>
      <c r="K85" s="46" t="s">
        <v>774</v>
      </c>
      <c r="M85" s="233">
        <f t="shared" si="3"/>
        <v>13965</v>
      </c>
      <c r="N85" s="233">
        <f t="shared" si="4"/>
        <v>87465</v>
      </c>
      <c r="O85" s="127">
        <f t="shared" si="5"/>
        <v>0</v>
      </c>
    </row>
    <row r="86" spans="1:15" ht="19.5" customHeight="1">
      <c r="A86" s="241">
        <v>72</v>
      </c>
      <c r="B86" s="341" t="s">
        <v>775</v>
      </c>
      <c r="C86" s="334"/>
      <c r="D86" s="334"/>
      <c r="E86" s="334"/>
      <c r="F86" s="335"/>
      <c r="G86" s="242" t="s">
        <v>89</v>
      </c>
      <c r="H86" s="246">
        <v>139409</v>
      </c>
      <c r="I86" s="244">
        <v>26488</v>
      </c>
      <c r="J86" s="244">
        <v>165896</v>
      </c>
      <c r="K86" s="245" t="s">
        <v>696</v>
      </c>
      <c r="M86" s="233">
        <f t="shared" si="3"/>
        <v>26487.71</v>
      </c>
      <c r="N86" s="233">
        <f t="shared" si="4"/>
        <v>165896.71</v>
      </c>
      <c r="O86" s="127">
        <f t="shared" si="5"/>
        <v>-0.70999999999185093</v>
      </c>
    </row>
    <row r="87" spans="1:15" ht="19.5" customHeight="1">
      <c r="A87" s="241">
        <v>73</v>
      </c>
      <c r="B87" s="341" t="s">
        <v>776</v>
      </c>
      <c r="C87" s="334"/>
      <c r="D87" s="334"/>
      <c r="E87" s="334"/>
      <c r="F87" s="335"/>
      <c r="G87" s="242" t="s">
        <v>89</v>
      </c>
      <c r="H87" s="246">
        <v>172053</v>
      </c>
      <c r="I87" s="244">
        <v>32690</v>
      </c>
      <c r="J87" s="244">
        <v>204743</v>
      </c>
      <c r="K87" s="245" t="s">
        <v>697</v>
      </c>
      <c r="M87" s="233">
        <f t="shared" si="3"/>
        <v>32690.07</v>
      </c>
      <c r="N87" s="233">
        <f t="shared" si="4"/>
        <v>204743.07</v>
      </c>
      <c r="O87" s="127">
        <f t="shared" si="5"/>
        <v>-7.0000000006984919E-2</v>
      </c>
    </row>
    <row r="88" spans="1:15" ht="20.100000000000001" customHeight="1">
      <c r="A88" s="241">
        <v>74</v>
      </c>
      <c r="B88" s="341" t="s">
        <v>777</v>
      </c>
      <c r="C88" s="334"/>
      <c r="D88" s="334"/>
      <c r="E88" s="334"/>
      <c r="F88" s="335"/>
      <c r="G88" s="242" t="s">
        <v>90</v>
      </c>
      <c r="H88" s="246">
        <v>47250</v>
      </c>
      <c r="I88" s="244">
        <v>8978</v>
      </c>
      <c r="J88" s="244">
        <v>56228</v>
      </c>
      <c r="K88" s="46" t="s">
        <v>778</v>
      </c>
      <c r="M88" s="233">
        <f t="shared" si="3"/>
        <v>8977.5</v>
      </c>
      <c r="N88" s="233">
        <f t="shared" si="4"/>
        <v>56227.5</v>
      </c>
      <c r="O88" s="127">
        <f t="shared" si="5"/>
        <v>0.5</v>
      </c>
    </row>
    <row r="89" spans="1:15" ht="21" customHeight="1">
      <c r="A89" s="241">
        <v>75</v>
      </c>
      <c r="B89" s="417" t="s">
        <v>91</v>
      </c>
      <c r="C89" s="418"/>
      <c r="D89" s="418"/>
      <c r="E89" s="418"/>
      <c r="F89" s="419"/>
      <c r="G89" s="242" t="s">
        <v>39</v>
      </c>
      <c r="H89" s="246">
        <v>50663</v>
      </c>
      <c r="I89" s="244">
        <v>9626</v>
      </c>
      <c r="J89" s="244">
        <v>60288</v>
      </c>
      <c r="K89" s="245" t="s">
        <v>698</v>
      </c>
      <c r="M89" s="233">
        <f t="shared" si="3"/>
        <v>9625.9699999999993</v>
      </c>
      <c r="N89" s="233">
        <f t="shared" si="4"/>
        <v>60288.97</v>
      </c>
      <c r="O89" s="127">
        <f t="shared" si="5"/>
        <v>-0.97000000000116415</v>
      </c>
    </row>
    <row r="90" spans="1:15" ht="19.5" customHeight="1">
      <c r="A90" s="241">
        <v>76</v>
      </c>
      <c r="B90" s="417" t="s">
        <v>92</v>
      </c>
      <c r="C90" s="418"/>
      <c r="D90" s="418"/>
      <c r="E90" s="418"/>
      <c r="F90" s="419"/>
      <c r="G90" s="242" t="s">
        <v>93</v>
      </c>
      <c r="H90" s="246">
        <v>10500</v>
      </c>
      <c r="I90" s="244">
        <v>1995</v>
      </c>
      <c r="J90" s="244">
        <v>12495</v>
      </c>
      <c r="K90" s="46" t="s">
        <v>779</v>
      </c>
      <c r="M90" s="233">
        <f t="shared" si="3"/>
        <v>1995</v>
      </c>
      <c r="N90" s="233">
        <f t="shared" si="4"/>
        <v>12495</v>
      </c>
      <c r="O90" s="127">
        <f t="shared" si="5"/>
        <v>0</v>
      </c>
    </row>
    <row r="91" spans="1:15" ht="18.899999999999999" customHeight="1">
      <c r="A91" s="241">
        <v>77</v>
      </c>
      <c r="B91" s="417" t="s">
        <v>199</v>
      </c>
      <c r="C91" s="418"/>
      <c r="D91" s="418"/>
      <c r="E91" s="418"/>
      <c r="F91" s="419"/>
      <c r="G91" s="242" t="s">
        <v>48</v>
      </c>
      <c r="H91" s="246">
        <v>63142</v>
      </c>
      <c r="I91" s="244">
        <v>11997</v>
      </c>
      <c r="J91" s="244">
        <v>75139</v>
      </c>
      <c r="K91" s="245" t="s">
        <v>699</v>
      </c>
      <c r="M91" s="233">
        <f t="shared" si="3"/>
        <v>11996.98</v>
      </c>
      <c r="N91" s="233">
        <f t="shared" si="4"/>
        <v>75138.98</v>
      </c>
      <c r="O91" s="127">
        <f t="shared" si="5"/>
        <v>2.0000000004074536E-2</v>
      </c>
    </row>
    <row r="92" spans="1:15" ht="12.9" customHeight="1">
      <c r="A92" s="241">
        <v>78</v>
      </c>
      <c r="B92" s="417" t="s">
        <v>94</v>
      </c>
      <c r="C92" s="418"/>
      <c r="D92" s="418"/>
      <c r="E92" s="418"/>
      <c r="F92" s="419"/>
      <c r="G92" s="242" t="s">
        <v>95</v>
      </c>
      <c r="H92" s="248">
        <v>210</v>
      </c>
      <c r="I92" s="247">
        <v>0</v>
      </c>
      <c r="J92" s="247">
        <v>210</v>
      </c>
      <c r="K92" s="245" t="s">
        <v>700</v>
      </c>
      <c r="M92" s="289"/>
      <c r="N92" s="233">
        <f t="shared" si="4"/>
        <v>210</v>
      </c>
      <c r="O92" s="127">
        <f t="shared" si="5"/>
        <v>0</v>
      </c>
    </row>
    <row r="93" spans="1:15" ht="27" customHeight="1">
      <c r="A93" s="241">
        <v>79</v>
      </c>
      <c r="B93" s="417" t="s">
        <v>96</v>
      </c>
      <c r="C93" s="418"/>
      <c r="D93" s="418"/>
      <c r="E93" s="418"/>
      <c r="F93" s="419"/>
      <c r="G93" s="242" t="s">
        <v>19</v>
      </c>
      <c r="H93" s="246">
        <v>1444</v>
      </c>
      <c r="I93" s="247">
        <v>274</v>
      </c>
      <c r="J93" s="244">
        <v>1718</v>
      </c>
      <c r="K93" s="252" t="s">
        <v>701</v>
      </c>
      <c r="M93" s="233">
        <f t="shared" si="3"/>
        <v>274.36</v>
      </c>
      <c r="N93" s="233">
        <f t="shared" si="4"/>
        <v>1718.3600000000001</v>
      </c>
      <c r="O93" s="127">
        <f t="shared" si="5"/>
        <v>-0.36000000000012733</v>
      </c>
    </row>
    <row r="94" spans="1:15" ht="41.1" customHeight="1">
      <c r="A94" s="241">
        <v>80</v>
      </c>
      <c r="B94" s="417" t="s">
        <v>97</v>
      </c>
      <c r="C94" s="418"/>
      <c r="D94" s="418"/>
      <c r="E94" s="418"/>
      <c r="F94" s="419"/>
      <c r="G94" s="242" t="s">
        <v>19</v>
      </c>
      <c r="H94" s="246">
        <v>8437</v>
      </c>
      <c r="I94" s="244">
        <v>1603</v>
      </c>
      <c r="J94" s="244">
        <v>10040</v>
      </c>
      <c r="K94" s="245" t="s">
        <v>702</v>
      </c>
      <c r="M94" s="233">
        <f t="shared" si="3"/>
        <v>1603.03</v>
      </c>
      <c r="N94" s="233">
        <f t="shared" si="4"/>
        <v>10040.030000000001</v>
      </c>
      <c r="O94" s="127">
        <f t="shared" si="5"/>
        <v>-3.0000000000654836E-2</v>
      </c>
    </row>
    <row r="95" spans="1:15" ht="21.9" customHeight="1">
      <c r="A95" s="241">
        <v>81</v>
      </c>
      <c r="B95" s="341" t="s">
        <v>780</v>
      </c>
      <c r="C95" s="334"/>
      <c r="D95" s="334"/>
      <c r="E95" s="334"/>
      <c r="F95" s="335"/>
      <c r="G95" s="242" t="s">
        <v>19</v>
      </c>
      <c r="H95" s="246">
        <v>9177</v>
      </c>
      <c r="I95" s="244">
        <v>1744</v>
      </c>
      <c r="J95" s="244">
        <v>10921</v>
      </c>
      <c r="K95" s="245" t="s">
        <v>703</v>
      </c>
      <c r="M95" s="233">
        <f t="shared" si="3"/>
        <v>1743.63</v>
      </c>
      <c r="N95" s="233">
        <f t="shared" si="4"/>
        <v>10920.630000000001</v>
      </c>
      <c r="O95" s="127">
        <f t="shared" si="5"/>
        <v>0.36999999999898137</v>
      </c>
    </row>
    <row r="96" spans="1:15" ht="24.9" customHeight="1">
      <c r="A96" s="241">
        <v>82</v>
      </c>
      <c r="B96" s="417" t="s">
        <v>99</v>
      </c>
      <c r="C96" s="418"/>
      <c r="D96" s="418"/>
      <c r="E96" s="418"/>
      <c r="F96" s="419"/>
      <c r="G96" s="242" t="s">
        <v>19</v>
      </c>
      <c r="H96" s="246">
        <v>74970</v>
      </c>
      <c r="I96" s="244">
        <v>14244</v>
      </c>
      <c r="J96" s="244">
        <v>89214</v>
      </c>
      <c r="K96" s="245" t="s">
        <v>704</v>
      </c>
      <c r="M96" s="233">
        <f t="shared" si="3"/>
        <v>14244.3</v>
      </c>
      <c r="N96" s="233">
        <f t="shared" si="4"/>
        <v>89214.3</v>
      </c>
      <c r="O96" s="127">
        <f t="shared" si="5"/>
        <v>-0.30000000000291038</v>
      </c>
    </row>
    <row r="97" spans="1:15" ht="26.1" customHeight="1">
      <c r="A97" s="241">
        <v>83</v>
      </c>
      <c r="B97" s="417" t="s">
        <v>100</v>
      </c>
      <c r="C97" s="418"/>
      <c r="D97" s="418"/>
      <c r="E97" s="418"/>
      <c r="F97" s="419"/>
      <c r="G97" s="242" t="s">
        <v>19</v>
      </c>
      <c r="H97" s="246">
        <v>15540</v>
      </c>
      <c r="I97" s="244">
        <v>2953</v>
      </c>
      <c r="J97" s="244">
        <v>18493</v>
      </c>
      <c r="K97" s="245" t="s">
        <v>705</v>
      </c>
      <c r="M97" s="233">
        <f t="shared" si="3"/>
        <v>2952.6</v>
      </c>
      <c r="N97" s="233">
        <f t="shared" si="4"/>
        <v>18492.599999999999</v>
      </c>
      <c r="O97" s="127">
        <f t="shared" si="5"/>
        <v>0.40000000000145519</v>
      </c>
    </row>
    <row r="98" spans="1:15" ht="12.75" customHeight="1">
      <c r="A98" s="241">
        <v>84</v>
      </c>
      <c r="B98" s="417" t="s">
        <v>101</v>
      </c>
      <c r="C98" s="418"/>
      <c r="D98" s="418"/>
      <c r="E98" s="418"/>
      <c r="F98" s="419"/>
      <c r="G98" s="242" t="s">
        <v>102</v>
      </c>
      <c r="H98" s="246">
        <v>3029</v>
      </c>
      <c r="I98" s="247">
        <v>576</v>
      </c>
      <c r="J98" s="244">
        <v>3605</v>
      </c>
      <c r="K98" s="245" t="s">
        <v>706</v>
      </c>
      <c r="M98" s="233">
        <f t="shared" si="3"/>
        <v>575.51</v>
      </c>
      <c r="N98" s="233">
        <f t="shared" si="4"/>
        <v>3604.51</v>
      </c>
      <c r="O98" s="127">
        <f t="shared" si="5"/>
        <v>0.48999999999978172</v>
      </c>
    </row>
    <row r="99" spans="1:15" ht="12.75" customHeight="1">
      <c r="A99" s="241">
        <v>85</v>
      </c>
      <c r="B99" s="417" t="s">
        <v>103</v>
      </c>
      <c r="C99" s="418"/>
      <c r="D99" s="418"/>
      <c r="E99" s="418"/>
      <c r="F99" s="419"/>
      <c r="G99" s="242" t="s">
        <v>102</v>
      </c>
      <c r="H99" s="246">
        <v>3029</v>
      </c>
      <c r="I99" s="247">
        <v>576</v>
      </c>
      <c r="J99" s="244">
        <v>3605</v>
      </c>
      <c r="K99" s="245" t="s">
        <v>707</v>
      </c>
      <c r="M99" s="233">
        <f t="shared" si="3"/>
        <v>575.51</v>
      </c>
      <c r="N99" s="233">
        <f t="shared" si="4"/>
        <v>3604.51</v>
      </c>
      <c r="O99" s="127">
        <f t="shared" si="5"/>
        <v>0.48999999999978172</v>
      </c>
    </row>
    <row r="100" spans="1:15" ht="12.75" customHeight="1">
      <c r="A100" s="241">
        <v>86</v>
      </c>
      <c r="B100" s="417" t="s">
        <v>104</v>
      </c>
      <c r="C100" s="418"/>
      <c r="D100" s="418"/>
      <c r="E100" s="418"/>
      <c r="F100" s="419"/>
      <c r="G100" s="242" t="s">
        <v>102</v>
      </c>
      <c r="H100" s="246">
        <v>19310</v>
      </c>
      <c r="I100" s="244">
        <v>3669</v>
      </c>
      <c r="J100" s="244">
        <v>22978</v>
      </c>
      <c r="K100" s="245" t="s">
        <v>708</v>
      </c>
      <c r="M100" s="233">
        <f t="shared" si="3"/>
        <v>3668.9</v>
      </c>
      <c r="N100" s="233">
        <f t="shared" si="4"/>
        <v>22978.9</v>
      </c>
      <c r="O100" s="127">
        <f t="shared" si="5"/>
        <v>-0.90000000000145519</v>
      </c>
    </row>
    <row r="101" spans="1:15" ht="12.75" customHeight="1">
      <c r="A101" s="241">
        <v>87</v>
      </c>
      <c r="B101" s="417" t="s">
        <v>105</v>
      </c>
      <c r="C101" s="418"/>
      <c r="D101" s="418"/>
      <c r="E101" s="418"/>
      <c r="F101" s="419"/>
      <c r="G101" s="242" t="s">
        <v>102</v>
      </c>
      <c r="H101" s="246">
        <v>13293</v>
      </c>
      <c r="I101" s="244">
        <v>2526</v>
      </c>
      <c r="J101" s="244">
        <v>15819</v>
      </c>
      <c r="K101" s="245" t="s">
        <v>709</v>
      </c>
      <c r="M101" s="233">
        <f t="shared" si="3"/>
        <v>2525.67</v>
      </c>
      <c r="N101" s="233">
        <f t="shared" si="4"/>
        <v>15818.67</v>
      </c>
      <c r="O101" s="127">
        <f t="shared" si="5"/>
        <v>0.32999999999992724</v>
      </c>
    </row>
    <row r="102" spans="1:15" ht="12.75" customHeight="1">
      <c r="A102" s="241">
        <v>88</v>
      </c>
      <c r="B102" s="417" t="s">
        <v>106</v>
      </c>
      <c r="C102" s="418"/>
      <c r="D102" s="418"/>
      <c r="E102" s="418"/>
      <c r="F102" s="419"/>
      <c r="G102" s="242" t="s">
        <v>102</v>
      </c>
      <c r="H102" s="246">
        <v>15750</v>
      </c>
      <c r="I102" s="244">
        <v>2993</v>
      </c>
      <c r="J102" s="244">
        <v>18743</v>
      </c>
      <c r="K102" s="245" t="s">
        <v>710</v>
      </c>
      <c r="M102" s="233">
        <f t="shared" si="3"/>
        <v>2992.5</v>
      </c>
      <c r="N102" s="233">
        <f t="shared" si="4"/>
        <v>18742.5</v>
      </c>
      <c r="O102" s="127">
        <f t="shared" si="5"/>
        <v>0.5</v>
      </c>
    </row>
    <row r="103" spans="1:15" ht="12.75" customHeight="1">
      <c r="A103" s="241">
        <v>89</v>
      </c>
      <c r="B103" s="417" t="s">
        <v>107</v>
      </c>
      <c r="C103" s="418"/>
      <c r="D103" s="418"/>
      <c r="E103" s="418"/>
      <c r="F103" s="419"/>
      <c r="G103" s="242" t="s">
        <v>19</v>
      </c>
      <c r="H103" s="248">
        <v>263</v>
      </c>
      <c r="I103" s="247">
        <v>50</v>
      </c>
      <c r="J103" s="247">
        <v>312</v>
      </c>
      <c r="K103" s="245" t="s">
        <v>711</v>
      </c>
      <c r="M103" s="233">
        <f t="shared" si="3"/>
        <v>49.97</v>
      </c>
      <c r="N103" s="233">
        <f t="shared" si="4"/>
        <v>312.97000000000003</v>
      </c>
      <c r="O103" s="127">
        <f t="shared" si="5"/>
        <v>-0.97000000000002728</v>
      </c>
    </row>
    <row r="104" spans="1:15" ht="21" customHeight="1">
      <c r="A104" s="241">
        <v>90</v>
      </c>
      <c r="B104" s="341" t="s">
        <v>781</v>
      </c>
      <c r="C104" s="334"/>
      <c r="D104" s="334"/>
      <c r="E104" s="334"/>
      <c r="F104" s="335"/>
      <c r="G104" s="242" t="s">
        <v>19</v>
      </c>
      <c r="H104" s="246">
        <v>1013</v>
      </c>
      <c r="I104" s="247">
        <v>193</v>
      </c>
      <c r="J104" s="244">
        <v>1206</v>
      </c>
      <c r="K104" s="245" t="s">
        <v>712</v>
      </c>
      <c r="M104" s="233">
        <f t="shared" si="3"/>
        <v>192.47</v>
      </c>
      <c r="N104" s="233">
        <f t="shared" si="4"/>
        <v>1205.47</v>
      </c>
      <c r="O104" s="127">
        <f t="shared" si="5"/>
        <v>0.52999999999997272</v>
      </c>
    </row>
    <row r="105" spans="1:15" ht="19.5" customHeight="1">
      <c r="A105" s="241">
        <v>91</v>
      </c>
      <c r="B105" s="341" t="s">
        <v>782</v>
      </c>
      <c r="C105" s="334"/>
      <c r="D105" s="334"/>
      <c r="E105" s="334"/>
      <c r="F105" s="335"/>
      <c r="G105" s="242" t="s">
        <v>19</v>
      </c>
      <c r="H105" s="246">
        <v>1061</v>
      </c>
      <c r="I105" s="247">
        <v>201</v>
      </c>
      <c r="J105" s="244">
        <v>1262</v>
      </c>
      <c r="K105" s="245" t="s">
        <v>713</v>
      </c>
      <c r="M105" s="233">
        <f t="shared" si="3"/>
        <v>201.59</v>
      </c>
      <c r="N105" s="233">
        <f t="shared" si="4"/>
        <v>1262.5899999999999</v>
      </c>
      <c r="O105" s="127">
        <f t="shared" si="5"/>
        <v>-0.58999999999991815</v>
      </c>
    </row>
    <row r="106" spans="1:15" ht="30" customHeight="1">
      <c r="A106" s="241">
        <v>92</v>
      </c>
      <c r="B106" s="417" t="s">
        <v>109</v>
      </c>
      <c r="C106" s="418"/>
      <c r="D106" s="418"/>
      <c r="E106" s="418"/>
      <c r="F106" s="419"/>
      <c r="G106" s="242" t="s">
        <v>19</v>
      </c>
      <c r="H106" s="248">
        <v>404</v>
      </c>
      <c r="I106" s="247">
        <v>77</v>
      </c>
      <c r="J106" s="247">
        <v>481</v>
      </c>
      <c r="K106" s="245" t="s">
        <v>714</v>
      </c>
      <c r="M106" s="233">
        <f t="shared" si="3"/>
        <v>76.760000000000005</v>
      </c>
      <c r="N106" s="233">
        <f t="shared" si="4"/>
        <v>480.76</v>
      </c>
      <c r="O106" s="127">
        <f t="shared" si="5"/>
        <v>0.24000000000000909</v>
      </c>
    </row>
    <row r="107" spans="1:15" ht="12.75" customHeight="1">
      <c r="A107" s="241">
        <v>93</v>
      </c>
      <c r="B107" s="417" t="s">
        <v>110</v>
      </c>
      <c r="C107" s="418"/>
      <c r="D107" s="418"/>
      <c r="E107" s="418"/>
      <c r="F107" s="419"/>
      <c r="G107" s="242" t="s">
        <v>77</v>
      </c>
      <c r="H107" s="246">
        <v>11025</v>
      </c>
      <c r="I107" s="244">
        <v>2095</v>
      </c>
      <c r="J107" s="244">
        <v>13120</v>
      </c>
      <c r="K107" s="245" t="s">
        <v>715</v>
      </c>
      <c r="M107" s="233">
        <f t="shared" si="3"/>
        <v>2094.75</v>
      </c>
      <c r="N107" s="233">
        <f t="shared" si="4"/>
        <v>13119.75</v>
      </c>
      <c r="O107" s="127">
        <f t="shared" si="5"/>
        <v>0.25</v>
      </c>
    </row>
    <row r="108" spans="1:15" ht="12.75" customHeight="1">
      <c r="A108" s="241">
        <v>94</v>
      </c>
      <c r="B108" s="417" t="s">
        <v>111</v>
      </c>
      <c r="C108" s="418"/>
      <c r="D108" s="418"/>
      <c r="E108" s="418"/>
      <c r="F108" s="419"/>
      <c r="G108" s="242" t="s">
        <v>19</v>
      </c>
      <c r="H108" s="246">
        <v>8663</v>
      </c>
      <c r="I108" s="244">
        <v>1646</v>
      </c>
      <c r="J108" s="244">
        <v>10308</v>
      </c>
      <c r="K108" s="245" t="s">
        <v>716</v>
      </c>
      <c r="M108" s="233">
        <f t="shared" si="3"/>
        <v>1645.97</v>
      </c>
      <c r="N108" s="233">
        <f t="shared" si="4"/>
        <v>10308.969999999999</v>
      </c>
      <c r="O108" s="127">
        <f t="shared" si="5"/>
        <v>-0.96999999999934516</v>
      </c>
    </row>
    <row r="109" spans="1:15" ht="19.5" customHeight="1">
      <c r="A109" s="241">
        <v>95</v>
      </c>
      <c r="B109" s="341" t="s">
        <v>783</v>
      </c>
      <c r="C109" s="334"/>
      <c r="D109" s="334"/>
      <c r="E109" s="334"/>
      <c r="F109" s="335"/>
      <c r="G109" s="242" t="s">
        <v>19</v>
      </c>
      <c r="H109" s="246">
        <v>1334</v>
      </c>
      <c r="I109" s="247">
        <v>253</v>
      </c>
      <c r="J109" s="244">
        <v>1587</v>
      </c>
      <c r="K109" s="245" t="s">
        <v>717</v>
      </c>
      <c r="M109" s="233">
        <f t="shared" si="3"/>
        <v>253.46</v>
      </c>
      <c r="N109" s="233">
        <f t="shared" si="4"/>
        <v>1587.46</v>
      </c>
      <c r="O109" s="127">
        <f t="shared" si="5"/>
        <v>-0.46000000000003638</v>
      </c>
    </row>
    <row r="110" spans="1:15" ht="12.75" customHeight="1">
      <c r="A110" s="241">
        <v>96</v>
      </c>
      <c r="B110" s="417" t="s">
        <v>112</v>
      </c>
      <c r="C110" s="418"/>
      <c r="D110" s="418"/>
      <c r="E110" s="418"/>
      <c r="F110" s="419"/>
      <c r="G110" s="242" t="s">
        <v>43</v>
      </c>
      <c r="H110" s="246">
        <v>19425</v>
      </c>
      <c r="I110" s="244">
        <v>3691</v>
      </c>
      <c r="J110" s="244">
        <v>23116</v>
      </c>
      <c r="K110" s="245" t="s">
        <v>718</v>
      </c>
      <c r="M110" s="233">
        <f t="shared" si="3"/>
        <v>3690.75</v>
      </c>
      <c r="N110" s="233">
        <f t="shared" si="4"/>
        <v>23115.75</v>
      </c>
      <c r="O110" s="127">
        <f t="shared" si="5"/>
        <v>0.25</v>
      </c>
    </row>
    <row r="111" spans="1:15" ht="21.9" customHeight="1">
      <c r="A111" s="241">
        <v>97</v>
      </c>
      <c r="B111" s="417" t="s">
        <v>202</v>
      </c>
      <c r="C111" s="418"/>
      <c r="D111" s="418"/>
      <c r="E111" s="418"/>
      <c r="F111" s="419"/>
      <c r="G111" s="242" t="s">
        <v>43</v>
      </c>
      <c r="H111" s="246">
        <v>25200</v>
      </c>
      <c r="I111" s="244">
        <v>4788</v>
      </c>
      <c r="J111" s="244">
        <v>29988</v>
      </c>
      <c r="K111" s="245" t="s">
        <v>719</v>
      </c>
      <c r="M111" s="233">
        <f t="shared" si="3"/>
        <v>4788</v>
      </c>
      <c r="N111" s="233">
        <f t="shared" si="4"/>
        <v>29988</v>
      </c>
      <c r="O111" s="127">
        <f t="shared" si="5"/>
        <v>0</v>
      </c>
    </row>
    <row r="112" spans="1:15" ht="12.75" customHeight="1">
      <c r="A112" s="241">
        <v>98</v>
      </c>
      <c r="B112" s="417" t="s">
        <v>113</v>
      </c>
      <c r="C112" s="418"/>
      <c r="D112" s="418"/>
      <c r="E112" s="418"/>
      <c r="F112" s="419"/>
      <c r="G112" s="242" t="s">
        <v>43</v>
      </c>
      <c r="H112" s="246">
        <v>12915</v>
      </c>
      <c r="I112" s="244">
        <v>2454</v>
      </c>
      <c r="J112" s="244">
        <v>15369</v>
      </c>
      <c r="K112" s="46" t="s">
        <v>784</v>
      </c>
      <c r="M112" s="233">
        <f t="shared" si="3"/>
        <v>2453.85</v>
      </c>
      <c r="N112" s="233">
        <f t="shared" si="4"/>
        <v>15368.85</v>
      </c>
      <c r="O112" s="127">
        <f t="shared" si="5"/>
        <v>0.1499999999996362</v>
      </c>
    </row>
    <row r="113" spans="1:15" ht="12.75" customHeight="1">
      <c r="A113" s="241">
        <v>99</v>
      </c>
      <c r="B113" s="417" t="s">
        <v>114</v>
      </c>
      <c r="C113" s="418"/>
      <c r="D113" s="418"/>
      <c r="E113" s="418"/>
      <c r="F113" s="419"/>
      <c r="G113" s="242" t="s">
        <v>115</v>
      </c>
      <c r="H113" s="246">
        <v>15330</v>
      </c>
      <c r="I113" s="244">
        <v>2913</v>
      </c>
      <c r="J113" s="244">
        <v>18243</v>
      </c>
      <c r="K113" s="245" t="s">
        <v>720</v>
      </c>
      <c r="M113" s="233">
        <f t="shared" si="3"/>
        <v>2912.7</v>
      </c>
      <c r="N113" s="233">
        <f t="shared" si="4"/>
        <v>18242.7</v>
      </c>
      <c r="O113" s="127">
        <f t="shared" si="5"/>
        <v>0.2999999999992724</v>
      </c>
    </row>
    <row r="114" spans="1:15" ht="12.75" customHeight="1">
      <c r="A114" s="241">
        <v>100</v>
      </c>
      <c r="B114" s="417" t="s">
        <v>116</v>
      </c>
      <c r="C114" s="418"/>
      <c r="D114" s="418"/>
      <c r="E114" s="418"/>
      <c r="F114" s="419"/>
      <c r="G114" s="242" t="s">
        <v>115</v>
      </c>
      <c r="H114" s="246">
        <v>8820</v>
      </c>
      <c r="I114" s="244">
        <v>1676</v>
      </c>
      <c r="J114" s="244">
        <v>10496</v>
      </c>
      <c r="K114" s="245" t="s">
        <v>721</v>
      </c>
      <c r="M114" s="233">
        <f t="shared" si="3"/>
        <v>1675.8</v>
      </c>
      <c r="N114" s="233">
        <f t="shared" si="4"/>
        <v>10495.8</v>
      </c>
      <c r="O114" s="127">
        <f t="shared" si="5"/>
        <v>0.2000000000007276</v>
      </c>
    </row>
    <row r="115" spans="1:15" ht="12.75" customHeight="1">
      <c r="A115" s="241">
        <v>101</v>
      </c>
      <c r="B115" s="417" t="s">
        <v>117</v>
      </c>
      <c r="C115" s="418"/>
      <c r="D115" s="418"/>
      <c r="E115" s="418"/>
      <c r="F115" s="419"/>
      <c r="G115" s="242" t="s">
        <v>43</v>
      </c>
      <c r="H115" s="246">
        <v>15750</v>
      </c>
      <c r="I115" s="244">
        <v>2993</v>
      </c>
      <c r="J115" s="244">
        <v>18743</v>
      </c>
      <c r="K115" s="245" t="s">
        <v>722</v>
      </c>
      <c r="M115" s="233">
        <f t="shared" si="3"/>
        <v>2992.5</v>
      </c>
      <c r="N115" s="233">
        <f t="shared" si="4"/>
        <v>18742.5</v>
      </c>
      <c r="O115" s="127">
        <f t="shared" si="5"/>
        <v>0.5</v>
      </c>
    </row>
    <row r="116" spans="1:15" ht="29.1" customHeight="1">
      <c r="A116" s="241">
        <v>102</v>
      </c>
      <c r="B116" s="417" t="s">
        <v>118</v>
      </c>
      <c r="C116" s="418"/>
      <c r="D116" s="418"/>
      <c r="E116" s="418"/>
      <c r="F116" s="419"/>
      <c r="G116" s="242" t="s">
        <v>19</v>
      </c>
      <c r="H116" s="253">
        <v>4746</v>
      </c>
      <c r="I116" s="250">
        <v>902</v>
      </c>
      <c r="J116" s="251">
        <v>5648</v>
      </c>
      <c r="K116" s="252" t="s">
        <v>723</v>
      </c>
      <c r="M116" s="233">
        <f t="shared" si="3"/>
        <v>901.74</v>
      </c>
      <c r="N116" s="233">
        <f t="shared" si="4"/>
        <v>5647.74</v>
      </c>
      <c r="O116" s="127">
        <f t="shared" si="5"/>
        <v>0.26000000000021828</v>
      </c>
    </row>
    <row r="117" spans="1:15" ht="12.75" customHeight="1">
      <c r="A117" s="241">
        <v>103</v>
      </c>
      <c r="B117" s="417" t="s">
        <v>119</v>
      </c>
      <c r="C117" s="418"/>
      <c r="D117" s="418"/>
      <c r="E117" s="418"/>
      <c r="F117" s="419"/>
      <c r="G117" s="242" t="s">
        <v>19</v>
      </c>
      <c r="H117" s="246">
        <v>115815</v>
      </c>
      <c r="I117" s="244">
        <v>22005</v>
      </c>
      <c r="J117" s="244">
        <v>137820</v>
      </c>
      <c r="K117" s="245" t="s">
        <v>724</v>
      </c>
      <c r="M117" s="233">
        <f t="shared" si="3"/>
        <v>22004.85</v>
      </c>
      <c r="N117" s="233">
        <f t="shared" si="4"/>
        <v>137819.85</v>
      </c>
      <c r="O117" s="127">
        <f t="shared" si="5"/>
        <v>0.14999999999417923</v>
      </c>
    </row>
    <row r="118" spans="1:15" ht="19.5" customHeight="1">
      <c r="A118" s="241">
        <v>104</v>
      </c>
      <c r="B118" s="341" t="s">
        <v>785</v>
      </c>
      <c r="C118" s="334"/>
      <c r="D118" s="334"/>
      <c r="E118" s="334"/>
      <c r="F118" s="335"/>
      <c r="G118" s="242" t="s">
        <v>19</v>
      </c>
      <c r="H118" s="246">
        <v>313740</v>
      </c>
      <c r="I118" s="244">
        <v>59611</v>
      </c>
      <c r="J118" s="244">
        <v>373351</v>
      </c>
      <c r="K118" s="245" t="s">
        <v>725</v>
      </c>
      <c r="M118" s="233">
        <f t="shared" si="3"/>
        <v>59610.6</v>
      </c>
      <c r="N118" s="233">
        <f t="shared" si="4"/>
        <v>373350.6</v>
      </c>
      <c r="O118" s="127">
        <f t="shared" si="5"/>
        <v>0.40000000002328306</v>
      </c>
    </row>
    <row r="119" spans="1:15" ht="19.5" customHeight="1">
      <c r="A119" s="241">
        <v>105</v>
      </c>
      <c r="B119" s="341" t="s">
        <v>786</v>
      </c>
      <c r="C119" s="334"/>
      <c r="D119" s="334"/>
      <c r="E119" s="334"/>
      <c r="F119" s="335"/>
      <c r="G119" s="242" t="s">
        <v>19</v>
      </c>
      <c r="H119" s="246">
        <v>166530</v>
      </c>
      <c r="I119" s="244">
        <v>31641</v>
      </c>
      <c r="J119" s="244">
        <v>198171</v>
      </c>
      <c r="K119" s="245" t="s">
        <v>726</v>
      </c>
      <c r="M119" s="233">
        <f t="shared" si="3"/>
        <v>31640.7</v>
      </c>
      <c r="N119" s="233">
        <f t="shared" si="4"/>
        <v>198170.7</v>
      </c>
      <c r="O119" s="127">
        <f t="shared" si="5"/>
        <v>0.29999999998835847</v>
      </c>
    </row>
    <row r="120" spans="1:15" ht="12.75" customHeight="1">
      <c r="A120" s="241">
        <v>106</v>
      </c>
      <c r="B120" s="417" t="s">
        <v>120</v>
      </c>
      <c r="C120" s="418"/>
      <c r="D120" s="418"/>
      <c r="E120" s="418"/>
      <c r="F120" s="419"/>
      <c r="G120" s="242" t="s">
        <v>19</v>
      </c>
      <c r="H120" s="246">
        <v>107625</v>
      </c>
      <c r="I120" s="244">
        <v>20449</v>
      </c>
      <c r="J120" s="244">
        <v>128074</v>
      </c>
      <c r="K120" s="245" t="s">
        <v>727</v>
      </c>
      <c r="M120" s="233">
        <f t="shared" si="3"/>
        <v>20448.75</v>
      </c>
      <c r="N120" s="233">
        <f t="shared" si="4"/>
        <v>128073.75</v>
      </c>
      <c r="O120" s="127">
        <f t="shared" si="5"/>
        <v>0.25</v>
      </c>
    </row>
    <row r="121" spans="1:15" ht="21.9" customHeight="1">
      <c r="A121" s="241">
        <v>107</v>
      </c>
      <c r="B121" s="417" t="s">
        <v>205</v>
      </c>
      <c r="C121" s="418"/>
      <c r="D121" s="418"/>
      <c r="E121" s="418"/>
      <c r="F121" s="419"/>
      <c r="G121" s="242" t="s">
        <v>31</v>
      </c>
      <c r="H121" s="246">
        <v>8568</v>
      </c>
      <c r="I121" s="244">
        <v>1628</v>
      </c>
      <c r="J121" s="244">
        <v>10196</v>
      </c>
      <c r="K121" s="245" t="s">
        <v>728</v>
      </c>
      <c r="M121" s="233">
        <f t="shared" si="3"/>
        <v>1627.92</v>
      </c>
      <c r="N121" s="233">
        <f t="shared" si="4"/>
        <v>10195.92</v>
      </c>
      <c r="O121" s="127">
        <f t="shared" si="5"/>
        <v>7.999999999992724E-2</v>
      </c>
    </row>
    <row r="122" spans="1:15" ht="12.75" customHeight="1">
      <c r="A122" s="241">
        <v>108</v>
      </c>
      <c r="B122" s="417" t="s">
        <v>121</v>
      </c>
      <c r="C122" s="418"/>
      <c r="D122" s="418"/>
      <c r="E122" s="418"/>
      <c r="F122" s="419"/>
      <c r="G122" s="242" t="s">
        <v>33</v>
      </c>
      <c r="H122" s="246">
        <v>7928</v>
      </c>
      <c r="I122" s="244">
        <v>1506</v>
      </c>
      <c r="J122" s="244">
        <v>9434</v>
      </c>
      <c r="K122" s="245" t="s">
        <v>729</v>
      </c>
      <c r="M122" s="233">
        <f t="shared" si="3"/>
        <v>1506.32</v>
      </c>
      <c r="N122" s="233">
        <f t="shared" si="4"/>
        <v>9434.32</v>
      </c>
      <c r="O122" s="127">
        <f t="shared" si="5"/>
        <v>-0.31999999999970896</v>
      </c>
    </row>
    <row r="123" spans="1:15" ht="23.1" customHeight="1">
      <c r="A123" s="241">
        <v>109</v>
      </c>
      <c r="B123" s="417" t="s">
        <v>206</v>
      </c>
      <c r="C123" s="418"/>
      <c r="D123" s="418"/>
      <c r="E123" s="418"/>
      <c r="F123" s="419"/>
      <c r="G123" s="242" t="s">
        <v>43</v>
      </c>
      <c r="H123" s="246">
        <v>74498</v>
      </c>
      <c r="I123" s="244">
        <v>14155</v>
      </c>
      <c r="J123" s="256">
        <v>88652</v>
      </c>
      <c r="K123" s="245" t="s">
        <v>730</v>
      </c>
      <c r="M123" s="233">
        <f t="shared" si="3"/>
        <v>14154.62</v>
      </c>
      <c r="N123" s="233">
        <f t="shared" si="4"/>
        <v>88652.62</v>
      </c>
      <c r="O123" s="127">
        <f t="shared" si="5"/>
        <v>-0.61999999999534339</v>
      </c>
    </row>
    <row r="124" spans="1:15" ht="17.100000000000001" customHeight="1">
      <c r="A124" s="241">
        <v>110</v>
      </c>
      <c r="B124" s="417" t="s">
        <v>122</v>
      </c>
      <c r="C124" s="418"/>
      <c r="D124" s="418"/>
      <c r="E124" s="418"/>
      <c r="F124" s="419"/>
      <c r="G124" s="242" t="s">
        <v>19</v>
      </c>
      <c r="H124" s="246">
        <v>2993</v>
      </c>
      <c r="I124" s="247">
        <v>569</v>
      </c>
      <c r="J124" s="244">
        <v>3561</v>
      </c>
      <c r="K124" s="245" t="s">
        <v>787</v>
      </c>
      <c r="M124" s="233">
        <f t="shared" si="3"/>
        <v>568.66999999999996</v>
      </c>
      <c r="N124" s="233">
        <f t="shared" si="4"/>
        <v>3561.67</v>
      </c>
      <c r="O124" s="127">
        <f t="shared" si="5"/>
        <v>-0.67000000000007276</v>
      </c>
    </row>
    <row r="125" spans="1:15" ht="18" customHeight="1">
      <c r="A125" s="241">
        <v>111</v>
      </c>
      <c r="B125" s="417" t="s">
        <v>123</v>
      </c>
      <c r="C125" s="418"/>
      <c r="D125" s="418"/>
      <c r="E125" s="418"/>
      <c r="F125" s="419"/>
      <c r="G125" s="242" t="s">
        <v>19</v>
      </c>
      <c r="H125" s="248">
        <v>683</v>
      </c>
      <c r="I125" s="247">
        <v>130</v>
      </c>
      <c r="J125" s="247">
        <v>812</v>
      </c>
      <c r="K125" s="245" t="s">
        <v>731</v>
      </c>
      <c r="M125" s="233">
        <f t="shared" si="3"/>
        <v>129.77000000000001</v>
      </c>
      <c r="N125" s="233">
        <f t="shared" si="4"/>
        <v>812.77</v>
      </c>
      <c r="O125" s="127">
        <f t="shared" si="5"/>
        <v>-0.76999999999998181</v>
      </c>
    </row>
    <row r="126" spans="1:15" ht="17.100000000000001" customHeight="1">
      <c r="A126" s="241">
        <v>112</v>
      </c>
      <c r="B126" s="417" t="s">
        <v>124</v>
      </c>
      <c r="C126" s="418"/>
      <c r="D126" s="418"/>
      <c r="E126" s="418"/>
      <c r="F126" s="419"/>
      <c r="G126" s="242" t="s">
        <v>19</v>
      </c>
      <c r="H126" s="246">
        <v>924000</v>
      </c>
      <c r="I126" s="244">
        <v>175560</v>
      </c>
      <c r="J126" s="257">
        <v>1099560</v>
      </c>
      <c r="K126" s="245" t="s">
        <v>124</v>
      </c>
      <c r="M126" s="233">
        <f t="shared" si="3"/>
        <v>175560</v>
      </c>
      <c r="N126" s="233">
        <f t="shared" si="4"/>
        <v>1099560</v>
      </c>
      <c r="O126" s="127">
        <f t="shared" si="5"/>
        <v>0</v>
      </c>
    </row>
    <row r="127" spans="1:15" ht="18" customHeight="1">
      <c r="A127" s="241">
        <v>113</v>
      </c>
      <c r="B127" s="417" t="s">
        <v>125</v>
      </c>
      <c r="C127" s="418"/>
      <c r="D127" s="418"/>
      <c r="E127" s="418"/>
      <c r="F127" s="419"/>
      <c r="G127" s="242" t="s">
        <v>19</v>
      </c>
      <c r="H127" s="246">
        <v>924000</v>
      </c>
      <c r="I127" s="244">
        <v>175560</v>
      </c>
      <c r="J127" s="257">
        <v>1099560</v>
      </c>
      <c r="K127" s="245" t="s">
        <v>125</v>
      </c>
      <c r="M127" s="233">
        <f t="shared" si="3"/>
        <v>175560</v>
      </c>
      <c r="N127" s="233">
        <f t="shared" si="4"/>
        <v>1099560</v>
      </c>
      <c r="O127" s="127">
        <f t="shared" si="5"/>
        <v>0</v>
      </c>
    </row>
    <row r="128" spans="1:15" ht="12.75" customHeight="1">
      <c r="A128" s="241">
        <v>114</v>
      </c>
      <c r="B128" s="417" t="s">
        <v>126</v>
      </c>
      <c r="C128" s="418"/>
      <c r="D128" s="418"/>
      <c r="E128" s="418"/>
      <c r="F128" s="419"/>
      <c r="G128" s="242" t="s">
        <v>19</v>
      </c>
      <c r="H128" s="246">
        <v>924000</v>
      </c>
      <c r="I128" s="244">
        <v>175560</v>
      </c>
      <c r="J128" s="257">
        <v>1099560</v>
      </c>
      <c r="K128" s="245" t="s">
        <v>126</v>
      </c>
      <c r="M128" s="233">
        <f t="shared" si="3"/>
        <v>175560</v>
      </c>
      <c r="N128" s="233">
        <f t="shared" si="4"/>
        <v>1099560</v>
      </c>
      <c r="O128" s="127">
        <f t="shared" si="5"/>
        <v>0</v>
      </c>
    </row>
    <row r="129" spans="1:15" ht="12.75" customHeight="1">
      <c r="A129" s="241">
        <v>115</v>
      </c>
      <c r="B129" s="417" t="s">
        <v>127</v>
      </c>
      <c r="C129" s="418"/>
      <c r="D129" s="418"/>
      <c r="E129" s="418"/>
      <c r="F129" s="419"/>
      <c r="G129" s="242" t="s">
        <v>19</v>
      </c>
      <c r="H129" s="246">
        <v>924000</v>
      </c>
      <c r="I129" s="244">
        <v>175560</v>
      </c>
      <c r="J129" s="257">
        <v>1099560</v>
      </c>
      <c r="K129" s="245" t="s">
        <v>127</v>
      </c>
      <c r="M129" s="233">
        <f t="shared" si="3"/>
        <v>175560</v>
      </c>
      <c r="N129" s="233">
        <f t="shared" si="4"/>
        <v>1099560</v>
      </c>
      <c r="O129" s="127">
        <f t="shared" si="5"/>
        <v>0</v>
      </c>
    </row>
    <row r="130" spans="1:15" ht="12.75" customHeight="1">
      <c r="A130" s="241">
        <v>116</v>
      </c>
      <c r="B130" s="417" t="s">
        <v>128</v>
      </c>
      <c r="C130" s="418"/>
      <c r="D130" s="418"/>
      <c r="E130" s="418"/>
      <c r="F130" s="419"/>
      <c r="G130" s="242" t="s">
        <v>19</v>
      </c>
      <c r="H130" s="246">
        <v>924000</v>
      </c>
      <c r="I130" s="244">
        <v>175560</v>
      </c>
      <c r="J130" s="257">
        <v>1099560</v>
      </c>
      <c r="K130" s="245" t="s">
        <v>128</v>
      </c>
      <c r="M130" s="233">
        <f t="shared" si="3"/>
        <v>175560</v>
      </c>
      <c r="N130" s="233">
        <f t="shared" si="4"/>
        <v>1099560</v>
      </c>
      <c r="O130" s="127">
        <f t="shared" si="5"/>
        <v>0</v>
      </c>
    </row>
    <row r="131" spans="1:15" ht="18" customHeight="1">
      <c r="A131" s="241">
        <v>117</v>
      </c>
      <c r="B131" s="417" t="s">
        <v>129</v>
      </c>
      <c r="C131" s="418"/>
      <c r="D131" s="418"/>
      <c r="E131" s="418"/>
      <c r="F131" s="419"/>
      <c r="G131" s="242" t="s">
        <v>19</v>
      </c>
      <c r="H131" s="246">
        <v>924000</v>
      </c>
      <c r="I131" s="244">
        <v>175560</v>
      </c>
      <c r="J131" s="257">
        <v>1099560</v>
      </c>
      <c r="K131" s="245" t="s">
        <v>129</v>
      </c>
      <c r="M131" s="233">
        <f t="shared" si="3"/>
        <v>175560</v>
      </c>
      <c r="N131" s="233">
        <f t="shared" si="4"/>
        <v>1099560</v>
      </c>
      <c r="O131" s="127">
        <f t="shared" si="5"/>
        <v>0</v>
      </c>
    </row>
    <row r="132" spans="1:15" ht="12.75" customHeight="1">
      <c r="A132" s="241">
        <v>118</v>
      </c>
      <c r="B132" s="417" t="s">
        <v>130</v>
      </c>
      <c r="C132" s="418"/>
      <c r="D132" s="418"/>
      <c r="E132" s="418"/>
      <c r="F132" s="419"/>
      <c r="G132" s="242" t="s">
        <v>19</v>
      </c>
      <c r="H132" s="246">
        <v>1706</v>
      </c>
      <c r="I132" s="247">
        <v>324</v>
      </c>
      <c r="J132" s="244">
        <v>2030</v>
      </c>
      <c r="K132" s="245" t="s">
        <v>732</v>
      </c>
      <c r="M132" s="233">
        <f t="shared" si="3"/>
        <v>324.14</v>
      </c>
      <c r="N132" s="233">
        <f t="shared" si="4"/>
        <v>2030.1399999999999</v>
      </c>
      <c r="O132" s="127">
        <f t="shared" si="5"/>
        <v>-0.13999999999987267</v>
      </c>
    </row>
    <row r="133" spans="1:15" ht="12.75" customHeight="1">
      <c r="A133" s="241">
        <v>119</v>
      </c>
      <c r="B133" s="417" t="s">
        <v>131</v>
      </c>
      <c r="C133" s="418"/>
      <c r="D133" s="418"/>
      <c r="E133" s="418"/>
      <c r="F133" s="419"/>
      <c r="G133" s="242" t="s">
        <v>19</v>
      </c>
      <c r="H133" s="246">
        <v>1706</v>
      </c>
      <c r="I133" s="247">
        <v>324</v>
      </c>
      <c r="J133" s="244">
        <v>2030</v>
      </c>
      <c r="K133" s="245" t="s">
        <v>733</v>
      </c>
      <c r="M133" s="233">
        <f t="shared" si="3"/>
        <v>324.14</v>
      </c>
      <c r="N133" s="233">
        <f t="shared" si="4"/>
        <v>2030.1399999999999</v>
      </c>
      <c r="O133" s="127">
        <f t="shared" si="5"/>
        <v>-0.13999999999987267</v>
      </c>
    </row>
    <row r="134" spans="1:15" ht="12.75" customHeight="1">
      <c r="A134" s="241">
        <v>120</v>
      </c>
      <c r="B134" s="417" t="s">
        <v>132</v>
      </c>
      <c r="C134" s="418"/>
      <c r="D134" s="418"/>
      <c r="E134" s="418"/>
      <c r="F134" s="419"/>
      <c r="G134" s="242" t="s">
        <v>48</v>
      </c>
      <c r="H134" s="246">
        <v>48426</v>
      </c>
      <c r="I134" s="244">
        <v>9201</v>
      </c>
      <c r="J134" s="256">
        <v>57627</v>
      </c>
      <c r="K134" s="46" t="s">
        <v>788</v>
      </c>
      <c r="M134" s="233">
        <f t="shared" si="3"/>
        <v>9200.94</v>
      </c>
      <c r="N134" s="233">
        <f t="shared" si="4"/>
        <v>57626.94</v>
      </c>
      <c r="O134" s="127">
        <f t="shared" si="5"/>
        <v>5.9999999997671694E-2</v>
      </c>
    </row>
    <row r="135" spans="1:15" ht="12.9" customHeight="1">
      <c r="A135" s="241">
        <v>121</v>
      </c>
      <c r="B135" s="417" t="s">
        <v>133</v>
      </c>
      <c r="C135" s="418"/>
      <c r="D135" s="418"/>
      <c r="E135" s="418"/>
      <c r="F135" s="419"/>
      <c r="G135" s="242" t="s">
        <v>19</v>
      </c>
      <c r="H135" s="246">
        <v>1039500</v>
      </c>
      <c r="I135" s="244">
        <v>197505</v>
      </c>
      <c r="J135" s="257">
        <v>1237005</v>
      </c>
      <c r="K135" s="245" t="s">
        <v>734</v>
      </c>
      <c r="M135" s="233">
        <f t="shared" si="3"/>
        <v>197505</v>
      </c>
      <c r="N135" s="233">
        <f t="shared" si="4"/>
        <v>1237005</v>
      </c>
      <c r="O135" s="127">
        <f t="shared" si="5"/>
        <v>0</v>
      </c>
    </row>
    <row r="136" spans="1:15" ht="29.1" customHeight="1">
      <c r="A136" s="241">
        <v>122</v>
      </c>
      <c r="B136" s="463" t="s">
        <v>735</v>
      </c>
      <c r="C136" s="464"/>
      <c r="D136" s="464"/>
      <c r="E136" s="464"/>
      <c r="F136" s="465"/>
      <c r="G136" s="242" t="s">
        <v>19</v>
      </c>
      <c r="H136" s="253">
        <v>4830</v>
      </c>
      <c r="I136" s="250">
        <v>918</v>
      </c>
      <c r="J136" s="251">
        <v>5748</v>
      </c>
      <c r="K136" s="46" t="s">
        <v>789</v>
      </c>
      <c r="M136" s="233">
        <f t="shared" si="3"/>
        <v>917.7</v>
      </c>
      <c r="N136" s="233">
        <f t="shared" si="4"/>
        <v>5747.7</v>
      </c>
      <c r="O136" s="127">
        <f t="shared" si="5"/>
        <v>0.3000000000001819</v>
      </c>
    </row>
    <row r="137" spans="1:15" ht="24" customHeight="1">
      <c r="A137" s="241">
        <v>123</v>
      </c>
      <c r="B137" s="417" t="s">
        <v>736</v>
      </c>
      <c r="C137" s="418"/>
      <c r="D137" s="418"/>
      <c r="E137" s="418"/>
      <c r="F137" s="419"/>
      <c r="G137" s="242" t="s">
        <v>19</v>
      </c>
      <c r="H137" s="246">
        <v>4830</v>
      </c>
      <c r="I137" s="247">
        <v>918</v>
      </c>
      <c r="J137" s="244">
        <v>5748</v>
      </c>
      <c r="K137" s="258" t="s">
        <v>737</v>
      </c>
      <c r="M137" s="233">
        <f t="shared" si="3"/>
        <v>917.7</v>
      </c>
      <c r="N137" s="233">
        <f t="shared" si="4"/>
        <v>5747.7</v>
      </c>
      <c r="O137" s="127">
        <f t="shared" si="5"/>
        <v>0.3000000000001819</v>
      </c>
    </row>
    <row r="138" spans="1:15" ht="13.5" customHeight="1">
      <c r="A138" s="466" t="s">
        <v>135</v>
      </c>
      <c r="B138" s="467"/>
      <c r="C138" s="467"/>
      <c r="D138" s="467"/>
      <c r="E138" s="467"/>
      <c r="F138" s="467"/>
      <c r="G138" s="467"/>
      <c r="H138" s="467"/>
      <c r="I138" s="468"/>
      <c r="J138" s="259">
        <v>14540704</v>
      </c>
      <c r="K138" s="234"/>
    </row>
    <row r="139" spans="1:15" ht="11.1" customHeight="1">
      <c r="A139" s="421"/>
      <c r="B139" s="421"/>
      <c r="C139" s="421"/>
      <c r="D139" s="421"/>
      <c r="E139" s="421"/>
      <c r="F139" s="421"/>
      <c r="G139" s="421"/>
      <c r="H139" s="421"/>
      <c r="I139" s="421"/>
      <c r="J139" s="421"/>
      <c r="K139" s="421"/>
    </row>
    <row r="140" spans="1:15" ht="75" customHeight="1">
      <c r="A140" s="428" t="s">
        <v>790</v>
      </c>
      <c r="B140" s="429"/>
      <c r="C140" s="429"/>
      <c r="D140" s="429"/>
      <c r="E140" s="429"/>
      <c r="F140" s="429"/>
      <c r="G140" s="429"/>
      <c r="H140" s="429"/>
      <c r="I140" s="429"/>
      <c r="J140" s="429"/>
      <c r="K140" s="430"/>
    </row>
    <row r="141" spans="1:15" ht="45" customHeight="1">
      <c r="A141" s="341"/>
      <c r="B141" s="334"/>
      <c r="C141" s="334"/>
      <c r="D141" s="334"/>
      <c r="E141" s="469"/>
      <c r="F141" s="469"/>
      <c r="G141" s="469"/>
      <c r="H141" s="469"/>
      <c r="I141" s="469"/>
      <c r="J141" s="469"/>
      <c r="K141" s="470"/>
    </row>
    <row r="142" spans="1:15" ht="14.1" customHeight="1">
      <c r="A142" s="473" t="s">
        <v>741</v>
      </c>
      <c r="B142" s="474"/>
      <c r="C142" s="474"/>
      <c r="D142" s="474"/>
      <c r="E142" s="471"/>
      <c r="F142" s="471"/>
      <c r="G142" s="471"/>
      <c r="H142" s="471"/>
      <c r="I142" s="471"/>
      <c r="J142" s="471"/>
      <c r="K142" s="472"/>
    </row>
    <row r="143" spans="1:15" ht="13.5" customHeight="1">
      <c r="A143" s="475" t="s">
        <v>739</v>
      </c>
      <c r="B143" s="476"/>
      <c r="C143" s="476"/>
      <c r="D143" s="476"/>
      <c r="E143" s="471"/>
      <c r="F143" s="471"/>
      <c r="G143" s="471"/>
      <c r="H143" s="471"/>
      <c r="I143" s="471"/>
      <c r="J143" s="471"/>
      <c r="K143" s="472"/>
    </row>
    <row r="144" spans="1:15" ht="13.5" customHeight="1">
      <c r="A144" s="475" t="s">
        <v>740</v>
      </c>
      <c r="B144" s="476"/>
      <c r="C144" s="476"/>
      <c r="D144" s="476"/>
      <c r="E144" s="471"/>
      <c r="F144" s="471"/>
      <c r="G144" s="471"/>
      <c r="H144" s="471"/>
      <c r="I144" s="471"/>
      <c r="J144" s="471"/>
      <c r="K144" s="472"/>
    </row>
    <row r="145" spans="1:11" ht="13.5" customHeight="1">
      <c r="A145" s="477" t="s">
        <v>738</v>
      </c>
      <c r="B145" s="478"/>
      <c r="C145" s="478"/>
      <c r="D145" s="478"/>
      <c r="E145" s="346"/>
      <c r="F145" s="346"/>
      <c r="G145" s="346"/>
      <c r="H145" s="346"/>
      <c r="I145" s="346"/>
      <c r="J145" s="346"/>
      <c r="K145" s="347"/>
    </row>
  </sheetData>
  <autoFilter ref="A21:G145" xr:uid="{0173AB83-747F-4D44-B868-C5AA1A277A98}"/>
  <mergeCells count="159">
    <mergeCell ref="B137:F137"/>
    <mergeCell ref="A138:I138"/>
    <mergeCell ref="A139:K139"/>
    <mergeCell ref="A140:K140"/>
    <mergeCell ref="A141:D141"/>
    <mergeCell ref="E141:K145"/>
    <mergeCell ref="A142:D142"/>
    <mergeCell ref="A143:D143"/>
    <mergeCell ref="A144:D144"/>
    <mergeCell ref="A145:D145"/>
    <mergeCell ref="B132:F132"/>
    <mergeCell ref="B133:F133"/>
    <mergeCell ref="B134:F134"/>
    <mergeCell ref="B135:F135"/>
    <mergeCell ref="B136:F136"/>
    <mergeCell ref="B127:F127"/>
    <mergeCell ref="B128:F128"/>
    <mergeCell ref="B129:F129"/>
    <mergeCell ref="B130:F130"/>
    <mergeCell ref="B131:F131"/>
    <mergeCell ref="B122:F122"/>
    <mergeCell ref="B123:F123"/>
    <mergeCell ref="B124:F124"/>
    <mergeCell ref="B125:F125"/>
    <mergeCell ref="B126:F126"/>
    <mergeCell ref="B117:F117"/>
    <mergeCell ref="B118:F118"/>
    <mergeCell ref="B119:F119"/>
    <mergeCell ref="B120:F120"/>
    <mergeCell ref="B121:F121"/>
    <mergeCell ref="B112:F112"/>
    <mergeCell ref="B113:F113"/>
    <mergeCell ref="B114:F114"/>
    <mergeCell ref="B115:F115"/>
    <mergeCell ref="B116:F116"/>
    <mergeCell ref="B107:F107"/>
    <mergeCell ref="B108:F108"/>
    <mergeCell ref="B109:F109"/>
    <mergeCell ref="B110:F110"/>
    <mergeCell ref="B111:F111"/>
    <mergeCell ref="B102:F102"/>
    <mergeCell ref="B103:F103"/>
    <mergeCell ref="B104:F104"/>
    <mergeCell ref="B105:F105"/>
    <mergeCell ref="B106:F106"/>
    <mergeCell ref="B97:F97"/>
    <mergeCell ref="B98:F98"/>
    <mergeCell ref="B99:F99"/>
    <mergeCell ref="B100:F100"/>
    <mergeCell ref="B101:F101"/>
    <mergeCell ref="B92:F92"/>
    <mergeCell ref="B93:F93"/>
    <mergeCell ref="B94:F94"/>
    <mergeCell ref="B95:F95"/>
    <mergeCell ref="B96:F96"/>
    <mergeCell ref="B87:F87"/>
    <mergeCell ref="B88:F88"/>
    <mergeCell ref="B89:F89"/>
    <mergeCell ref="B90:F90"/>
    <mergeCell ref="B91:F91"/>
    <mergeCell ref="B82:F82"/>
    <mergeCell ref="B83:F83"/>
    <mergeCell ref="B84:F84"/>
    <mergeCell ref="B85:F85"/>
    <mergeCell ref="B86:F86"/>
    <mergeCell ref="B77:F77"/>
    <mergeCell ref="B78:F78"/>
    <mergeCell ref="B79:F79"/>
    <mergeCell ref="B80:F80"/>
    <mergeCell ref="B81:F81"/>
    <mergeCell ref="B72:F72"/>
    <mergeCell ref="B73:F73"/>
    <mergeCell ref="B74:F74"/>
    <mergeCell ref="B75:F75"/>
    <mergeCell ref="B76:F76"/>
    <mergeCell ref="B67:F67"/>
    <mergeCell ref="B68:F68"/>
    <mergeCell ref="B69:F69"/>
    <mergeCell ref="B70:F70"/>
    <mergeCell ref="B71:F71"/>
    <mergeCell ref="B62:F62"/>
    <mergeCell ref="B63:F63"/>
    <mergeCell ref="B64:F64"/>
    <mergeCell ref="B65:F65"/>
    <mergeCell ref="B66:F66"/>
    <mergeCell ref="B57:F57"/>
    <mergeCell ref="B58:F58"/>
    <mergeCell ref="B59:F59"/>
    <mergeCell ref="B60:F60"/>
    <mergeCell ref="B61:F61"/>
    <mergeCell ref="B52:F52"/>
    <mergeCell ref="B53:F53"/>
    <mergeCell ref="B54:F54"/>
    <mergeCell ref="B55:F55"/>
    <mergeCell ref="B56:F56"/>
    <mergeCell ref="B47:F47"/>
    <mergeCell ref="B48:F48"/>
    <mergeCell ref="B49:F49"/>
    <mergeCell ref="B50:F50"/>
    <mergeCell ref="B51:F51"/>
    <mergeCell ref="B42:F42"/>
    <mergeCell ref="B43:F43"/>
    <mergeCell ref="B44:F44"/>
    <mergeCell ref="B45:F45"/>
    <mergeCell ref="B46:F46"/>
    <mergeCell ref="B37:F37"/>
    <mergeCell ref="B38:F38"/>
    <mergeCell ref="B39:F39"/>
    <mergeCell ref="B40:F40"/>
    <mergeCell ref="B41:F41"/>
    <mergeCell ref="B32:F32"/>
    <mergeCell ref="B33:F33"/>
    <mergeCell ref="B34:F34"/>
    <mergeCell ref="B35:F35"/>
    <mergeCell ref="B36:F36"/>
    <mergeCell ref="B27:F27"/>
    <mergeCell ref="B28:F28"/>
    <mergeCell ref="B29:F29"/>
    <mergeCell ref="B30:F30"/>
    <mergeCell ref="B31:F31"/>
    <mergeCell ref="K1:K13"/>
    <mergeCell ref="A2:J2"/>
    <mergeCell ref="A3:J3"/>
    <mergeCell ref="A4:B4"/>
    <mergeCell ref="C4:J4"/>
    <mergeCell ref="A5:J5"/>
    <mergeCell ref="B6:C6"/>
    <mergeCell ref="D6:E6"/>
    <mergeCell ref="F6:G6"/>
    <mergeCell ref="I6:J6"/>
    <mergeCell ref="B7:C7"/>
    <mergeCell ref="D7:E7"/>
    <mergeCell ref="F7:G7"/>
    <mergeCell ref="I7:J7"/>
    <mergeCell ref="B8:C8"/>
    <mergeCell ref="D8:E8"/>
    <mergeCell ref="A1:J1"/>
    <mergeCell ref="F8:G8"/>
    <mergeCell ref="I8:J8"/>
    <mergeCell ref="B21:F21"/>
    <mergeCell ref="B22:F22"/>
    <mergeCell ref="B23:F23"/>
    <mergeCell ref="B24:F24"/>
    <mergeCell ref="B25:F25"/>
    <mergeCell ref="B26:F26"/>
    <mergeCell ref="A9:J9"/>
    <mergeCell ref="A10:J10"/>
    <mergeCell ref="A11:J11"/>
    <mergeCell ref="A12:B12"/>
    <mergeCell ref="C12:G12"/>
    <mergeCell ref="H12:J12"/>
    <mergeCell ref="A13:J13"/>
    <mergeCell ref="B14:F14"/>
    <mergeCell ref="B20:F20"/>
    <mergeCell ref="B15:F15"/>
    <mergeCell ref="B16:F16"/>
    <mergeCell ref="B17:F17"/>
    <mergeCell ref="B18:F18"/>
    <mergeCell ref="B19:F19"/>
  </mergeCells>
  <hyperlinks>
    <hyperlink ref="F8" r:id="rId1" display="mailto:COMERCIAL@BELPAPEL.COM" xr:uid="{56D00799-ACE3-427F-9D87-D31CC3CAE2DD}"/>
  </hyperlink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B2DBE-F83A-458A-BA0E-B9A6D221B713}">
  <sheetPr>
    <tabColor theme="3" tint="0.499984740745262"/>
  </sheetPr>
  <dimension ref="A1:L148"/>
  <sheetViews>
    <sheetView showGridLines="0" topLeftCell="A2" workbookViewId="0">
      <selection activeCell="O1" sqref="O1"/>
    </sheetView>
  </sheetViews>
  <sheetFormatPr baseColWidth="10" defaultColWidth="11.44140625" defaultRowHeight="14.4" zeroHeight="1"/>
  <cols>
    <col min="1" max="6" width="11.44140625" style="17" customWidth="1"/>
    <col min="7" max="7" width="15" style="17" customWidth="1"/>
    <col min="8" max="8" width="14.33203125" style="17" customWidth="1"/>
    <col min="9" max="9" width="13.109375" style="17" customWidth="1"/>
    <col min="10" max="10" width="16.33203125" style="17" customWidth="1"/>
    <col min="11" max="16383" width="11.44140625" style="17" customWidth="1"/>
    <col min="16384" max="16384" width="11.44140625" style="17"/>
  </cols>
  <sheetData>
    <row r="1" spans="1:12" ht="43.5" customHeight="1">
      <c r="A1" s="485" t="s">
        <v>2</v>
      </c>
      <c r="B1" s="486"/>
      <c r="C1" s="486"/>
      <c r="D1" s="486"/>
      <c r="E1" s="486"/>
      <c r="F1" s="486"/>
      <c r="G1" s="486"/>
      <c r="H1" s="486"/>
      <c r="I1" s="486"/>
      <c r="J1" s="487"/>
      <c r="L1" s="298" t="s">
        <v>794</v>
      </c>
    </row>
    <row r="2" spans="1:12" ht="27.75" customHeight="1">
      <c r="A2" s="488" t="s">
        <v>162</v>
      </c>
      <c r="B2" s="489"/>
      <c r="C2" s="489"/>
      <c r="D2" s="489"/>
      <c r="E2" s="489"/>
      <c r="F2" s="489"/>
      <c r="G2" s="489"/>
      <c r="H2" s="489"/>
      <c r="I2" s="489"/>
      <c r="J2" s="490"/>
    </row>
    <row r="3" spans="1:12">
      <c r="A3" s="18"/>
      <c r="B3" s="19"/>
      <c r="C3" s="19"/>
      <c r="D3" s="19"/>
      <c r="E3" s="19"/>
      <c r="F3" s="19"/>
      <c r="G3" s="20"/>
      <c r="H3" s="21"/>
      <c r="I3" s="21"/>
      <c r="J3" s="22"/>
    </row>
    <row r="4" spans="1:12" ht="40.950000000000003" customHeight="1">
      <c r="A4" s="491" t="s">
        <v>163</v>
      </c>
      <c r="B4" s="492"/>
      <c r="C4" s="492"/>
      <c r="D4" s="493" t="s">
        <v>164</v>
      </c>
      <c r="E4" s="494"/>
      <c r="F4" s="494"/>
      <c r="G4" s="494"/>
      <c r="H4" s="494"/>
      <c r="I4" s="494"/>
      <c r="J4" s="495"/>
    </row>
    <row r="5" spans="1:12">
      <c r="A5" s="18"/>
      <c r="B5" s="19"/>
      <c r="C5" s="19"/>
      <c r="D5" s="19"/>
      <c r="E5" s="19"/>
      <c r="F5" s="19"/>
      <c r="G5" s="20"/>
      <c r="H5" s="21"/>
      <c r="I5" s="21"/>
      <c r="J5" s="22"/>
    </row>
    <row r="6" spans="1:12" ht="21" customHeight="1">
      <c r="A6" s="23" t="s">
        <v>4</v>
      </c>
      <c r="B6" s="496" t="s">
        <v>165</v>
      </c>
      <c r="C6" s="496"/>
      <c r="D6" s="496"/>
      <c r="E6" s="24" t="s">
        <v>5</v>
      </c>
      <c r="F6" s="497" t="s">
        <v>166</v>
      </c>
      <c r="G6" s="497"/>
      <c r="H6" s="25" t="s">
        <v>6</v>
      </c>
      <c r="I6" s="498" t="s">
        <v>167</v>
      </c>
      <c r="J6" s="499"/>
    </row>
    <row r="7" spans="1:12" ht="21" customHeight="1">
      <c r="A7" s="23" t="s">
        <v>7</v>
      </c>
      <c r="B7" s="479" t="s">
        <v>168</v>
      </c>
      <c r="C7" s="479"/>
      <c r="D7" s="479"/>
      <c r="E7" s="24" t="s">
        <v>8</v>
      </c>
      <c r="F7" s="480" t="s">
        <v>169</v>
      </c>
      <c r="G7" s="480"/>
      <c r="H7" s="25" t="s">
        <v>9</v>
      </c>
      <c r="I7" s="481">
        <v>30053976.34</v>
      </c>
      <c r="J7" s="482"/>
    </row>
    <row r="8" spans="1:12" ht="21" customHeight="1">
      <c r="A8" s="23" t="s">
        <v>10</v>
      </c>
      <c r="B8" s="483">
        <v>46111</v>
      </c>
      <c r="C8" s="483"/>
      <c r="D8" s="483"/>
      <c r="E8" s="24" t="s">
        <v>11</v>
      </c>
      <c r="F8" s="484" t="s">
        <v>170</v>
      </c>
      <c r="G8" s="480"/>
      <c r="H8" s="25" t="s">
        <v>12</v>
      </c>
      <c r="I8" s="481">
        <v>74701.53</v>
      </c>
      <c r="J8" s="482"/>
    </row>
    <row r="9" spans="1:12">
      <c r="A9" s="18"/>
      <c r="B9" s="19"/>
      <c r="C9" s="19"/>
      <c r="D9" s="19"/>
      <c r="E9" s="19"/>
      <c r="F9" s="19"/>
      <c r="G9" s="20"/>
      <c r="H9" s="21"/>
      <c r="I9" s="21"/>
      <c r="J9" s="22"/>
    </row>
    <row r="10" spans="1:12" ht="150" customHeight="1">
      <c r="A10" s="501" t="s">
        <v>171</v>
      </c>
      <c r="B10" s="502"/>
      <c r="C10" s="502"/>
      <c r="D10" s="502"/>
      <c r="E10" s="502"/>
      <c r="F10" s="502"/>
      <c r="G10" s="502"/>
      <c r="H10" s="502"/>
      <c r="I10" s="502"/>
      <c r="J10" s="503"/>
    </row>
    <row r="11" spans="1:12">
      <c r="A11" s="18"/>
      <c r="B11" s="19"/>
      <c r="C11" s="19"/>
      <c r="D11" s="19"/>
      <c r="E11" s="19"/>
      <c r="F11" s="19"/>
      <c r="G11" s="20"/>
      <c r="H11" s="21"/>
      <c r="I11" s="21"/>
      <c r="J11" s="22"/>
    </row>
    <row r="12" spans="1:12" ht="24.75" customHeight="1">
      <c r="A12" s="504" t="s">
        <v>13</v>
      </c>
      <c r="B12" s="505"/>
      <c r="C12" s="505"/>
      <c r="D12" s="506" t="s">
        <v>172</v>
      </c>
      <c r="E12" s="506"/>
      <c r="F12" s="506"/>
      <c r="G12" s="506"/>
      <c r="H12" s="26"/>
      <c r="I12" s="27"/>
      <c r="J12" s="22"/>
    </row>
    <row r="13" spans="1:12">
      <c r="A13" s="18"/>
      <c r="B13" s="19"/>
      <c r="C13" s="19"/>
      <c r="D13" s="19"/>
      <c r="E13" s="19"/>
      <c r="F13" s="19"/>
      <c r="G13" s="20"/>
      <c r="H13" s="21"/>
      <c r="I13" s="21"/>
      <c r="J13" s="22"/>
    </row>
    <row r="14" spans="1:12" ht="24">
      <c r="A14" s="28" t="s">
        <v>173</v>
      </c>
      <c r="B14" s="507" t="s">
        <v>15</v>
      </c>
      <c r="C14" s="507"/>
      <c r="D14" s="507"/>
      <c r="E14" s="507"/>
      <c r="F14" s="507"/>
      <c r="G14" s="29" t="s">
        <v>16</v>
      </c>
      <c r="H14" s="30" t="s">
        <v>174</v>
      </c>
      <c r="I14" s="31" t="s">
        <v>17</v>
      </c>
      <c r="J14" s="32" t="s">
        <v>18</v>
      </c>
    </row>
    <row r="15" spans="1:12" ht="28.2" customHeight="1">
      <c r="A15" s="33">
        <v>1</v>
      </c>
      <c r="B15" s="500" t="s">
        <v>175</v>
      </c>
      <c r="C15" s="500"/>
      <c r="D15" s="500"/>
      <c r="E15" s="500"/>
      <c r="F15" s="500"/>
      <c r="G15" s="34" t="s">
        <v>19</v>
      </c>
      <c r="H15" s="35">
        <v>20000</v>
      </c>
      <c r="I15" s="36">
        <f t="shared" ref="I15:I67" si="0">H15*0.19</f>
        <v>3800</v>
      </c>
      <c r="J15" s="37">
        <f t="shared" ref="J15:J78" si="1">I15+H15</f>
        <v>23800</v>
      </c>
    </row>
    <row r="16" spans="1:12" ht="14.4" customHeight="1">
      <c r="A16" s="33">
        <v>2</v>
      </c>
      <c r="B16" s="500" t="s">
        <v>20</v>
      </c>
      <c r="C16" s="500"/>
      <c r="D16" s="500"/>
      <c r="E16" s="500"/>
      <c r="F16" s="500"/>
      <c r="G16" s="34" t="s">
        <v>19</v>
      </c>
      <c r="H16" s="35">
        <v>3550</v>
      </c>
      <c r="I16" s="36">
        <f t="shared" si="0"/>
        <v>674.5</v>
      </c>
      <c r="J16" s="37">
        <f t="shared" si="1"/>
        <v>4224.5</v>
      </c>
    </row>
    <row r="17" spans="1:10" ht="14.4" customHeight="1">
      <c r="A17" s="33">
        <v>3</v>
      </c>
      <c r="B17" s="500" t="s">
        <v>21</v>
      </c>
      <c r="C17" s="500"/>
      <c r="D17" s="500"/>
      <c r="E17" s="500"/>
      <c r="F17" s="500"/>
      <c r="G17" s="34" t="s">
        <v>19</v>
      </c>
      <c r="H17" s="35">
        <v>3350</v>
      </c>
      <c r="I17" s="36">
        <f t="shared" si="0"/>
        <v>636.5</v>
      </c>
      <c r="J17" s="37">
        <f t="shared" si="1"/>
        <v>3986.5</v>
      </c>
    </row>
    <row r="18" spans="1:10" ht="14.4" customHeight="1">
      <c r="A18" s="33">
        <v>4</v>
      </c>
      <c r="B18" s="500" t="s">
        <v>22</v>
      </c>
      <c r="C18" s="500"/>
      <c r="D18" s="500"/>
      <c r="E18" s="500"/>
      <c r="F18" s="500"/>
      <c r="G18" s="34" t="s">
        <v>23</v>
      </c>
      <c r="H18" s="35">
        <v>1000</v>
      </c>
      <c r="I18" s="36">
        <f t="shared" si="0"/>
        <v>190</v>
      </c>
      <c r="J18" s="37">
        <f t="shared" si="1"/>
        <v>1190</v>
      </c>
    </row>
    <row r="19" spans="1:10" ht="22.2" customHeight="1">
      <c r="A19" s="33">
        <v>5</v>
      </c>
      <c r="B19" s="500" t="s">
        <v>176</v>
      </c>
      <c r="C19" s="500"/>
      <c r="D19" s="500"/>
      <c r="E19" s="500"/>
      <c r="F19" s="500"/>
      <c r="G19" s="34" t="s">
        <v>24</v>
      </c>
      <c r="H19" s="35">
        <v>3000</v>
      </c>
      <c r="I19" s="36">
        <f t="shared" si="0"/>
        <v>570</v>
      </c>
      <c r="J19" s="37">
        <f t="shared" si="1"/>
        <v>3570</v>
      </c>
    </row>
    <row r="20" spans="1:10" ht="14.4" customHeight="1">
      <c r="A20" s="33">
        <v>6</v>
      </c>
      <c r="B20" s="500" t="s">
        <v>25</v>
      </c>
      <c r="C20" s="500"/>
      <c r="D20" s="500"/>
      <c r="E20" s="500"/>
      <c r="F20" s="500"/>
      <c r="G20" s="34" t="s">
        <v>19</v>
      </c>
      <c r="H20" s="35">
        <v>1550</v>
      </c>
      <c r="I20" s="36">
        <f t="shared" si="0"/>
        <v>294.5</v>
      </c>
      <c r="J20" s="37">
        <f t="shared" si="1"/>
        <v>1844.5</v>
      </c>
    </row>
    <row r="21" spans="1:10" ht="14.4" customHeight="1">
      <c r="A21" s="33">
        <v>7</v>
      </c>
      <c r="B21" s="500" t="s">
        <v>26</v>
      </c>
      <c r="C21" s="500"/>
      <c r="D21" s="500"/>
      <c r="E21" s="500"/>
      <c r="F21" s="500"/>
      <c r="G21" s="34" t="s">
        <v>19</v>
      </c>
      <c r="H21" s="35">
        <v>4100</v>
      </c>
      <c r="I21" s="36">
        <f t="shared" si="0"/>
        <v>779</v>
      </c>
      <c r="J21" s="37">
        <f t="shared" si="1"/>
        <v>4879</v>
      </c>
    </row>
    <row r="22" spans="1:10" ht="14.4" customHeight="1">
      <c r="A22" s="33">
        <v>8</v>
      </c>
      <c r="B22" s="500" t="s">
        <v>27</v>
      </c>
      <c r="C22" s="500"/>
      <c r="D22" s="500"/>
      <c r="E22" s="500"/>
      <c r="F22" s="500"/>
      <c r="G22" s="34" t="s">
        <v>19</v>
      </c>
      <c r="H22" s="35">
        <v>4000</v>
      </c>
      <c r="I22" s="36">
        <f t="shared" si="0"/>
        <v>760</v>
      </c>
      <c r="J22" s="37">
        <f t="shared" si="1"/>
        <v>4760</v>
      </c>
    </row>
    <row r="23" spans="1:10" ht="14.4" customHeight="1">
      <c r="A23" s="33">
        <v>9</v>
      </c>
      <c r="B23" s="500" t="s">
        <v>28</v>
      </c>
      <c r="C23" s="500"/>
      <c r="D23" s="500"/>
      <c r="E23" s="500"/>
      <c r="F23" s="500"/>
      <c r="G23" s="34" t="s">
        <v>19</v>
      </c>
      <c r="H23" s="35">
        <v>1000</v>
      </c>
      <c r="I23" s="36">
        <f t="shared" si="0"/>
        <v>190</v>
      </c>
      <c r="J23" s="37">
        <f t="shared" si="1"/>
        <v>1190</v>
      </c>
    </row>
    <row r="24" spans="1:10" ht="14.4" customHeight="1">
      <c r="A24" s="33">
        <v>10</v>
      </c>
      <c r="B24" s="500" t="s">
        <v>29</v>
      </c>
      <c r="C24" s="500"/>
      <c r="D24" s="500"/>
      <c r="E24" s="500"/>
      <c r="F24" s="500"/>
      <c r="G24" s="34" t="s">
        <v>19</v>
      </c>
      <c r="H24" s="35">
        <v>1050</v>
      </c>
      <c r="I24" s="36">
        <f t="shared" si="0"/>
        <v>199.5</v>
      </c>
      <c r="J24" s="37">
        <f t="shared" si="1"/>
        <v>1249.5</v>
      </c>
    </row>
    <row r="25" spans="1:10" ht="14.4" customHeight="1">
      <c r="A25" s="33">
        <v>11</v>
      </c>
      <c r="B25" s="500" t="s">
        <v>30</v>
      </c>
      <c r="C25" s="500"/>
      <c r="D25" s="500"/>
      <c r="E25" s="500"/>
      <c r="F25" s="500"/>
      <c r="G25" s="34" t="s">
        <v>31</v>
      </c>
      <c r="H25" s="35">
        <v>10000</v>
      </c>
      <c r="I25" s="36">
        <f t="shared" si="0"/>
        <v>1900</v>
      </c>
      <c r="J25" s="37">
        <f t="shared" si="1"/>
        <v>11900</v>
      </c>
    </row>
    <row r="26" spans="1:10" ht="25.95" customHeight="1">
      <c r="A26" s="33">
        <v>12</v>
      </c>
      <c r="B26" s="500" t="s">
        <v>177</v>
      </c>
      <c r="C26" s="500"/>
      <c r="D26" s="500"/>
      <c r="E26" s="500"/>
      <c r="F26" s="500"/>
      <c r="G26" s="34" t="s">
        <v>19</v>
      </c>
      <c r="H26" s="35">
        <v>1990</v>
      </c>
      <c r="I26" s="36">
        <f t="shared" si="0"/>
        <v>378.1</v>
      </c>
      <c r="J26" s="37">
        <f t="shared" si="1"/>
        <v>2368.1</v>
      </c>
    </row>
    <row r="27" spans="1:10" ht="14.4" customHeight="1">
      <c r="A27" s="33">
        <v>13</v>
      </c>
      <c r="B27" s="500" t="s">
        <v>32</v>
      </c>
      <c r="C27" s="500"/>
      <c r="D27" s="500"/>
      <c r="E27" s="500"/>
      <c r="F27" s="500"/>
      <c r="G27" s="34" t="s">
        <v>33</v>
      </c>
      <c r="H27" s="35">
        <v>1500</v>
      </c>
      <c r="I27" s="36">
        <f t="shared" si="0"/>
        <v>285</v>
      </c>
      <c r="J27" s="37">
        <f t="shared" si="1"/>
        <v>1785</v>
      </c>
    </row>
    <row r="28" spans="1:10" ht="14.4" customHeight="1">
      <c r="A28" s="33">
        <v>14</v>
      </c>
      <c r="B28" s="500" t="s">
        <v>34</v>
      </c>
      <c r="C28" s="500"/>
      <c r="D28" s="500"/>
      <c r="E28" s="500"/>
      <c r="F28" s="500"/>
      <c r="G28" s="34" t="s">
        <v>19</v>
      </c>
      <c r="H28" s="35">
        <v>39990</v>
      </c>
      <c r="I28" s="36">
        <f t="shared" si="0"/>
        <v>7598.1</v>
      </c>
      <c r="J28" s="37">
        <f t="shared" si="1"/>
        <v>47588.1</v>
      </c>
    </row>
    <row r="29" spans="1:10" ht="14.4" customHeight="1">
      <c r="A29" s="33">
        <v>15</v>
      </c>
      <c r="B29" s="500" t="s">
        <v>178</v>
      </c>
      <c r="C29" s="500"/>
      <c r="D29" s="500"/>
      <c r="E29" s="500"/>
      <c r="F29" s="500"/>
      <c r="G29" s="34" t="s">
        <v>19</v>
      </c>
      <c r="H29" s="35">
        <v>39990</v>
      </c>
      <c r="I29" s="36">
        <f t="shared" si="0"/>
        <v>7598.1</v>
      </c>
      <c r="J29" s="37">
        <f t="shared" si="1"/>
        <v>47588.1</v>
      </c>
    </row>
    <row r="30" spans="1:10" ht="22.95" customHeight="1">
      <c r="A30" s="33">
        <v>16</v>
      </c>
      <c r="B30" s="500" t="s">
        <v>179</v>
      </c>
      <c r="C30" s="500"/>
      <c r="D30" s="500"/>
      <c r="E30" s="500"/>
      <c r="F30" s="500"/>
      <c r="G30" s="34" t="s">
        <v>19</v>
      </c>
      <c r="H30" s="35">
        <v>7000</v>
      </c>
      <c r="I30" s="36">
        <f t="shared" si="0"/>
        <v>1330</v>
      </c>
      <c r="J30" s="37">
        <f t="shared" si="1"/>
        <v>8330</v>
      </c>
    </row>
    <row r="31" spans="1:10" ht="23.4" customHeight="1">
      <c r="A31" s="33">
        <v>17</v>
      </c>
      <c r="B31" s="500" t="s">
        <v>180</v>
      </c>
      <c r="C31" s="500"/>
      <c r="D31" s="500"/>
      <c r="E31" s="500"/>
      <c r="F31" s="500"/>
      <c r="G31" s="34" t="s">
        <v>19</v>
      </c>
      <c r="H31" s="35">
        <v>6900</v>
      </c>
      <c r="I31" s="36">
        <f t="shared" si="0"/>
        <v>1311</v>
      </c>
      <c r="J31" s="37">
        <f t="shared" si="1"/>
        <v>8211</v>
      </c>
    </row>
    <row r="32" spans="1:10" ht="21.75" customHeight="1">
      <c r="A32" s="33">
        <v>18</v>
      </c>
      <c r="B32" s="500" t="s">
        <v>181</v>
      </c>
      <c r="C32" s="500"/>
      <c r="D32" s="500"/>
      <c r="E32" s="500"/>
      <c r="F32" s="500"/>
      <c r="G32" s="34" t="s">
        <v>19</v>
      </c>
      <c r="H32" s="35">
        <v>9000</v>
      </c>
      <c r="I32" s="36">
        <f t="shared" si="0"/>
        <v>1710</v>
      </c>
      <c r="J32" s="37">
        <f t="shared" si="1"/>
        <v>10710</v>
      </c>
    </row>
    <row r="33" spans="1:10" ht="21" customHeight="1">
      <c r="A33" s="33">
        <v>19</v>
      </c>
      <c r="B33" s="500" t="s">
        <v>182</v>
      </c>
      <c r="C33" s="500"/>
      <c r="D33" s="500"/>
      <c r="E33" s="500"/>
      <c r="F33" s="500"/>
      <c r="G33" s="34" t="s">
        <v>19</v>
      </c>
      <c r="H33" s="35">
        <v>12000</v>
      </c>
      <c r="I33" s="36">
        <f t="shared" si="0"/>
        <v>2280</v>
      </c>
      <c r="J33" s="37">
        <f t="shared" si="1"/>
        <v>14280</v>
      </c>
    </row>
    <row r="34" spans="1:10" ht="14.4" customHeight="1">
      <c r="A34" s="33">
        <v>20</v>
      </c>
      <c r="B34" s="500" t="s">
        <v>36</v>
      </c>
      <c r="C34" s="500"/>
      <c r="D34" s="500"/>
      <c r="E34" s="500"/>
      <c r="F34" s="500"/>
      <c r="G34" s="34" t="s">
        <v>19</v>
      </c>
      <c r="H34" s="35">
        <v>721497</v>
      </c>
      <c r="I34" s="36">
        <f t="shared" si="0"/>
        <v>137084.43</v>
      </c>
      <c r="J34" s="37">
        <f t="shared" si="1"/>
        <v>858581.42999999993</v>
      </c>
    </row>
    <row r="35" spans="1:10" ht="14.4" customHeight="1">
      <c r="A35" s="33">
        <v>21</v>
      </c>
      <c r="B35" s="500" t="s">
        <v>37</v>
      </c>
      <c r="C35" s="500"/>
      <c r="D35" s="500"/>
      <c r="E35" s="500"/>
      <c r="F35" s="500"/>
      <c r="G35" s="34" t="s">
        <v>19</v>
      </c>
      <c r="H35" s="35">
        <v>25500</v>
      </c>
      <c r="I35" s="36">
        <f t="shared" si="0"/>
        <v>4845</v>
      </c>
      <c r="J35" s="37">
        <f t="shared" si="1"/>
        <v>30345</v>
      </c>
    </row>
    <row r="36" spans="1:10" ht="14.4" customHeight="1">
      <c r="A36" s="33">
        <v>22</v>
      </c>
      <c r="B36" s="500" t="s">
        <v>38</v>
      </c>
      <c r="C36" s="500"/>
      <c r="D36" s="500"/>
      <c r="E36" s="500"/>
      <c r="F36" s="500"/>
      <c r="G36" s="34" t="s">
        <v>39</v>
      </c>
      <c r="H36" s="35">
        <v>18000</v>
      </c>
      <c r="I36" s="36">
        <f t="shared" si="0"/>
        <v>3420</v>
      </c>
      <c r="J36" s="37">
        <f t="shared" si="1"/>
        <v>21420</v>
      </c>
    </row>
    <row r="37" spans="1:10" ht="14.4" customHeight="1">
      <c r="A37" s="33">
        <v>23</v>
      </c>
      <c r="B37" s="500" t="s">
        <v>40</v>
      </c>
      <c r="C37" s="500"/>
      <c r="D37" s="500"/>
      <c r="E37" s="500"/>
      <c r="F37" s="500"/>
      <c r="G37" s="34" t="s">
        <v>39</v>
      </c>
      <c r="H37" s="35">
        <v>18000</v>
      </c>
      <c r="I37" s="36">
        <f t="shared" si="0"/>
        <v>3420</v>
      </c>
      <c r="J37" s="37">
        <f t="shared" si="1"/>
        <v>21420</v>
      </c>
    </row>
    <row r="38" spans="1:10" ht="14.4" customHeight="1">
      <c r="A38" s="33">
        <v>24</v>
      </c>
      <c r="B38" s="500" t="s">
        <v>41</v>
      </c>
      <c r="C38" s="500"/>
      <c r="D38" s="500"/>
      <c r="E38" s="500"/>
      <c r="F38" s="500"/>
      <c r="G38" s="34" t="s">
        <v>19</v>
      </c>
      <c r="H38" s="35">
        <v>39990</v>
      </c>
      <c r="I38" s="36">
        <f t="shared" si="0"/>
        <v>7598.1</v>
      </c>
      <c r="J38" s="37">
        <f t="shared" si="1"/>
        <v>47588.1</v>
      </c>
    </row>
    <row r="39" spans="1:10" ht="14.4" customHeight="1">
      <c r="A39" s="33">
        <v>25</v>
      </c>
      <c r="B39" s="500" t="s">
        <v>42</v>
      </c>
      <c r="C39" s="500"/>
      <c r="D39" s="500"/>
      <c r="E39" s="500"/>
      <c r="F39" s="500"/>
      <c r="G39" s="34" t="s">
        <v>43</v>
      </c>
      <c r="H39" s="35">
        <v>99000</v>
      </c>
      <c r="I39" s="36">
        <f t="shared" si="0"/>
        <v>18810</v>
      </c>
      <c r="J39" s="37">
        <f t="shared" si="1"/>
        <v>117810</v>
      </c>
    </row>
    <row r="40" spans="1:10" ht="14.4" customHeight="1">
      <c r="A40" s="33">
        <v>26</v>
      </c>
      <c r="B40" s="500" t="s">
        <v>44</v>
      </c>
      <c r="C40" s="500"/>
      <c r="D40" s="500"/>
      <c r="E40" s="500"/>
      <c r="F40" s="500"/>
      <c r="G40" s="34" t="s">
        <v>45</v>
      </c>
      <c r="H40" s="35">
        <v>69900</v>
      </c>
      <c r="I40" s="36">
        <f t="shared" si="0"/>
        <v>13281</v>
      </c>
      <c r="J40" s="37">
        <f t="shared" si="1"/>
        <v>83181</v>
      </c>
    </row>
    <row r="41" spans="1:10" ht="28.2" customHeight="1">
      <c r="A41" s="33">
        <v>27</v>
      </c>
      <c r="B41" s="500" t="s">
        <v>183</v>
      </c>
      <c r="C41" s="500"/>
      <c r="D41" s="500"/>
      <c r="E41" s="500"/>
      <c r="F41" s="500"/>
      <c r="G41" s="34" t="s">
        <v>19</v>
      </c>
      <c r="H41" s="35">
        <v>2900</v>
      </c>
      <c r="I41" s="36">
        <f t="shared" si="0"/>
        <v>551</v>
      </c>
      <c r="J41" s="37">
        <f t="shared" si="1"/>
        <v>3451</v>
      </c>
    </row>
    <row r="42" spans="1:10" ht="14.4" customHeight="1">
      <c r="A42" s="33">
        <v>28</v>
      </c>
      <c r="B42" s="500" t="s">
        <v>46</v>
      </c>
      <c r="C42" s="500"/>
      <c r="D42" s="500"/>
      <c r="E42" s="500"/>
      <c r="F42" s="500"/>
      <c r="G42" s="34" t="s">
        <v>19</v>
      </c>
      <c r="H42" s="35">
        <v>3600</v>
      </c>
      <c r="I42" s="36">
        <f t="shared" si="0"/>
        <v>684</v>
      </c>
      <c r="J42" s="37">
        <f t="shared" si="1"/>
        <v>4284</v>
      </c>
    </row>
    <row r="43" spans="1:10" ht="14.4" customHeight="1">
      <c r="A43" s="33">
        <v>29</v>
      </c>
      <c r="B43" s="500" t="s">
        <v>47</v>
      </c>
      <c r="C43" s="500"/>
      <c r="D43" s="500"/>
      <c r="E43" s="500"/>
      <c r="F43" s="500"/>
      <c r="G43" s="34" t="s">
        <v>48</v>
      </c>
      <c r="H43" s="35">
        <v>2100</v>
      </c>
      <c r="I43" s="36">
        <f t="shared" si="0"/>
        <v>399</v>
      </c>
      <c r="J43" s="37">
        <f t="shared" si="1"/>
        <v>2499</v>
      </c>
    </row>
    <row r="44" spans="1:10" ht="14.4" customHeight="1">
      <c r="A44" s="33">
        <v>30</v>
      </c>
      <c r="B44" s="500" t="s">
        <v>49</v>
      </c>
      <c r="C44" s="500"/>
      <c r="D44" s="500"/>
      <c r="E44" s="500"/>
      <c r="F44" s="500"/>
      <c r="G44" s="34" t="s">
        <v>48</v>
      </c>
      <c r="H44" s="35">
        <v>2990</v>
      </c>
      <c r="I44" s="36">
        <f t="shared" si="0"/>
        <v>568.1</v>
      </c>
      <c r="J44" s="37">
        <f t="shared" si="1"/>
        <v>3558.1</v>
      </c>
    </row>
    <row r="45" spans="1:10" ht="14.4" customHeight="1">
      <c r="A45" s="33">
        <v>31</v>
      </c>
      <c r="B45" s="500" t="s">
        <v>50</v>
      </c>
      <c r="C45" s="500"/>
      <c r="D45" s="500"/>
      <c r="E45" s="500"/>
      <c r="F45" s="500"/>
      <c r="G45" s="34" t="s">
        <v>48</v>
      </c>
      <c r="H45" s="35">
        <v>7100</v>
      </c>
      <c r="I45" s="36">
        <f t="shared" si="0"/>
        <v>1349</v>
      </c>
      <c r="J45" s="37">
        <f t="shared" si="1"/>
        <v>8449</v>
      </c>
    </row>
    <row r="46" spans="1:10" ht="14.4" customHeight="1">
      <c r="A46" s="33">
        <v>32</v>
      </c>
      <c r="B46" s="500" t="s">
        <v>51</v>
      </c>
      <c r="C46" s="500"/>
      <c r="D46" s="500"/>
      <c r="E46" s="500"/>
      <c r="F46" s="500"/>
      <c r="G46" s="34" t="s">
        <v>48</v>
      </c>
      <c r="H46" s="35">
        <v>1500</v>
      </c>
      <c r="I46" s="36">
        <f t="shared" si="0"/>
        <v>285</v>
      </c>
      <c r="J46" s="37">
        <f t="shared" si="1"/>
        <v>1785</v>
      </c>
    </row>
    <row r="47" spans="1:10" ht="14.4" customHeight="1">
      <c r="A47" s="33">
        <v>33</v>
      </c>
      <c r="B47" s="500" t="s">
        <v>52</v>
      </c>
      <c r="C47" s="500"/>
      <c r="D47" s="500"/>
      <c r="E47" s="500"/>
      <c r="F47" s="500"/>
      <c r="G47" s="34" t="s">
        <v>48</v>
      </c>
      <c r="H47" s="35">
        <v>7890</v>
      </c>
      <c r="I47" s="36">
        <f t="shared" si="0"/>
        <v>1499.1</v>
      </c>
      <c r="J47" s="37">
        <f t="shared" si="1"/>
        <v>9389.1</v>
      </c>
    </row>
    <row r="48" spans="1:10" ht="30" customHeight="1">
      <c r="A48" s="33">
        <v>34</v>
      </c>
      <c r="B48" s="500" t="s">
        <v>184</v>
      </c>
      <c r="C48" s="500"/>
      <c r="D48" s="500"/>
      <c r="E48" s="500"/>
      <c r="F48" s="500"/>
      <c r="G48" s="34" t="s">
        <v>19</v>
      </c>
      <c r="H48" s="35">
        <v>418439</v>
      </c>
      <c r="I48" s="36">
        <f t="shared" si="0"/>
        <v>79503.41</v>
      </c>
      <c r="J48" s="37">
        <f t="shared" si="1"/>
        <v>497942.41000000003</v>
      </c>
    </row>
    <row r="49" spans="1:10" ht="14.4" customHeight="1">
      <c r="A49" s="33">
        <v>35</v>
      </c>
      <c r="B49" s="500" t="s">
        <v>53</v>
      </c>
      <c r="C49" s="500"/>
      <c r="D49" s="500"/>
      <c r="E49" s="500"/>
      <c r="F49" s="500"/>
      <c r="G49" s="34" t="s">
        <v>54</v>
      </c>
      <c r="H49" s="35">
        <v>1900</v>
      </c>
      <c r="I49" s="36">
        <f t="shared" si="0"/>
        <v>361</v>
      </c>
      <c r="J49" s="37">
        <f t="shared" si="1"/>
        <v>2261</v>
      </c>
    </row>
    <row r="50" spans="1:10" ht="14.4" customHeight="1">
      <c r="A50" s="33">
        <v>36</v>
      </c>
      <c r="B50" s="500" t="s">
        <v>55</v>
      </c>
      <c r="C50" s="500"/>
      <c r="D50" s="500"/>
      <c r="E50" s="500"/>
      <c r="F50" s="500"/>
      <c r="G50" s="34" t="s">
        <v>56</v>
      </c>
      <c r="H50" s="35">
        <v>3990</v>
      </c>
      <c r="I50" s="36">
        <f t="shared" si="0"/>
        <v>758.1</v>
      </c>
      <c r="J50" s="37">
        <f t="shared" si="1"/>
        <v>4748.1000000000004</v>
      </c>
    </row>
    <row r="51" spans="1:10" ht="14.4" customHeight="1">
      <c r="A51" s="33">
        <v>37</v>
      </c>
      <c r="B51" s="500" t="s">
        <v>57</v>
      </c>
      <c r="C51" s="500"/>
      <c r="D51" s="500"/>
      <c r="E51" s="500"/>
      <c r="F51" s="500"/>
      <c r="G51" s="34" t="s">
        <v>33</v>
      </c>
      <c r="H51" s="35">
        <v>3550</v>
      </c>
      <c r="I51" s="36">
        <f t="shared" si="0"/>
        <v>674.5</v>
      </c>
      <c r="J51" s="37">
        <f t="shared" si="1"/>
        <v>4224.5</v>
      </c>
    </row>
    <row r="52" spans="1:10" ht="14.4" customHeight="1">
      <c r="A52" s="33">
        <v>38</v>
      </c>
      <c r="B52" s="500" t="s">
        <v>58</v>
      </c>
      <c r="C52" s="500"/>
      <c r="D52" s="500"/>
      <c r="E52" s="500"/>
      <c r="F52" s="500"/>
      <c r="G52" s="34" t="s">
        <v>19</v>
      </c>
      <c r="H52" s="35">
        <v>2900</v>
      </c>
      <c r="I52" s="36">
        <f t="shared" si="0"/>
        <v>551</v>
      </c>
      <c r="J52" s="37">
        <f t="shared" si="1"/>
        <v>3451</v>
      </c>
    </row>
    <row r="53" spans="1:10" ht="14.4" customHeight="1">
      <c r="A53" s="33">
        <v>39</v>
      </c>
      <c r="B53" s="500" t="s">
        <v>59</v>
      </c>
      <c r="C53" s="500"/>
      <c r="D53" s="500"/>
      <c r="E53" s="500"/>
      <c r="F53" s="500"/>
      <c r="G53" s="34" t="s">
        <v>56</v>
      </c>
      <c r="H53" s="35">
        <v>14400</v>
      </c>
      <c r="I53" s="36">
        <f t="shared" si="0"/>
        <v>2736</v>
      </c>
      <c r="J53" s="37">
        <f t="shared" si="1"/>
        <v>17136</v>
      </c>
    </row>
    <row r="54" spans="1:10" ht="24" customHeight="1">
      <c r="A54" s="33">
        <v>40</v>
      </c>
      <c r="B54" s="500" t="s">
        <v>185</v>
      </c>
      <c r="C54" s="500"/>
      <c r="D54" s="500"/>
      <c r="E54" s="500"/>
      <c r="F54" s="500"/>
      <c r="G54" s="34" t="s">
        <v>19</v>
      </c>
      <c r="H54" s="35">
        <v>12540</v>
      </c>
      <c r="I54" s="36">
        <f t="shared" si="0"/>
        <v>2382.6</v>
      </c>
      <c r="J54" s="37">
        <f t="shared" si="1"/>
        <v>14922.6</v>
      </c>
    </row>
    <row r="55" spans="1:10" ht="23.4" customHeight="1">
      <c r="A55" s="33">
        <v>41</v>
      </c>
      <c r="B55" s="500" t="s">
        <v>186</v>
      </c>
      <c r="C55" s="500"/>
      <c r="D55" s="500"/>
      <c r="E55" s="500"/>
      <c r="F55" s="500"/>
      <c r="G55" s="34" t="s">
        <v>19</v>
      </c>
      <c r="H55" s="35">
        <v>295000</v>
      </c>
      <c r="I55" s="36">
        <f t="shared" si="0"/>
        <v>56050</v>
      </c>
      <c r="J55" s="37">
        <f t="shared" si="1"/>
        <v>351050</v>
      </c>
    </row>
    <row r="56" spans="1:10" ht="14.4" customHeight="1">
      <c r="A56" s="33">
        <v>42</v>
      </c>
      <c r="B56" s="500" t="s">
        <v>60</v>
      </c>
      <c r="C56" s="500"/>
      <c r="D56" s="500"/>
      <c r="E56" s="500"/>
      <c r="F56" s="500"/>
      <c r="G56" s="34" t="s">
        <v>19</v>
      </c>
      <c r="H56" s="35">
        <v>29990</v>
      </c>
      <c r="I56" s="36">
        <f t="shared" si="0"/>
        <v>5698.1</v>
      </c>
      <c r="J56" s="37">
        <f t="shared" si="1"/>
        <v>35688.1</v>
      </c>
    </row>
    <row r="57" spans="1:10" ht="14.4" customHeight="1">
      <c r="A57" s="33">
        <v>43</v>
      </c>
      <c r="B57" s="500" t="s">
        <v>61</v>
      </c>
      <c r="C57" s="500"/>
      <c r="D57" s="500"/>
      <c r="E57" s="500"/>
      <c r="F57" s="500"/>
      <c r="G57" s="34" t="s">
        <v>19</v>
      </c>
      <c r="H57" s="35">
        <v>828000</v>
      </c>
      <c r="I57" s="36">
        <f t="shared" si="0"/>
        <v>157320</v>
      </c>
      <c r="J57" s="37">
        <f t="shared" si="1"/>
        <v>985320</v>
      </c>
    </row>
    <row r="58" spans="1:10" ht="24.6" customHeight="1">
      <c r="A58" s="33">
        <v>44</v>
      </c>
      <c r="B58" s="500" t="s">
        <v>62</v>
      </c>
      <c r="C58" s="500"/>
      <c r="D58" s="500"/>
      <c r="E58" s="500"/>
      <c r="F58" s="500"/>
      <c r="G58" s="34" t="s">
        <v>63</v>
      </c>
      <c r="H58" s="35">
        <v>60000</v>
      </c>
      <c r="I58" s="36">
        <f t="shared" si="0"/>
        <v>11400</v>
      </c>
      <c r="J58" s="37">
        <f t="shared" si="1"/>
        <v>71400</v>
      </c>
    </row>
    <row r="59" spans="1:10" ht="14.4" customHeight="1">
      <c r="A59" s="33">
        <v>45</v>
      </c>
      <c r="B59" s="500" t="s">
        <v>64</v>
      </c>
      <c r="C59" s="500"/>
      <c r="D59" s="500"/>
      <c r="E59" s="500"/>
      <c r="F59" s="500"/>
      <c r="G59" s="34" t="s">
        <v>39</v>
      </c>
      <c r="H59" s="35">
        <v>3990</v>
      </c>
      <c r="I59" s="36">
        <f t="shared" si="0"/>
        <v>758.1</v>
      </c>
      <c r="J59" s="37">
        <f t="shared" si="1"/>
        <v>4748.1000000000004</v>
      </c>
    </row>
    <row r="60" spans="1:10" ht="14.4" customHeight="1">
      <c r="A60" s="33">
        <v>46</v>
      </c>
      <c r="B60" s="500" t="s">
        <v>65</v>
      </c>
      <c r="C60" s="500"/>
      <c r="D60" s="500"/>
      <c r="E60" s="500"/>
      <c r="F60" s="500"/>
      <c r="G60" s="34" t="s">
        <v>43</v>
      </c>
      <c r="H60" s="35">
        <v>10000</v>
      </c>
      <c r="I60" s="36">
        <f t="shared" si="0"/>
        <v>1900</v>
      </c>
      <c r="J60" s="37">
        <f t="shared" si="1"/>
        <v>11900</v>
      </c>
    </row>
    <row r="61" spans="1:10" ht="14.4" customHeight="1">
      <c r="A61" s="33">
        <v>47</v>
      </c>
      <c r="B61" s="500" t="s">
        <v>66</v>
      </c>
      <c r="C61" s="500"/>
      <c r="D61" s="500"/>
      <c r="E61" s="500"/>
      <c r="F61" s="500"/>
      <c r="G61" s="34" t="s">
        <v>39</v>
      </c>
      <c r="H61" s="35">
        <v>10200</v>
      </c>
      <c r="I61" s="36">
        <f t="shared" si="0"/>
        <v>1938</v>
      </c>
      <c r="J61" s="37">
        <f t="shared" si="1"/>
        <v>12138</v>
      </c>
    </row>
    <row r="62" spans="1:10" ht="14.4" customHeight="1">
      <c r="A62" s="33">
        <v>48</v>
      </c>
      <c r="B62" s="500" t="s">
        <v>67</v>
      </c>
      <c r="C62" s="500"/>
      <c r="D62" s="500"/>
      <c r="E62" s="500"/>
      <c r="F62" s="500"/>
      <c r="G62" s="34" t="s">
        <v>39</v>
      </c>
      <c r="H62" s="35">
        <v>15000</v>
      </c>
      <c r="I62" s="36">
        <f t="shared" si="0"/>
        <v>2850</v>
      </c>
      <c r="J62" s="37">
        <f t="shared" si="1"/>
        <v>17850</v>
      </c>
    </row>
    <row r="63" spans="1:10" ht="26.4" customHeight="1">
      <c r="A63" s="33">
        <v>49</v>
      </c>
      <c r="B63" s="500" t="s">
        <v>187</v>
      </c>
      <c r="C63" s="500"/>
      <c r="D63" s="500"/>
      <c r="E63" s="500"/>
      <c r="F63" s="500"/>
      <c r="G63" s="34" t="s">
        <v>68</v>
      </c>
      <c r="H63" s="35">
        <v>4550</v>
      </c>
      <c r="I63" s="36">
        <f t="shared" si="0"/>
        <v>864.5</v>
      </c>
      <c r="J63" s="37">
        <f t="shared" si="1"/>
        <v>5414.5</v>
      </c>
    </row>
    <row r="64" spans="1:10" ht="14.4" customHeight="1">
      <c r="A64" s="33">
        <v>50</v>
      </c>
      <c r="B64" s="500" t="s">
        <v>69</v>
      </c>
      <c r="C64" s="500"/>
      <c r="D64" s="500"/>
      <c r="E64" s="500"/>
      <c r="F64" s="500"/>
      <c r="G64" s="34" t="s">
        <v>70</v>
      </c>
      <c r="H64" s="35">
        <v>4100</v>
      </c>
      <c r="I64" s="36">
        <f t="shared" si="0"/>
        <v>779</v>
      </c>
      <c r="J64" s="37">
        <f t="shared" si="1"/>
        <v>4879</v>
      </c>
    </row>
    <row r="65" spans="1:10" ht="14.4" customHeight="1">
      <c r="A65" s="33">
        <v>51</v>
      </c>
      <c r="B65" s="500" t="s">
        <v>71</v>
      </c>
      <c r="C65" s="500"/>
      <c r="D65" s="500"/>
      <c r="E65" s="500"/>
      <c r="F65" s="500"/>
      <c r="G65" s="34" t="s">
        <v>54</v>
      </c>
      <c r="H65" s="35">
        <v>39900</v>
      </c>
      <c r="I65" s="36">
        <f t="shared" si="0"/>
        <v>7581</v>
      </c>
      <c r="J65" s="37">
        <f t="shared" si="1"/>
        <v>47481</v>
      </c>
    </row>
    <row r="66" spans="1:10" ht="24" customHeight="1">
      <c r="A66" s="33">
        <v>52</v>
      </c>
      <c r="B66" s="500" t="s">
        <v>188</v>
      </c>
      <c r="C66" s="500"/>
      <c r="D66" s="500"/>
      <c r="E66" s="500"/>
      <c r="F66" s="500"/>
      <c r="G66" s="34" t="s">
        <v>72</v>
      </c>
      <c r="H66" s="35">
        <v>1900</v>
      </c>
      <c r="I66" s="36">
        <f t="shared" si="0"/>
        <v>361</v>
      </c>
      <c r="J66" s="37">
        <f t="shared" si="1"/>
        <v>2261</v>
      </c>
    </row>
    <row r="67" spans="1:10" ht="19.95" customHeight="1">
      <c r="A67" s="33">
        <v>53</v>
      </c>
      <c r="B67" s="500" t="s">
        <v>73</v>
      </c>
      <c r="C67" s="500"/>
      <c r="D67" s="500"/>
      <c r="E67" s="500"/>
      <c r="F67" s="500"/>
      <c r="G67" s="34" t="s">
        <v>19</v>
      </c>
      <c r="H67" s="35">
        <v>79000</v>
      </c>
      <c r="I67" s="36">
        <f t="shared" si="0"/>
        <v>15010</v>
      </c>
      <c r="J67" s="37">
        <f t="shared" si="1"/>
        <v>94010</v>
      </c>
    </row>
    <row r="68" spans="1:10" ht="48.75" customHeight="1">
      <c r="A68" s="33">
        <v>54</v>
      </c>
      <c r="B68" s="500" t="s">
        <v>74</v>
      </c>
      <c r="C68" s="500"/>
      <c r="D68" s="500"/>
      <c r="E68" s="500"/>
      <c r="F68" s="500"/>
      <c r="G68" s="34" t="s">
        <v>56</v>
      </c>
      <c r="H68" s="35">
        <v>5500</v>
      </c>
      <c r="I68" s="36">
        <v>0</v>
      </c>
      <c r="J68" s="37">
        <f t="shared" si="1"/>
        <v>5500</v>
      </c>
    </row>
    <row r="69" spans="1:10" ht="51" customHeight="1">
      <c r="A69" s="33">
        <v>55</v>
      </c>
      <c r="B69" s="500" t="s">
        <v>75</v>
      </c>
      <c r="C69" s="500"/>
      <c r="D69" s="500"/>
      <c r="E69" s="500"/>
      <c r="F69" s="500"/>
      <c r="G69" s="34" t="s">
        <v>56</v>
      </c>
      <c r="H69" s="35">
        <v>6500</v>
      </c>
      <c r="I69" s="36">
        <v>0</v>
      </c>
      <c r="J69" s="37">
        <f t="shared" si="1"/>
        <v>6500</v>
      </c>
    </row>
    <row r="70" spans="1:10" ht="14.4" customHeight="1">
      <c r="A70" s="33">
        <v>56</v>
      </c>
      <c r="B70" s="500" t="s">
        <v>76</v>
      </c>
      <c r="C70" s="500"/>
      <c r="D70" s="500"/>
      <c r="E70" s="500"/>
      <c r="F70" s="500"/>
      <c r="G70" s="34" t="s">
        <v>77</v>
      </c>
      <c r="H70" s="35">
        <v>16000</v>
      </c>
      <c r="I70" s="36">
        <f t="shared" ref="I70:I91" si="2">H70*0.19</f>
        <v>3040</v>
      </c>
      <c r="J70" s="37">
        <f t="shared" si="1"/>
        <v>19040</v>
      </c>
    </row>
    <row r="71" spans="1:10" ht="14.4" customHeight="1">
      <c r="A71" s="33">
        <v>57</v>
      </c>
      <c r="B71" s="500" t="s">
        <v>78</v>
      </c>
      <c r="C71" s="500"/>
      <c r="D71" s="500"/>
      <c r="E71" s="500"/>
      <c r="F71" s="500"/>
      <c r="G71" s="34" t="s">
        <v>77</v>
      </c>
      <c r="H71" s="35">
        <v>16000</v>
      </c>
      <c r="I71" s="36">
        <f t="shared" si="2"/>
        <v>3040</v>
      </c>
      <c r="J71" s="37">
        <f t="shared" si="1"/>
        <v>19040</v>
      </c>
    </row>
    <row r="72" spans="1:10" ht="14.4" customHeight="1">
      <c r="A72" s="33">
        <v>58</v>
      </c>
      <c r="B72" s="500" t="s">
        <v>79</v>
      </c>
      <c r="C72" s="500"/>
      <c r="D72" s="500"/>
      <c r="E72" s="500"/>
      <c r="F72" s="500"/>
      <c r="G72" s="34" t="s">
        <v>77</v>
      </c>
      <c r="H72" s="35">
        <v>15500</v>
      </c>
      <c r="I72" s="36">
        <f t="shared" si="2"/>
        <v>2945</v>
      </c>
      <c r="J72" s="37">
        <f t="shared" si="1"/>
        <v>18445</v>
      </c>
    </row>
    <row r="73" spans="1:10" ht="14.4" customHeight="1">
      <c r="A73" s="33">
        <v>59</v>
      </c>
      <c r="B73" s="500" t="s">
        <v>80</v>
      </c>
      <c r="C73" s="500"/>
      <c r="D73" s="500"/>
      <c r="E73" s="500"/>
      <c r="F73" s="500"/>
      <c r="G73" s="34" t="s">
        <v>77</v>
      </c>
      <c r="H73" s="35">
        <v>15500</v>
      </c>
      <c r="I73" s="36">
        <f t="shared" si="2"/>
        <v>2945</v>
      </c>
      <c r="J73" s="37">
        <f t="shared" si="1"/>
        <v>18445</v>
      </c>
    </row>
    <row r="74" spans="1:10" ht="60.75" customHeight="1">
      <c r="A74" s="33">
        <v>60</v>
      </c>
      <c r="B74" s="500" t="s">
        <v>189</v>
      </c>
      <c r="C74" s="500"/>
      <c r="D74" s="500"/>
      <c r="E74" s="500"/>
      <c r="F74" s="500"/>
      <c r="G74" s="34" t="s">
        <v>77</v>
      </c>
      <c r="H74" s="35">
        <v>15000</v>
      </c>
      <c r="I74" s="36">
        <f t="shared" si="2"/>
        <v>2850</v>
      </c>
      <c r="J74" s="37">
        <f t="shared" si="1"/>
        <v>17850</v>
      </c>
    </row>
    <row r="75" spans="1:10" ht="14.4" customHeight="1">
      <c r="A75" s="33">
        <v>61</v>
      </c>
      <c r="B75" s="500" t="s">
        <v>82</v>
      </c>
      <c r="C75" s="500"/>
      <c r="D75" s="500"/>
      <c r="E75" s="500"/>
      <c r="F75" s="500"/>
      <c r="G75" s="34" t="s">
        <v>19</v>
      </c>
      <c r="H75" s="35">
        <v>29900</v>
      </c>
      <c r="I75" s="36">
        <f t="shared" si="2"/>
        <v>5681</v>
      </c>
      <c r="J75" s="37">
        <f t="shared" si="1"/>
        <v>35581</v>
      </c>
    </row>
    <row r="76" spans="1:10" ht="14.4" customHeight="1">
      <c r="A76" s="33">
        <v>62</v>
      </c>
      <c r="B76" s="500" t="s">
        <v>83</v>
      </c>
      <c r="C76" s="500"/>
      <c r="D76" s="500"/>
      <c r="E76" s="500"/>
      <c r="F76" s="500"/>
      <c r="G76" s="34" t="s">
        <v>19</v>
      </c>
      <c r="H76" s="35">
        <v>29900</v>
      </c>
      <c r="I76" s="36">
        <f t="shared" si="2"/>
        <v>5681</v>
      </c>
      <c r="J76" s="37">
        <f t="shared" si="1"/>
        <v>35581</v>
      </c>
    </row>
    <row r="77" spans="1:10" ht="14.4" customHeight="1">
      <c r="A77" s="33">
        <v>63</v>
      </c>
      <c r="B77" s="500" t="s">
        <v>84</v>
      </c>
      <c r="C77" s="500"/>
      <c r="D77" s="500"/>
      <c r="E77" s="500"/>
      <c r="F77" s="500"/>
      <c r="G77" s="34" t="s">
        <v>19</v>
      </c>
      <c r="H77" s="35">
        <v>39900</v>
      </c>
      <c r="I77" s="36">
        <f t="shared" si="2"/>
        <v>7581</v>
      </c>
      <c r="J77" s="37">
        <f t="shared" si="1"/>
        <v>47481</v>
      </c>
    </row>
    <row r="78" spans="1:10" ht="22.5" customHeight="1">
      <c r="A78" s="33">
        <v>64</v>
      </c>
      <c r="B78" s="500" t="s">
        <v>190</v>
      </c>
      <c r="C78" s="500"/>
      <c r="D78" s="500"/>
      <c r="E78" s="500"/>
      <c r="F78" s="500"/>
      <c r="G78" s="34" t="s">
        <v>77</v>
      </c>
      <c r="H78" s="35">
        <v>15500</v>
      </c>
      <c r="I78" s="36">
        <f t="shared" si="2"/>
        <v>2945</v>
      </c>
      <c r="J78" s="37">
        <f t="shared" si="1"/>
        <v>18445</v>
      </c>
    </row>
    <row r="79" spans="1:10" ht="14.4" customHeight="1">
      <c r="A79" s="33">
        <v>65</v>
      </c>
      <c r="B79" s="500" t="s">
        <v>85</v>
      </c>
      <c r="C79" s="500"/>
      <c r="D79" s="500"/>
      <c r="E79" s="500"/>
      <c r="F79" s="500"/>
      <c r="G79" s="34" t="s">
        <v>77</v>
      </c>
      <c r="H79" s="35">
        <v>15500</v>
      </c>
      <c r="I79" s="36">
        <f t="shared" si="2"/>
        <v>2945</v>
      </c>
      <c r="J79" s="37">
        <f t="shared" ref="J79:J136" si="3">I79+H79</f>
        <v>18445</v>
      </c>
    </row>
    <row r="80" spans="1:10" ht="14.4" customHeight="1">
      <c r="A80" s="33">
        <v>66</v>
      </c>
      <c r="B80" s="500" t="s">
        <v>86</v>
      </c>
      <c r="C80" s="500"/>
      <c r="D80" s="500"/>
      <c r="E80" s="500"/>
      <c r="F80" s="500"/>
      <c r="G80" s="34" t="s">
        <v>19</v>
      </c>
      <c r="H80" s="35">
        <v>980</v>
      </c>
      <c r="I80" s="36">
        <f t="shared" si="2"/>
        <v>186.2</v>
      </c>
      <c r="J80" s="37">
        <f t="shared" si="3"/>
        <v>1166.2</v>
      </c>
    </row>
    <row r="81" spans="1:10" ht="27" customHeight="1">
      <c r="A81" s="33">
        <v>67</v>
      </c>
      <c r="B81" s="500" t="s">
        <v>191</v>
      </c>
      <c r="C81" s="500"/>
      <c r="D81" s="500"/>
      <c r="E81" s="500"/>
      <c r="F81" s="500"/>
      <c r="G81" s="34" t="s">
        <v>19</v>
      </c>
      <c r="H81" s="35">
        <v>850</v>
      </c>
      <c r="I81" s="36">
        <f t="shared" si="2"/>
        <v>161.5</v>
      </c>
      <c r="J81" s="37">
        <f t="shared" si="3"/>
        <v>1011.5</v>
      </c>
    </row>
    <row r="82" spans="1:10" ht="29.25" customHeight="1">
      <c r="A82" s="33">
        <v>68</v>
      </c>
      <c r="B82" s="500" t="s">
        <v>192</v>
      </c>
      <c r="C82" s="500"/>
      <c r="D82" s="500"/>
      <c r="E82" s="500"/>
      <c r="F82" s="500"/>
      <c r="G82" s="34" t="s">
        <v>19</v>
      </c>
      <c r="H82" s="35">
        <v>900</v>
      </c>
      <c r="I82" s="36">
        <f t="shared" si="2"/>
        <v>171</v>
      </c>
      <c r="J82" s="37">
        <f t="shared" si="3"/>
        <v>1071</v>
      </c>
    </row>
    <row r="83" spans="1:10" ht="30" customHeight="1">
      <c r="A83" s="33">
        <v>69</v>
      </c>
      <c r="B83" s="500" t="s">
        <v>193</v>
      </c>
      <c r="C83" s="500"/>
      <c r="D83" s="500"/>
      <c r="E83" s="500"/>
      <c r="F83" s="500"/>
      <c r="G83" s="34" t="s">
        <v>87</v>
      </c>
      <c r="H83" s="35">
        <v>2000</v>
      </c>
      <c r="I83" s="36">
        <f t="shared" si="2"/>
        <v>380</v>
      </c>
      <c r="J83" s="37">
        <f t="shared" si="3"/>
        <v>2380</v>
      </c>
    </row>
    <row r="84" spans="1:10" ht="23.25" customHeight="1">
      <c r="A84" s="33">
        <v>70</v>
      </c>
      <c r="B84" s="500" t="s">
        <v>88</v>
      </c>
      <c r="C84" s="500"/>
      <c r="D84" s="500"/>
      <c r="E84" s="500"/>
      <c r="F84" s="500"/>
      <c r="G84" s="34" t="s">
        <v>87</v>
      </c>
      <c r="H84" s="35">
        <v>1000</v>
      </c>
      <c r="I84" s="36">
        <f t="shared" si="2"/>
        <v>190</v>
      </c>
      <c r="J84" s="37">
        <f t="shared" si="3"/>
        <v>1190</v>
      </c>
    </row>
    <row r="85" spans="1:10" ht="14.4" customHeight="1">
      <c r="A85" s="33">
        <v>71</v>
      </c>
      <c r="B85" s="508" t="s">
        <v>194</v>
      </c>
      <c r="C85" s="508"/>
      <c r="D85" s="508"/>
      <c r="E85" s="508"/>
      <c r="F85" s="508"/>
      <c r="G85" s="34" t="s">
        <v>19</v>
      </c>
      <c r="H85" s="35">
        <v>59990</v>
      </c>
      <c r="I85" s="36">
        <f t="shared" si="2"/>
        <v>11398.1</v>
      </c>
      <c r="J85" s="37">
        <f t="shared" si="3"/>
        <v>71388.100000000006</v>
      </c>
    </row>
    <row r="86" spans="1:10" ht="24" customHeight="1">
      <c r="A86" s="33">
        <v>72</v>
      </c>
      <c r="B86" s="500" t="s">
        <v>195</v>
      </c>
      <c r="C86" s="500"/>
      <c r="D86" s="500"/>
      <c r="E86" s="500"/>
      <c r="F86" s="500"/>
      <c r="G86" s="34" t="s">
        <v>89</v>
      </c>
      <c r="H86" s="35">
        <v>19000</v>
      </c>
      <c r="I86" s="36">
        <f t="shared" si="2"/>
        <v>3610</v>
      </c>
      <c r="J86" s="37">
        <f t="shared" si="3"/>
        <v>22610</v>
      </c>
    </row>
    <row r="87" spans="1:10" ht="24" customHeight="1">
      <c r="A87" s="33">
        <v>73</v>
      </c>
      <c r="B87" s="500" t="s">
        <v>196</v>
      </c>
      <c r="C87" s="500"/>
      <c r="D87" s="500"/>
      <c r="E87" s="500"/>
      <c r="F87" s="500"/>
      <c r="G87" s="34" t="s">
        <v>89</v>
      </c>
      <c r="H87" s="35">
        <v>22500</v>
      </c>
      <c r="I87" s="36">
        <f t="shared" si="2"/>
        <v>4275</v>
      </c>
      <c r="J87" s="37">
        <f t="shared" si="3"/>
        <v>26775</v>
      </c>
    </row>
    <row r="88" spans="1:10" ht="27.6" customHeight="1">
      <c r="A88" s="33">
        <v>74</v>
      </c>
      <c r="B88" s="500" t="s">
        <v>197</v>
      </c>
      <c r="C88" s="500"/>
      <c r="D88" s="500"/>
      <c r="E88" s="500"/>
      <c r="F88" s="500"/>
      <c r="G88" s="34" t="s">
        <v>90</v>
      </c>
      <c r="H88" s="35">
        <v>69900</v>
      </c>
      <c r="I88" s="36">
        <f t="shared" si="2"/>
        <v>13281</v>
      </c>
      <c r="J88" s="37">
        <f t="shared" si="3"/>
        <v>83181</v>
      </c>
    </row>
    <row r="89" spans="1:10" ht="14.4" customHeight="1">
      <c r="A89" s="33">
        <v>75</v>
      </c>
      <c r="B89" s="500" t="s">
        <v>198</v>
      </c>
      <c r="C89" s="500"/>
      <c r="D89" s="500"/>
      <c r="E89" s="500"/>
      <c r="F89" s="500"/>
      <c r="G89" s="34" t="s">
        <v>39</v>
      </c>
      <c r="H89" s="35">
        <v>21000</v>
      </c>
      <c r="I89" s="36">
        <f t="shared" si="2"/>
        <v>3990</v>
      </c>
      <c r="J89" s="37">
        <f t="shared" si="3"/>
        <v>24990</v>
      </c>
    </row>
    <row r="90" spans="1:10" ht="19.5" customHeight="1">
      <c r="A90" s="33">
        <v>76</v>
      </c>
      <c r="B90" s="500" t="s">
        <v>92</v>
      </c>
      <c r="C90" s="500"/>
      <c r="D90" s="500"/>
      <c r="E90" s="500"/>
      <c r="F90" s="500"/>
      <c r="G90" s="34" t="s">
        <v>93</v>
      </c>
      <c r="H90" s="35">
        <v>15000</v>
      </c>
      <c r="I90" s="36">
        <f t="shared" si="2"/>
        <v>2850</v>
      </c>
      <c r="J90" s="37">
        <f t="shared" si="3"/>
        <v>17850</v>
      </c>
    </row>
    <row r="91" spans="1:10" ht="21" customHeight="1">
      <c r="A91" s="33">
        <v>77</v>
      </c>
      <c r="B91" s="500" t="s">
        <v>199</v>
      </c>
      <c r="C91" s="500"/>
      <c r="D91" s="500"/>
      <c r="E91" s="500"/>
      <c r="F91" s="500"/>
      <c r="G91" s="34" t="s">
        <v>48</v>
      </c>
      <c r="H91" s="35">
        <v>69810</v>
      </c>
      <c r="I91" s="36">
        <f t="shared" si="2"/>
        <v>13263.9</v>
      </c>
      <c r="J91" s="37">
        <f t="shared" si="3"/>
        <v>83073.899999999994</v>
      </c>
    </row>
    <row r="92" spans="1:10" ht="22.2" customHeight="1">
      <c r="A92" s="33">
        <v>78</v>
      </c>
      <c r="B92" s="500" t="s">
        <v>94</v>
      </c>
      <c r="C92" s="500"/>
      <c r="D92" s="500"/>
      <c r="E92" s="500"/>
      <c r="F92" s="500"/>
      <c r="G92" s="34" t="s">
        <v>95</v>
      </c>
      <c r="H92" s="35">
        <v>550</v>
      </c>
      <c r="I92" s="36">
        <v>0</v>
      </c>
      <c r="J92" s="37">
        <f t="shared" si="3"/>
        <v>550</v>
      </c>
    </row>
    <row r="93" spans="1:10" ht="27" customHeight="1">
      <c r="A93" s="33">
        <v>79</v>
      </c>
      <c r="B93" s="500" t="s">
        <v>96</v>
      </c>
      <c r="C93" s="500"/>
      <c r="D93" s="500"/>
      <c r="E93" s="500"/>
      <c r="F93" s="500"/>
      <c r="G93" s="34" t="s">
        <v>19</v>
      </c>
      <c r="H93" s="35">
        <v>3200</v>
      </c>
      <c r="I93" s="36">
        <f t="shared" ref="I93:I136" si="4">H93*0.19</f>
        <v>608</v>
      </c>
      <c r="J93" s="37">
        <f t="shared" si="3"/>
        <v>3808</v>
      </c>
    </row>
    <row r="94" spans="1:10" ht="36" customHeight="1">
      <c r="A94" s="33">
        <v>80</v>
      </c>
      <c r="B94" s="500" t="s">
        <v>97</v>
      </c>
      <c r="C94" s="500"/>
      <c r="D94" s="500"/>
      <c r="E94" s="500"/>
      <c r="F94" s="500"/>
      <c r="G94" s="34" t="s">
        <v>19</v>
      </c>
      <c r="H94" s="35">
        <v>6920</v>
      </c>
      <c r="I94" s="36">
        <f t="shared" si="4"/>
        <v>1314.8</v>
      </c>
      <c r="J94" s="37">
        <f t="shared" si="3"/>
        <v>8234.7999999999993</v>
      </c>
    </row>
    <row r="95" spans="1:10" ht="30" customHeight="1">
      <c r="A95" s="33">
        <v>81</v>
      </c>
      <c r="B95" s="500" t="s">
        <v>98</v>
      </c>
      <c r="C95" s="500"/>
      <c r="D95" s="500"/>
      <c r="E95" s="500"/>
      <c r="F95" s="500"/>
      <c r="G95" s="34" t="s">
        <v>19</v>
      </c>
      <c r="H95" s="35">
        <v>12000</v>
      </c>
      <c r="I95" s="36">
        <f t="shared" si="4"/>
        <v>2280</v>
      </c>
      <c r="J95" s="37">
        <f t="shared" si="3"/>
        <v>14280</v>
      </c>
    </row>
    <row r="96" spans="1:10" ht="30" customHeight="1">
      <c r="A96" s="33">
        <v>82</v>
      </c>
      <c r="B96" s="500" t="s">
        <v>99</v>
      </c>
      <c r="C96" s="500"/>
      <c r="D96" s="500"/>
      <c r="E96" s="500"/>
      <c r="F96" s="500"/>
      <c r="G96" s="34" t="s">
        <v>19</v>
      </c>
      <c r="H96" s="35">
        <v>79889</v>
      </c>
      <c r="I96" s="36">
        <f t="shared" si="4"/>
        <v>15178.91</v>
      </c>
      <c r="J96" s="37">
        <f t="shared" si="3"/>
        <v>95067.91</v>
      </c>
    </row>
    <row r="97" spans="1:10" ht="14.4" customHeight="1">
      <c r="A97" s="33">
        <v>83</v>
      </c>
      <c r="B97" s="500" t="s">
        <v>100</v>
      </c>
      <c r="C97" s="500"/>
      <c r="D97" s="500"/>
      <c r="E97" s="500"/>
      <c r="F97" s="500"/>
      <c r="G97" s="34" t="s">
        <v>19</v>
      </c>
      <c r="H97" s="35">
        <v>49870</v>
      </c>
      <c r="I97" s="36">
        <f t="shared" si="4"/>
        <v>9475.2999999999993</v>
      </c>
      <c r="J97" s="37">
        <f t="shared" si="3"/>
        <v>59345.3</v>
      </c>
    </row>
    <row r="98" spans="1:10" ht="14.4" customHeight="1">
      <c r="A98" s="33">
        <v>84</v>
      </c>
      <c r="B98" s="500" t="s">
        <v>101</v>
      </c>
      <c r="C98" s="500"/>
      <c r="D98" s="500"/>
      <c r="E98" s="500"/>
      <c r="F98" s="500"/>
      <c r="G98" s="34" t="s">
        <v>102</v>
      </c>
      <c r="H98" s="35">
        <v>4580</v>
      </c>
      <c r="I98" s="36">
        <f t="shared" si="4"/>
        <v>870.2</v>
      </c>
      <c r="J98" s="37">
        <f t="shared" si="3"/>
        <v>5450.2</v>
      </c>
    </row>
    <row r="99" spans="1:10" ht="14.4" customHeight="1">
      <c r="A99" s="33">
        <v>85</v>
      </c>
      <c r="B99" s="500" t="s">
        <v>103</v>
      </c>
      <c r="C99" s="500"/>
      <c r="D99" s="500"/>
      <c r="E99" s="500"/>
      <c r="F99" s="500"/>
      <c r="G99" s="34" t="s">
        <v>102</v>
      </c>
      <c r="H99" s="35">
        <v>4580</v>
      </c>
      <c r="I99" s="36">
        <f t="shared" si="4"/>
        <v>870.2</v>
      </c>
      <c r="J99" s="37">
        <f t="shared" si="3"/>
        <v>5450.2</v>
      </c>
    </row>
    <row r="100" spans="1:10" ht="14.4" customHeight="1">
      <c r="A100" s="33">
        <v>86</v>
      </c>
      <c r="B100" s="500" t="s">
        <v>104</v>
      </c>
      <c r="C100" s="500"/>
      <c r="D100" s="500"/>
      <c r="E100" s="500"/>
      <c r="F100" s="500"/>
      <c r="G100" s="34" t="s">
        <v>102</v>
      </c>
      <c r="H100" s="35">
        <v>22200</v>
      </c>
      <c r="I100" s="36">
        <f t="shared" si="4"/>
        <v>4218</v>
      </c>
      <c r="J100" s="37">
        <f t="shared" si="3"/>
        <v>26418</v>
      </c>
    </row>
    <row r="101" spans="1:10" ht="14.4" customHeight="1">
      <c r="A101" s="33">
        <v>87</v>
      </c>
      <c r="B101" s="500" t="s">
        <v>105</v>
      </c>
      <c r="C101" s="500"/>
      <c r="D101" s="500"/>
      <c r="E101" s="500"/>
      <c r="F101" s="500"/>
      <c r="G101" s="34" t="s">
        <v>102</v>
      </c>
      <c r="H101" s="35">
        <v>16000</v>
      </c>
      <c r="I101" s="36">
        <f t="shared" si="4"/>
        <v>3040</v>
      </c>
      <c r="J101" s="37">
        <f t="shared" si="3"/>
        <v>19040</v>
      </c>
    </row>
    <row r="102" spans="1:10" ht="14.4" customHeight="1">
      <c r="A102" s="33">
        <v>88</v>
      </c>
      <c r="B102" s="500" t="s">
        <v>106</v>
      </c>
      <c r="C102" s="500"/>
      <c r="D102" s="500"/>
      <c r="E102" s="500"/>
      <c r="F102" s="500"/>
      <c r="G102" s="34" t="s">
        <v>102</v>
      </c>
      <c r="H102" s="35">
        <v>26500</v>
      </c>
      <c r="I102" s="36">
        <f t="shared" si="4"/>
        <v>5035</v>
      </c>
      <c r="J102" s="37">
        <f t="shared" si="3"/>
        <v>31535</v>
      </c>
    </row>
    <row r="103" spans="1:10" ht="14.4" customHeight="1">
      <c r="A103" s="33">
        <v>89</v>
      </c>
      <c r="B103" s="500" t="s">
        <v>107</v>
      </c>
      <c r="C103" s="500"/>
      <c r="D103" s="500"/>
      <c r="E103" s="500"/>
      <c r="F103" s="500"/>
      <c r="G103" s="34" t="s">
        <v>19</v>
      </c>
      <c r="H103" s="35">
        <v>2000</v>
      </c>
      <c r="I103" s="36">
        <f t="shared" si="4"/>
        <v>380</v>
      </c>
      <c r="J103" s="37">
        <f t="shared" si="3"/>
        <v>2380</v>
      </c>
    </row>
    <row r="104" spans="1:10" ht="33" customHeight="1">
      <c r="A104" s="33">
        <v>90</v>
      </c>
      <c r="B104" s="500" t="s">
        <v>108</v>
      </c>
      <c r="C104" s="500"/>
      <c r="D104" s="500"/>
      <c r="E104" s="500"/>
      <c r="F104" s="500"/>
      <c r="G104" s="34" t="s">
        <v>19</v>
      </c>
      <c r="H104" s="35">
        <v>1190</v>
      </c>
      <c r="I104" s="36">
        <f t="shared" si="4"/>
        <v>226.1</v>
      </c>
      <c r="J104" s="37">
        <f t="shared" si="3"/>
        <v>1416.1</v>
      </c>
    </row>
    <row r="105" spans="1:10" ht="29.4" customHeight="1">
      <c r="A105" s="33">
        <v>91</v>
      </c>
      <c r="B105" s="500" t="s">
        <v>200</v>
      </c>
      <c r="C105" s="500"/>
      <c r="D105" s="500"/>
      <c r="E105" s="500"/>
      <c r="F105" s="500"/>
      <c r="G105" s="34" t="s">
        <v>19</v>
      </c>
      <c r="H105" s="35">
        <v>1250</v>
      </c>
      <c r="I105" s="36">
        <f t="shared" si="4"/>
        <v>237.5</v>
      </c>
      <c r="J105" s="37">
        <f t="shared" si="3"/>
        <v>1487.5</v>
      </c>
    </row>
    <row r="106" spans="1:10" ht="31.95" customHeight="1">
      <c r="A106" s="33">
        <v>92</v>
      </c>
      <c r="B106" s="500" t="s">
        <v>109</v>
      </c>
      <c r="C106" s="500"/>
      <c r="D106" s="500"/>
      <c r="E106" s="500"/>
      <c r="F106" s="500"/>
      <c r="G106" s="34" t="s">
        <v>19</v>
      </c>
      <c r="H106" s="35">
        <v>990</v>
      </c>
      <c r="I106" s="36">
        <f t="shared" si="4"/>
        <v>188.1</v>
      </c>
      <c r="J106" s="37">
        <f t="shared" si="3"/>
        <v>1178.0999999999999</v>
      </c>
    </row>
    <row r="107" spans="1:10" ht="14.4" customHeight="1">
      <c r="A107" s="33">
        <v>93</v>
      </c>
      <c r="B107" s="500" t="s">
        <v>110</v>
      </c>
      <c r="C107" s="500"/>
      <c r="D107" s="500"/>
      <c r="E107" s="500"/>
      <c r="F107" s="500"/>
      <c r="G107" s="34" t="s">
        <v>77</v>
      </c>
      <c r="H107" s="35">
        <v>1650</v>
      </c>
      <c r="I107" s="36">
        <f t="shared" si="4"/>
        <v>313.5</v>
      </c>
      <c r="J107" s="37">
        <f t="shared" si="3"/>
        <v>1963.5</v>
      </c>
    </row>
    <row r="108" spans="1:10" ht="14.4" customHeight="1">
      <c r="A108" s="33">
        <v>94</v>
      </c>
      <c r="B108" s="500" t="s">
        <v>111</v>
      </c>
      <c r="C108" s="500"/>
      <c r="D108" s="500"/>
      <c r="E108" s="500"/>
      <c r="F108" s="500"/>
      <c r="G108" s="34" t="s">
        <v>19</v>
      </c>
      <c r="H108" s="35">
        <v>9980</v>
      </c>
      <c r="I108" s="36">
        <f t="shared" si="4"/>
        <v>1896.2</v>
      </c>
      <c r="J108" s="37">
        <f t="shared" si="3"/>
        <v>11876.2</v>
      </c>
    </row>
    <row r="109" spans="1:10" ht="27" customHeight="1">
      <c r="A109" s="33">
        <v>95</v>
      </c>
      <c r="B109" s="500" t="s">
        <v>201</v>
      </c>
      <c r="C109" s="500"/>
      <c r="D109" s="500"/>
      <c r="E109" s="500"/>
      <c r="F109" s="500"/>
      <c r="G109" s="34" t="s">
        <v>19</v>
      </c>
      <c r="H109" s="35">
        <v>1990</v>
      </c>
      <c r="I109" s="36">
        <f t="shared" si="4"/>
        <v>378.1</v>
      </c>
      <c r="J109" s="37">
        <f t="shared" si="3"/>
        <v>2368.1</v>
      </c>
    </row>
    <row r="110" spans="1:10" ht="14.4" customHeight="1">
      <c r="A110" s="33">
        <v>96</v>
      </c>
      <c r="B110" s="500" t="s">
        <v>112</v>
      </c>
      <c r="C110" s="500"/>
      <c r="D110" s="500"/>
      <c r="E110" s="500"/>
      <c r="F110" s="500"/>
      <c r="G110" s="34" t="s">
        <v>43</v>
      </c>
      <c r="H110" s="35">
        <v>25690</v>
      </c>
      <c r="I110" s="36">
        <f t="shared" si="4"/>
        <v>4881.1000000000004</v>
      </c>
      <c r="J110" s="37">
        <f t="shared" si="3"/>
        <v>30571.1</v>
      </c>
    </row>
    <row r="111" spans="1:10" ht="29.4" customHeight="1">
      <c r="A111" s="33">
        <v>97</v>
      </c>
      <c r="B111" s="500" t="s">
        <v>202</v>
      </c>
      <c r="C111" s="500"/>
      <c r="D111" s="500"/>
      <c r="E111" s="500"/>
      <c r="F111" s="500"/>
      <c r="G111" s="34" t="s">
        <v>43</v>
      </c>
      <c r="H111" s="35">
        <v>25000</v>
      </c>
      <c r="I111" s="36">
        <f t="shared" si="4"/>
        <v>4750</v>
      </c>
      <c r="J111" s="37">
        <f t="shared" si="3"/>
        <v>29750</v>
      </c>
    </row>
    <row r="112" spans="1:10" ht="14.4" customHeight="1">
      <c r="A112" s="33">
        <v>98</v>
      </c>
      <c r="B112" s="500" t="s">
        <v>113</v>
      </c>
      <c r="C112" s="500"/>
      <c r="D112" s="500"/>
      <c r="E112" s="500"/>
      <c r="F112" s="500"/>
      <c r="G112" s="34" t="s">
        <v>43</v>
      </c>
      <c r="H112" s="35">
        <v>12000</v>
      </c>
      <c r="I112" s="36">
        <f t="shared" si="4"/>
        <v>2280</v>
      </c>
      <c r="J112" s="37">
        <f t="shared" si="3"/>
        <v>14280</v>
      </c>
    </row>
    <row r="113" spans="1:10" ht="14.4" customHeight="1">
      <c r="A113" s="33">
        <v>99</v>
      </c>
      <c r="B113" s="500" t="s">
        <v>114</v>
      </c>
      <c r="C113" s="500"/>
      <c r="D113" s="500"/>
      <c r="E113" s="500"/>
      <c r="F113" s="500"/>
      <c r="G113" s="34" t="s">
        <v>115</v>
      </c>
      <c r="H113" s="35">
        <v>19000</v>
      </c>
      <c r="I113" s="36">
        <f t="shared" si="4"/>
        <v>3610</v>
      </c>
      <c r="J113" s="37">
        <f t="shared" si="3"/>
        <v>22610</v>
      </c>
    </row>
    <row r="114" spans="1:10" ht="14.4" customHeight="1">
      <c r="A114" s="33">
        <v>100</v>
      </c>
      <c r="B114" s="500" t="s">
        <v>116</v>
      </c>
      <c r="C114" s="500"/>
      <c r="D114" s="500"/>
      <c r="E114" s="500"/>
      <c r="F114" s="500"/>
      <c r="G114" s="34" t="s">
        <v>115</v>
      </c>
      <c r="H114" s="35">
        <v>21000</v>
      </c>
      <c r="I114" s="36">
        <f t="shared" si="4"/>
        <v>3990</v>
      </c>
      <c r="J114" s="37">
        <f t="shared" si="3"/>
        <v>24990</v>
      </c>
    </row>
    <row r="115" spans="1:10" ht="14.4" customHeight="1">
      <c r="A115" s="33">
        <v>101</v>
      </c>
      <c r="B115" s="500" t="s">
        <v>117</v>
      </c>
      <c r="C115" s="500"/>
      <c r="D115" s="500"/>
      <c r="E115" s="500"/>
      <c r="F115" s="500"/>
      <c r="G115" s="34" t="s">
        <v>43</v>
      </c>
      <c r="H115" s="35">
        <v>13500</v>
      </c>
      <c r="I115" s="36">
        <f t="shared" si="4"/>
        <v>2565</v>
      </c>
      <c r="J115" s="37">
        <f t="shared" si="3"/>
        <v>16065</v>
      </c>
    </row>
    <row r="116" spans="1:10" ht="28.95" customHeight="1">
      <c r="A116" s="33">
        <v>102</v>
      </c>
      <c r="B116" s="500" t="s">
        <v>118</v>
      </c>
      <c r="C116" s="500"/>
      <c r="D116" s="500"/>
      <c r="E116" s="500"/>
      <c r="F116" s="500"/>
      <c r="G116" s="34" t="s">
        <v>19</v>
      </c>
      <c r="H116" s="35">
        <v>6990</v>
      </c>
      <c r="I116" s="36">
        <f t="shared" si="4"/>
        <v>1328.1</v>
      </c>
      <c r="J116" s="37">
        <f t="shared" si="3"/>
        <v>8318.1</v>
      </c>
    </row>
    <row r="117" spans="1:10" ht="14.4" customHeight="1">
      <c r="A117" s="33">
        <v>103</v>
      </c>
      <c r="B117" s="500" t="s">
        <v>119</v>
      </c>
      <c r="C117" s="500"/>
      <c r="D117" s="500"/>
      <c r="E117" s="500"/>
      <c r="F117" s="500"/>
      <c r="G117" s="34" t="s">
        <v>19</v>
      </c>
      <c r="H117" s="35">
        <v>113900</v>
      </c>
      <c r="I117" s="36">
        <f t="shared" si="4"/>
        <v>21641</v>
      </c>
      <c r="J117" s="37">
        <f t="shared" si="3"/>
        <v>135541</v>
      </c>
    </row>
    <row r="118" spans="1:10" ht="24.75" customHeight="1">
      <c r="A118" s="33">
        <v>104</v>
      </c>
      <c r="B118" s="500" t="s">
        <v>203</v>
      </c>
      <c r="C118" s="500"/>
      <c r="D118" s="500"/>
      <c r="E118" s="500"/>
      <c r="F118" s="500"/>
      <c r="G118" s="34" t="s">
        <v>19</v>
      </c>
      <c r="H118" s="35">
        <v>198700</v>
      </c>
      <c r="I118" s="36">
        <f t="shared" si="4"/>
        <v>37753</v>
      </c>
      <c r="J118" s="37">
        <f t="shared" si="3"/>
        <v>236453</v>
      </c>
    </row>
    <row r="119" spans="1:10" ht="21" customHeight="1">
      <c r="A119" s="33">
        <v>105</v>
      </c>
      <c r="B119" s="500" t="s">
        <v>204</v>
      </c>
      <c r="C119" s="500"/>
      <c r="D119" s="500"/>
      <c r="E119" s="500"/>
      <c r="F119" s="500"/>
      <c r="G119" s="34" t="s">
        <v>19</v>
      </c>
      <c r="H119" s="35">
        <v>109800</v>
      </c>
      <c r="I119" s="36">
        <f t="shared" si="4"/>
        <v>20862</v>
      </c>
      <c r="J119" s="37">
        <f t="shared" si="3"/>
        <v>130662</v>
      </c>
    </row>
    <row r="120" spans="1:10" ht="14.4" customHeight="1">
      <c r="A120" s="33">
        <v>106</v>
      </c>
      <c r="B120" s="500" t="s">
        <v>120</v>
      </c>
      <c r="C120" s="500"/>
      <c r="D120" s="500"/>
      <c r="E120" s="500"/>
      <c r="F120" s="500"/>
      <c r="G120" s="34" t="s">
        <v>19</v>
      </c>
      <c r="H120" s="35">
        <v>109000</v>
      </c>
      <c r="I120" s="36">
        <f t="shared" si="4"/>
        <v>20710</v>
      </c>
      <c r="J120" s="37">
        <f t="shared" si="3"/>
        <v>129710</v>
      </c>
    </row>
    <row r="121" spans="1:10" ht="30.6" customHeight="1">
      <c r="A121" s="33">
        <v>107</v>
      </c>
      <c r="B121" s="500" t="s">
        <v>205</v>
      </c>
      <c r="C121" s="500"/>
      <c r="D121" s="500"/>
      <c r="E121" s="500"/>
      <c r="F121" s="500"/>
      <c r="G121" s="34" t="s">
        <v>31</v>
      </c>
      <c r="H121" s="35">
        <v>9650</v>
      </c>
      <c r="I121" s="36">
        <f t="shared" si="4"/>
        <v>1833.5</v>
      </c>
      <c r="J121" s="37">
        <f t="shared" si="3"/>
        <v>11483.5</v>
      </c>
    </row>
    <row r="122" spans="1:10" ht="14.4" customHeight="1">
      <c r="A122" s="33">
        <v>108</v>
      </c>
      <c r="B122" s="500" t="s">
        <v>121</v>
      </c>
      <c r="C122" s="500"/>
      <c r="D122" s="500"/>
      <c r="E122" s="500"/>
      <c r="F122" s="500"/>
      <c r="G122" s="34" t="s">
        <v>33</v>
      </c>
      <c r="H122" s="35">
        <v>15400</v>
      </c>
      <c r="I122" s="36">
        <f t="shared" si="4"/>
        <v>2926</v>
      </c>
      <c r="J122" s="37">
        <f t="shared" si="3"/>
        <v>18326</v>
      </c>
    </row>
    <row r="123" spans="1:10" ht="26.25" customHeight="1">
      <c r="A123" s="33">
        <v>109</v>
      </c>
      <c r="B123" s="500" t="s">
        <v>206</v>
      </c>
      <c r="C123" s="500"/>
      <c r="D123" s="500"/>
      <c r="E123" s="500"/>
      <c r="F123" s="500"/>
      <c r="G123" s="34" t="s">
        <v>43</v>
      </c>
      <c r="H123" s="35">
        <v>49990</v>
      </c>
      <c r="I123" s="36">
        <f t="shared" si="4"/>
        <v>9498.1</v>
      </c>
      <c r="J123" s="37">
        <f t="shared" si="3"/>
        <v>59488.1</v>
      </c>
    </row>
    <row r="124" spans="1:10" ht="14.4" customHeight="1">
      <c r="A124" s="33">
        <v>110</v>
      </c>
      <c r="B124" s="500" t="s">
        <v>122</v>
      </c>
      <c r="C124" s="500"/>
      <c r="D124" s="500"/>
      <c r="E124" s="500"/>
      <c r="F124" s="500"/>
      <c r="G124" s="34" t="s">
        <v>19</v>
      </c>
      <c r="H124" s="35">
        <v>4900</v>
      </c>
      <c r="I124" s="36">
        <f t="shared" si="4"/>
        <v>931</v>
      </c>
      <c r="J124" s="37">
        <f t="shared" si="3"/>
        <v>5831</v>
      </c>
    </row>
    <row r="125" spans="1:10" ht="14.4" customHeight="1">
      <c r="A125" s="33">
        <v>111</v>
      </c>
      <c r="B125" s="500" t="s">
        <v>123</v>
      </c>
      <c r="C125" s="500"/>
      <c r="D125" s="500"/>
      <c r="E125" s="500"/>
      <c r="F125" s="500"/>
      <c r="G125" s="34" t="s">
        <v>19</v>
      </c>
      <c r="H125" s="35">
        <v>1690</v>
      </c>
      <c r="I125" s="36">
        <f t="shared" si="4"/>
        <v>321.10000000000002</v>
      </c>
      <c r="J125" s="37">
        <f t="shared" si="3"/>
        <v>2011.1</v>
      </c>
    </row>
    <row r="126" spans="1:10" ht="14.4" customHeight="1">
      <c r="A126" s="33">
        <v>112</v>
      </c>
      <c r="B126" s="500" t="s">
        <v>124</v>
      </c>
      <c r="C126" s="500"/>
      <c r="D126" s="500"/>
      <c r="E126" s="500"/>
      <c r="F126" s="500"/>
      <c r="G126" s="34" t="s">
        <v>19</v>
      </c>
      <c r="H126" s="35">
        <v>650000</v>
      </c>
      <c r="I126" s="36">
        <f t="shared" si="4"/>
        <v>123500</v>
      </c>
      <c r="J126" s="37">
        <f t="shared" si="3"/>
        <v>773500</v>
      </c>
    </row>
    <row r="127" spans="1:10" ht="14.4" customHeight="1">
      <c r="A127" s="33">
        <v>113</v>
      </c>
      <c r="B127" s="500" t="s">
        <v>125</v>
      </c>
      <c r="C127" s="500"/>
      <c r="D127" s="500"/>
      <c r="E127" s="500"/>
      <c r="F127" s="500"/>
      <c r="G127" s="34" t="s">
        <v>19</v>
      </c>
      <c r="H127" s="35">
        <v>650000</v>
      </c>
      <c r="I127" s="36">
        <f t="shared" si="4"/>
        <v>123500</v>
      </c>
      <c r="J127" s="37">
        <f t="shared" si="3"/>
        <v>773500</v>
      </c>
    </row>
    <row r="128" spans="1:10" ht="14.4" customHeight="1">
      <c r="A128" s="33">
        <v>114</v>
      </c>
      <c r="B128" s="500" t="s">
        <v>126</v>
      </c>
      <c r="C128" s="500"/>
      <c r="D128" s="500"/>
      <c r="E128" s="500"/>
      <c r="F128" s="500"/>
      <c r="G128" s="34" t="s">
        <v>19</v>
      </c>
      <c r="H128" s="35">
        <v>650000</v>
      </c>
      <c r="I128" s="36">
        <f t="shared" si="4"/>
        <v>123500</v>
      </c>
      <c r="J128" s="37">
        <f t="shared" si="3"/>
        <v>773500</v>
      </c>
    </row>
    <row r="129" spans="1:10" ht="14.4" customHeight="1">
      <c r="A129" s="33">
        <v>115</v>
      </c>
      <c r="B129" s="500" t="s">
        <v>127</v>
      </c>
      <c r="C129" s="500"/>
      <c r="D129" s="500"/>
      <c r="E129" s="500"/>
      <c r="F129" s="500"/>
      <c r="G129" s="34" t="s">
        <v>19</v>
      </c>
      <c r="H129" s="35">
        <v>650000</v>
      </c>
      <c r="I129" s="36">
        <f t="shared" si="4"/>
        <v>123500</v>
      </c>
      <c r="J129" s="37">
        <f t="shared" si="3"/>
        <v>773500</v>
      </c>
    </row>
    <row r="130" spans="1:10" ht="14.4" customHeight="1">
      <c r="A130" s="33">
        <v>116</v>
      </c>
      <c r="B130" s="500" t="s">
        <v>128</v>
      </c>
      <c r="C130" s="500"/>
      <c r="D130" s="500"/>
      <c r="E130" s="500"/>
      <c r="F130" s="500"/>
      <c r="G130" s="34" t="s">
        <v>19</v>
      </c>
      <c r="H130" s="35">
        <v>650000</v>
      </c>
      <c r="I130" s="36">
        <f t="shared" si="4"/>
        <v>123500</v>
      </c>
      <c r="J130" s="37">
        <f t="shared" si="3"/>
        <v>773500</v>
      </c>
    </row>
    <row r="131" spans="1:10" ht="14.4" customHeight="1">
      <c r="A131" s="33">
        <v>117</v>
      </c>
      <c r="B131" s="500" t="s">
        <v>129</v>
      </c>
      <c r="C131" s="500"/>
      <c r="D131" s="500"/>
      <c r="E131" s="500"/>
      <c r="F131" s="500"/>
      <c r="G131" s="34" t="s">
        <v>19</v>
      </c>
      <c r="H131" s="35">
        <v>650000</v>
      </c>
      <c r="I131" s="36">
        <f t="shared" si="4"/>
        <v>123500</v>
      </c>
      <c r="J131" s="37">
        <f t="shared" si="3"/>
        <v>773500</v>
      </c>
    </row>
    <row r="132" spans="1:10" ht="14.4" customHeight="1">
      <c r="A132" s="33">
        <v>118</v>
      </c>
      <c r="B132" s="500" t="s">
        <v>130</v>
      </c>
      <c r="C132" s="500"/>
      <c r="D132" s="500"/>
      <c r="E132" s="500"/>
      <c r="F132" s="500"/>
      <c r="G132" s="34" t="s">
        <v>19</v>
      </c>
      <c r="H132" s="35">
        <v>2650</v>
      </c>
      <c r="I132" s="36">
        <f t="shared" si="4"/>
        <v>503.5</v>
      </c>
      <c r="J132" s="37">
        <f t="shared" si="3"/>
        <v>3153.5</v>
      </c>
    </row>
    <row r="133" spans="1:10" ht="14.4" customHeight="1">
      <c r="A133" s="33">
        <v>119</v>
      </c>
      <c r="B133" s="500" t="s">
        <v>131</v>
      </c>
      <c r="C133" s="500"/>
      <c r="D133" s="500"/>
      <c r="E133" s="500"/>
      <c r="F133" s="500"/>
      <c r="G133" s="34" t="s">
        <v>19</v>
      </c>
      <c r="H133" s="35">
        <v>2650</v>
      </c>
      <c r="I133" s="36">
        <f t="shared" si="4"/>
        <v>503.5</v>
      </c>
      <c r="J133" s="37">
        <f t="shared" si="3"/>
        <v>3153.5</v>
      </c>
    </row>
    <row r="134" spans="1:10" ht="14.4" customHeight="1">
      <c r="A134" s="33">
        <v>120</v>
      </c>
      <c r="B134" s="500" t="s">
        <v>132</v>
      </c>
      <c r="C134" s="500"/>
      <c r="D134" s="500"/>
      <c r="E134" s="500"/>
      <c r="F134" s="500"/>
      <c r="G134" s="34" t="s">
        <v>48</v>
      </c>
      <c r="H134" s="35">
        <v>45000</v>
      </c>
      <c r="I134" s="36">
        <f t="shared" si="4"/>
        <v>8550</v>
      </c>
      <c r="J134" s="37">
        <f t="shared" si="3"/>
        <v>53550</v>
      </c>
    </row>
    <row r="135" spans="1:10" ht="14.4" customHeight="1">
      <c r="A135" s="33">
        <v>121</v>
      </c>
      <c r="B135" s="500" t="s">
        <v>133</v>
      </c>
      <c r="C135" s="500"/>
      <c r="D135" s="500"/>
      <c r="E135" s="500"/>
      <c r="F135" s="500"/>
      <c r="G135" s="34" t="s">
        <v>19</v>
      </c>
      <c r="H135" s="35">
        <v>758082</v>
      </c>
      <c r="I135" s="36">
        <f t="shared" si="4"/>
        <v>144035.57999999999</v>
      </c>
      <c r="J135" s="37">
        <f t="shared" si="3"/>
        <v>902117.58</v>
      </c>
    </row>
    <row r="136" spans="1:10" s="45" customFormat="1" ht="28.5" customHeight="1">
      <c r="A136" s="81">
        <v>122</v>
      </c>
      <c r="B136" s="524" t="s">
        <v>207</v>
      </c>
      <c r="C136" s="524"/>
      <c r="D136" s="524"/>
      <c r="E136" s="524"/>
      <c r="F136" s="524"/>
      <c r="G136" s="82" t="s">
        <v>19</v>
      </c>
      <c r="H136" s="83">
        <v>6550</v>
      </c>
      <c r="I136" s="84">
        <f t="shared" si="4"/>
        <v>1244.5</v>
      </c>
      <c r="J136" s="85">
        <f t="shared" si="3"/>
        <v>7794.5</v>
      </c>
    </row>
    <row r="137" spans="1:10" s="45" customFormat="1" ht="28.5" customHeight="1">
      <c r="A137" s="81">
        <v>123</v>
      </c>
      <c r="B137" s="524" t="s">
        <v>208</v>
      </c>
      <c r="C137" s="524"/>
      <c r="D137" s="524"/>
      <c r="E137" s="524"/>
      <c r="F137" s="524"/>
      <c r="G137" s="86" t="s">
        <v>209</v>
      </c>
      <c r="H137" s="83">
        <v>6901</v>
      </c>
      <c r="I137" s="87">
        <f>H137*0.19</f>
        <v>1311.19</v>
      </c>
      <c r="J137" s="88">
        <f>I137+H137</f>
        <v>8212.19</v>
      </c>
    </row>
    <row r="138" spans="1:10" ht="15.6">
      <c r="A138" s="525" t="s">
        <v>135</v>
      </c>
      <c r="B138" s="526"/>
      <c r="C138" s="526"/>
      <c r="D138" s="526"/>
      <c r="E138" s="526"/>
      <c r="F138" s="526"/>
      <c r="G138" s="526"/>
      <c r="H138" s="526"/>
      <c r="I138" s="526"/>
      <c r="J138" s="38">
        <f>SUM(J15:J137)</f>
        <v>10990000.119999997</v>
      </c>
    </row>
    <row r="139" spans="1:10">
      <c r="A139" s="509"/>
      <c r="B139" s="510"/>
      <c r="C139" s="510"/>
      <c r="D139" s="510"/>
      <c r="E139" s="510"/>
      <c r="F139" s="510"/>
      <c r="G139" s="510"/>
      <c r="H139" s="510"/>
      <c r="I139" s="510"/>
      <c r="J139" s="511"/>
    </row>
    <row r="140" spans="1:10" ht="90" customHeight="1">
      <c r="A140" s="512" t="s">
        <v>210</v>
      </c>
      <c r="B140" s="513"/>
      <c r="C140" s="513"/>
      <c r="D140" s="513"/>
      <c r="E140" s="513"/>
      <c r="F140" s="513"/>
      <c r="G140" s="513"/>
      <c r="H140" s="513"/>
      <c r="I140" s="513"/>
      <c r="J140" s="514"/>
    </row>
    <row r="141" spans="1:10">
      <c r="A141" s="515"/>
      <c r="B141" s="516"/>
      <c r="C141" s="516"/>
      <c r="D141" s="516"/>
      <c r="E141" s="516"/>
      <c r="F141" s="516"/>
      <c r="G141" s="516"/>
      <c r="H141" s="516"/>
      <c r="I141" s="516"/>
      <c r="J141" s="517"/>
    </row>
    <row r="142" spans="1:10">
      <c r="A142" s="518"/>
      <c r="B142" s="519"/>
      <c r="C142" s="519"/>
      <c r="D142" s="519"/>
      <c r="E142" s="519"/>
      <c r="F142" s="519"/>
      <c r="G142" s="519"/>
      <c r="H142" s="519"/>
      <c r="I142" s="519"/>
      <c r="J142" s="520"/>
    </row>
    <row r="143" spans="1:10">
      <c r="A143" s="518"/>
      <c r="B143" s="519"/>
      <c r="C143" s="519"/>
      <c r="D143" s="519"/>
      <c r="E143" s="519"/>
      <c r="F143" s="519"/>
      <c r="G143" s="519"/>
      <c r="H143" s="519"/>
      <c r="I143" s="519"/>
      <c r="J143" s="520"/>
    </row>
    <row r="144" spans="1:10">
      <c r="A144" s="518"/>
      <c r="B144" s="519"/>
      <c r="C144" s="519"/>
      <c r="D144" s="519"/>
      <c r="E144" s="519"/>
      <c r="F144" s="519"/>
      <c r="G144" s="519"/>
      <c r="H144" s="519"/>
      <c r="I144" s="519"/>
      <c r="J144" s="520"/>
    </row>
    <row r="145" spans="1:10" ht="15" thickBot="1">
      <c r="A145" s="521"/>
      <c r="B145" s="522"/>
      <c r="C145" s="522"/>
      <c r="D145" s="522"/>
      <c r="E145" s="522"/>
      <c r="F145" s="522"/>
      <c r="G145" s="522"/>
      <c r="H145" s="522"/>
      <c r="I145" s="522"/>
      <c r="J145" s="523"/>
    </row>
    <row r="146" spans="1:10"/>
    <row r="147" spans="1:10"/>
    <row r="148" spans="1:10"/>
  </sheetData>
  <autoFilter ref="A14:J138" xr:uid="{0B4B2DBE-F83A-458A-BA0E-B9A6D221B713}">
    <filterColumn colId="1" showButton="0"/>
    <filterColumn colId="2" showButton="0"/>
    <filterColumn colId="3" showButton="0"/>
    <filterColumn colId="4" showButton="0"/>
  </autoFilter>
  <mergeCells count="144">
    <mergeCell ref="A139:J139"/>
    <mergeCell ref="A140:J140"/>
    <mergeCell ref="A141:J145"/>
    <mergeCell ref="B137:F137"/>
    <mergeCell ref="A138:I138"/>
    <mergeCell ref="B131:F131"/>
    <mergeCell ref="B132:F132"/>
    <mergeCell ref="B133:F133"/>
    <mergeCell ref="B134:F134"/>
    <mergeCell ref="B135:F135"/>
    <mergeCell ref="B136:F136"/>
    <mergeCell ref="B125:F125"/>
    <mergeCell ref="B126:F126"/>
    <mergeCell ref="B127:F127"/>
    <mergeCell ref="B128:F128"/>
    <mergeCell ref="B129:F129"/>
    <mergeCell ref="B130:F130"/>
    <mergeCell ref="B119:F119"/>
    <mergeCell ref="B120:F120"/>
    <mergeCell ref="B121:F121"/>
    <mergeCell ref="B122:F122"/>
    <mergeCell ref="B123:F123"/>
    <mergeCell ref="B124:F124"/>
    <mergeCell ref="B113:F113"/>
    <mergeCell ref="B114:F114"/>
    <mergeCell ref="B115:F115"/>
    <mergeCell ref="B116:F116"/>
    <mergeCell ref="B117:F117"/>
    <mergeCell ref="B118:F118"/>
    <mergeCell ref="B107:F107"/>
    <mergeCell ref="B108:F108"/>
    <mergeCell ref="B109:F109"/>
    <mergeCell ref="B110:F110"/>
    <mergeCell ref="B111:F111"/>
    <mergeCell ref="B112:F112"/>
    <mergeCell ref="B101:F101"/>
    <mergeCell ref="B102:F102"/>
    <mergeCell ref="B103:F103"/>
    <mergeCell ref="B104:F104"/>
    <mergeCell ref="B105:F105"/>
    <mergeCell ref="B106:F106"/>
    <mergeCell ref="B95:F95"/>
    <mergeCell ref="B96:F96"/>
    <mergeCell ref="B97:F97"/>
    <mergeCell ref="B98:F98"/>
    <mergeCell ref="B99:F99"/>
    <mergeCell ref="B100:F100"/>
    <mergeCell ref="B89:F89"/>
    <mergeCell ref="B90:F90"/>
    <mergeCell ref="B91:F91"/>
    <mergeCell ref="B92:F92"/>
    <mergeCell ref="B93:F93"/>
    <mergeCell ref="B94:F94"/>
    <mergeCell ref="B83:F83"/>
    <mergeCell ref="B84:F84"/>
    <mergeCell ref="B85:F85"/>
    <mergeCell ref="B86:F86"/>
    <mergeCell ref="B87:F87"/>
    <mergeCell ref="B88:F88"/>
    <mergeCell ref="B77:F77"/>
    <mergeCell ref="B78:F78"/>
    <mergeCell ref="B79:F79"/>
    <mergeCell ref="B80:F80"/>
    <mergeCell ref="B81:F81"/>
    <mergeCell ref="B82:F82"/>
    <mergeCell ref="B71:F71"/>
    <mergeCell ref="B72:F72"/>
    <mergeCell ref="B73:F73"/>
    <mergeCell ref="B74:F74"/>
    <mergeCell ref="B75:F75"/>
    <mergeCell ref="B76:F76"/>
    <mergeCell ref="B65:F65"/>
    <mergeCell ref="B66:F66"/>
    <mergeCell ref="B67:F67"/>
    <mergeCell ref="B68:F68"/>
    <mergeCell ref="B69:F69"/>
    <mergeCell ref="B70:F70"/>
    <mergeCell ref="B59:F59"/>
    <mergeCell ref="B60:F60"/>
    <mergeCell ref="B61:F61"/>
    <mergeCell ref="B62:F62"/>
    <mergeCell ref="B63:F63"/>
    <mergeCell ref="B64:F64"/>
    <mergeCell ref="B53:F53"/>
    <mergeCell ref="B54:F54"/>
    <mergeCell ref="B55:F55"/>
    <mergeCell ref="B56:F56"/>
    <mergeCell ref="B57:F57"/>
    <mergeCell ref="B58:F58"/>
    <mergeCell ref="B47:F47"/>
    <mergeCell ref="B48:F48"/>
    <mergeCell ref="B49:F49"/>
    <mergeCell ref="B50:F50"/>
    <mergeCell ref="B51:F51"/>
    <mergeCell ref="B52:F52"/>
    <mergeCell ref="B41:F41"/>
    <mergeCell ref="B42:F42"/>
    <mergeCell ref="B43:F43"/>
    <mergeCell ref="B44:F44"/>
    <mergeCell ref="B45:F45"/>
    <mergeCell ref="B46:F46"/>
    <mergeCell ref="B35:F35"/>
    <mergeCell ref="B36:F36"/>
    <mergeCell ref="B37:F37"/>
    <mergeCell ref="B38:F38"/>
    <mergeCell ref="B39:F39"/>
    <mergeCell ref="B40:F40"/>
    <mergeCell ref="B29:F29"/>
    <mergeCell ref="B30:F30"/>
    <mergeCell ref="B31:F31"/>
    <mergeCell ref="B32:F32"/>
    <mergeCell ref="B33:F33"/>
    <mergeCell ref="B34:F34"/>
    <mergeCell ref="B23:F23"/>
    <mergeCell ref="B24:F24"/>
    <mergeCell ref="B25:F25"/>
    <mergeCell ref="B26:F26"/>
    <mergeCell ref="B27:F27"/>
    <mergeCell ref="B28:F28"/>
    <mergeCell ref="B17:F17"/>
    <mergeCell ref="B18:F18"/>
    <mergeCell ref="B19:F19"/>
    <mergeCell ref="B20:F20"/>
    <mergeCell ref="B21:F21"/>
    <mergeCell ref="B22:F22"/>
    <mergeCell ref="A10:J10"/>
    <mergeCell ref="A12:C12"/>
    <mergeCell ref="D12:G12"/>
    <mergeCell ref="B14:F14"/>
    <mergeCell ref="B15:F15"/>
    <mergeCell ref="B16:F16"/>
    <mergeCell ref="B7:D7"/>
    <mergeCell ref="F7:G7"/>
    <mergeCell ref="I7:J7"/>
    <mergeCell ref="B8:D8"/>
    <mergeCell ref="F8:G8"/>
    <mergeCell ref="I8:J8"/>
    <mergeCell ref="A1:J1"/>
    <mergeCell ref="A2:J2"/>
    <mergeCell ref="A4:C4"/>
    <mergeCell ref="D4:J4"/>
    <mergeCell ref="B6:D6"/>
    <mergeCell ref="F6:G6"/>
    <mergeCell ref="I6:J6"/>
  </mergeCells>
  <hyperlinks>
    <hyperlink ref="F8" r:id="rId1" xr:uid="{AE220523-F473-4F5E-B1AE-62068F367280}"/>
  </hyperlinks>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6C863-CD96-4DFA-8E2D-F00A657F51B7}">
  <sheetPr>
    <tabColor theme="3" tint="0.499984740745262"/>
  </sheetPr>
  <dimension ref="A1:L147"/>
  <sheetViews>
    <sheetView showGridLines="0" workbookViewId="0">
      <selection activeCell="L1" sqref="L1"/>
    </sheetView>
  </sheetViews>
  <sheetFormatPr baseColWidth="10" defaultColWidth="11.44140625" defaultRowHeight="14.4" zeroHeight="1"/>
  <cols>
    <col min="1" max="6" width="11.44140625" style="17" customWidth="1"/>
    <col min="7" max="7" width="15" style="17" customWidth="1"/>
    <col min="8" max="8" width="14.33203125" style="17" customWidth="1"/>
    <col min="9" max="9" width="13.109375" style="17" customWidth="1"/>
    <col min="10" max="10" width="16.33203125" style="17" customWidth="1"/>
    <col min="11" max="11" width="11.44140625" style="17" customWidth="1"/>
    <col min="12" max="12" width="13.21875" style="17" customWidth="1"/>
    <col min="13" max="16383" width="11.44140625" style="17" customWidth="1"/>
    <col min="16384" max="16384" width="11.44140625" style="17"/>
  </cols>
  <sheetData>
    <row r="1" spans="1:12" ht="43.5" customHeight="1">
      <c r="A1" s="485" t="s">
        <v>2</v>
      </c>
      <c r="B1" s="486"/>
      <c r="C1" s="486"/>
      <c r="D1" s="486"/>
      <c r="E1" s="486"/>
      <c r="F1" s="486"/>
      <c r="G1" s="486"/>
      <c r="H1" s="486"/>
      <c r="I1" s="486"/>
      <c r="J1" s="487"/>
      <c r="L1" s="298" t="s">
        <v>794</v>
      </c>
    </row>
    <row r="2" spans="1:12" ht="27.9" customHeight="1">
      <c r="A2" s="488" t="s">
        <v>162</v>
      </c>
      <c r="B2" s="489"/>
      <c r="C2" s="489"/>
      <c r="D2" s="489"/>
      <c r="E2" s="489"/>
      <c r="F2" s="489"/>
      <c r="G2" s="489"/>
      <c r="H2" s="489"/>
      <c r="I2" s="489"/>
      <c r="J2" s="490"/>
    </row>
    <row r="3" spans="1:12">
      <c r="A3" s="18"/>
      <c r="B3" s="19"/>
      <c r="C3" s="19"/>
      <c r="D3" s="19"/>
      <c r="E3" s="19"/>
      <c r="F3" s="19"/>
      <c r="G3" s="20"/>
      <c r="H3" s="21"/>
      <c r="I3" s="21"/>
      <c r="J3" s="22"/>
    </row>
    <row r="4" spans="1:12" ht="40.950000000000003" customHeight="1">
      <c r="A4" s="491" t="s">
        <v>163</v>
      </c>
      <c r="B4" s="492"/>
      <c r="C4" s="492"/>
      <c r="D4" s="493" t="s">
        <v>164</v>
      </c>
      <c r="E4" s="494"/>
      <c r="F4" s="494"/>
      <c r="G4" s="494"/>
      <c r="H4" s="494"/>
      <c r="I4" s="494"/>
      <c r="J4" s="495"/>
    </row>
    <row r="5" spans="1:12">
      <c r="A5" s="18"/>
      <c r="B5" s="19"/>
      <c r="C5" s="19"/>
      <c r="D5" s="19"/>
      <c r="E5" s="19"/>
      <c r="F5" s="19"/>
      <c r="G5" s="20"/>
      <c r="H5" s="21"/>
      <c r="I5" s="21"/>
      <c r="J5" s="22"/>
    </row>
    <row r="6" spans="1:12" ht="21" customHeight="1">
      <c r="A6" s="23" t="s">
        <v>4</v>
      </c>
      <c r="B6" s="496" t="s">
        <v>211</v>
      </c>
      <c r="C6" s="496"/>
      <c r="D6" s="496"/>
      <c r="E6" s="24" t="s">
        <v>5</v>
      </c>
      <c r="F6" s="497" t="s">
        <v>212</v>
      </c>
      <c r="G6" s="497"/>
      <c r="H6" s="25" t="s">
        <v>6</v>
      </c>
      <c r="I6" s="531" t="s">
        <v>213</v>
      </c>
      <c r="J6" s="532"/>
    </row>
    <row r="7" spans="1:12" ht="21" customHeight="1">
      <c r="A7" s="23" t="s">
        <v>7</v>
      </c>
      <c r="B7" s="479" t="s">
        <v>214</v>
      </c>
      <c r="C7" s="479"/>
      <c r="D7" s="479"/>
      <c r="E7" s="24" t="s">
        <v>8</v>
      </c>
      <c r="F7" s="480" t="s">
        <v>215</v>
      </c>
      <c r="G7" s="480"/>
      <c r="H7" s="25" t="s">
        <v>9</v>
      </c>
      <c r="I7" s="527">
        <v>3016355228</v>
      </c>
      <c r="J7" s="528"/>
    </row>
    <row r="8" spans="1:12" ht="21" customHeight="1">
      <c r="A8" s="23" t="s">
        <v>10</v>
      </c>
      <c r="B8" s="483">
        <v>46111</v>
      </c>
      <c r="C8" s="483"/>
      <c r="D8" s="483"/>
      <c r="E8" s="24" t="s">
        <v>11</v>
      </c>
      <c r="F8" s="484" t="s">
        <v>216</v>
      </c>
      <c r="G8" s="480"/>
      <c r="H8" s="25" t="s">
        <v>12</v>
      </c>
      <c r="I8" s="529" t="s">
        <v>217</v>
      </c>
      <c r="J8" s="530"/>
    </row>
    <row r="9" spans="1:12">
      <c r="A9" s="18"/>
      <c r="B9" s="19"/>
      <c r="C9" s="19"/>
      <c r="D9" s="19"/>
      <c r="E9" s="19"/>
      <c r="F9" s="19"/>
      <c r="G9" s="20"/>
      <c r="H9" s="21"/>
      <c r="I9" s="21"/>
      <c r="J9" s="22"/>
    </row>
    <row r="10" spans="1:12" ht="150" customHeight="1">
      <c r="A10" s="501" t="s">
        <v>171</v>
      </c>
      <c r="B10" s="502"/>
      <c r="C10" s="502"/>
      <c r="D10" s="502"/>
      <c r="E10" s="502"/>
      <c r="F10" s="502"/>
      <c r="G10" s="502"/>
      <c r="H10" s="502"/>
      <c r="I10" s="502"/>
      <c r="J10" s="503"/>
    </row>
    <row r="11" spans="1:12">
      <c r="A11" s="18"/>
      <c r="B11" s="19"/>
      <c r="C11" s="19"/>
      <c r="D11" s="19"/>
      <c r="E11" s="19"/>
      <c r="F11" s="19"/>
      <c r="G11" s="20"/>
      <c r="H11" s="21"/>
      <c r="I11" s="21"/>
      <c r="J11" s="22"/>
    </row>
    <row r="12" spans="1:12" ht="24.75" customHeight="1">
      <c r="A12" s="504" t="s">
        <v>13</v>
      </c>
      <c r="B12" s="505"/>
      <c r="C12" s="505"/>
      <c r="D12" s="506" t="s">
        <v>172</v>
      </c>
      <c r="E12" s="506"/>
      <c r="F12" s="506"/>
      <c r="G12" s="506"/>
      <c r="H12" s="26"/>
      <c r="I12" s="27"/>
      <c r="J12" s="22"/>
    </row>
    <row r="13" spans="1:12">
      <c r="A13" s="18"/>
      <c r="B13" s="19"/>
      <c r="C13" s="19"/>
      <c r="D13" s="19"/>
      <c r="E13" s="19"/>
      <c r="F13" s="19"/>
      <c r="G13" s="20"/>
      <c r="H13" s="21"/>
      <c r="I13" s="21"/>
      <c r="J13" s="22"/>
    </row>
    <row r="14" spans="1:12" ht="24">
      <c r="A14" s="28" t="s">
        <v>173</v>
      </c>
      <c r="B14" s="507" t="s">
        <v>15</v>
      </c>
      <c r="C14" s="507"/>
      <c r="D14" s="507"/>
      <c r="E14" s="507"/>
      <c r="F14" s="507"/>
      <c r="G14" s="29" t="s">
        <v>16</v>
      </c>
      <c r="H14" s="30" t="s">
        <v>174</v>
      </c>
      <c r="I14" s="31" t="s">
        <v>17</v>
      </c>
      <c r="J14" s="32" t="s">
        <v>18</v>
      </c>
    </row>
    <row r="15" spans="1:12" ht="28.2" customHeight="1">
      <c r="A15" s="33">
        <v>1</v>
      </c>
      <c r="B15" s="500" t="s">
        <v>175</v>
      </c>
      <c r="C15" s="500"/>
      <c r="D15" s="500"/>
      <c r="E15" s="500"/>
      <c r="F15" s="500"/>
      <c r="G15" s="34" t="s">
        <v>19</v>
      </c>
      <c r="H15" s="35">
        <v>55000</v>
      </c>
      <c r="I15" s="36">
        <f t="shared" ref="I15:I67" si="0">H15*0.19</f>
        <v>10450</v>
      </c>
      <c r="J15" s="37">
        <f t="shared" ref="J15:J78" si="1">I15+H15</f>
        <v>65450</v>
      </c>
    </row>
    <row r="16" spans="1:12" ht="14.4" customHeight="1">
      <c r="A16" s="33">
        <v>2</v>
      </c>
      <c r="B16" s="500" t="s">
        <v>20</v>
      </c>
      <c r="C16" s="500"/>
      <c r="D16" s="500"/>
      <c r="E16" s="500"/>
      <c r="F16" s="500"/>
      <c r="G16" s="34" t="s">
        <v>19</v>
      </c>
      <c r="H16" s="35">
        <v>4200</v>
      </c>
      <c r="I16" s="36">
        <f t="shared" si="0"/>
        <v>798</v>
      </c>
      <c r="J16" s="37">
        <f t="shared" si="1"/>
        <v>4998</v>
      </c>
    </row>
    <row r="17" spans="1:10" ht="14.4" customHeight="1">
      <c r="A17" s="33">
        <v>3</v>
      </c>
      <c r="B17" s="500" t="s">
        <v>21</v>
      </c>
      <c r="C17" s="500"/>
      <c r="D17" s="500"/>
      <c r="E17" s="500"/>
      <c r="F17" s="500"/>
      <c r="G17" s="34" t="s">
        <v>19</v>
      </c>
      <c r="H17" s="35">
        <v>6700</v>
      </c>
      <c r="I17" s="36">
        <f t="shared" si="0"/>
        <v>1273</v>
      </c>
      <c r="J17" s="37">
        <f t="shared" si="1"/>
        <v>7973</v>
      </c>
    </row>
    <row r="18" spans="1:10" ht="14.4" customHeight="1">
      <c r="A18" s="33">
        <v>4</v>
      </c>
      <c r="B18" s="500" t="s">
        <v>22</v>
      </c>
      <c r="C18" s="500"/>
      <c r="D18" s="500"/>
      <c r="E18" s="500"/>
      <c r="F18" s="500"/>
      <c r="G18" s="34" t="s">
        <v>23</v>
      </c>
      <c r="H18" s="35">
        <v>1400</v>
      </c>
      <c r="I18" s="36">
        <f t="shared" si="0"/>
        <v>266</v>
      </c>
      <c r="J18" s="37">
        <f t="shared" si="1"/>
        <v>1666</v>
      </c>
    </row>
    <row r="19" spans="1:10" ht="22.2" customHeight="1">
      <c r="A19" s="33">
        <v>5</v>
      </c>
      <c r="B19" s="500" t="s">
        <v>176</v>
      </c>
      <c r="C19" s="500"/>
      <c r="D19" s="500"/>
      <c r="E19" s="500"/>
      <c r="F19" s="500"/>
      <c r="G19" s="34" t="s">
        <v>24</v>
      </c>
      <c r="H19" s="35">
        <v>3800</v>
      </c>
      <c r="I19" s="36">
        <f t="shared" si="0"/>
        <v>722</v>
      </c>
      <c r="J19" s="37">
        <f t="shared" si="1"/>
        <v>4522</v>
      </c>
    </row>
    <row r="20" spans="1:10" ht="14.4" customHeight="1">
      <c r="A20" s="33">
        <v>6</v>
      </c>
      <c r="B20" s="500" t="s">
        <v>25</v>
      </c>
      <c r="C20" s="500"/>
      <c r="D20" s="500"/>
      <c r="E20" s="500"/>
      <c r="F20" s="500"/>
      <c r="G20" s="34" t="s">
        <v>19</v>
      </c>
      <c r="H20" s="35">
        <v>3500</v>
      </c>
      <c r="I20" s="36">
        <f t="shared" si="0"/>
        <v>665</v>
      </c>
      <c r="J20" s="37">
        <f t="shared" si="1"/>
        <v>4165</v>
      </c>
    </row>
    <row r="21" spans="1:10" ht="14.4" customHeight="1">
      <c r="A21" s="33">
        <v>7</v>
      </c>
      <c r="B21" s="500" t="s">
        <v>26</v>
      </c>
      <c r="C21" s="500"/>
      <c r="D21" s="500"/>
      <c r="E21" s="500"/>
      <c r="F21" s="500"/>
      <c r="G21" s="34" t="s">
        <v>19</v>
      </c>
      <c r="H21" s="35">
        <v>5900</v>
      </c>
      <c r="I21" s="36">
        <f t="shared" si="0"/>
        <v>1121</v>
      </c>
      <c r="J21" s="37">
        <f t="shared" si="1"/>
        <v>7021</v>
      </c>
    </row>
    <row r="22" spans="1:10" ht="14.4" customHeight="1">
      <c r="A22" s="33">
        <v>8</v>
      </c>
      <c r="B22" s="500" t="s">
        <v>27</v>
      </c>
      <c r="C22" s="500"/>
      <c r="D22" s="500"/>
      <c r="E22" s="500"/>
      <c r="F22" s="500"/>
      <c r="G22" s="34" t="s">
        <v>19</v>
      </c>
      <c r="H22" s="35">
        <v>5800</v>
      </c>
      <c r="I22" s="36">
        <f t="shared" si="0"/>
        <v>1102</v>
      </c>
      <c r="J22" s="37">
        <f t="shared" si="1"/>
        <v>6902</v>
      </c>
    </row>
    <row r="23" spans="1:10" ht="14.4" customHeight="1">
      <c r="A23" s="33">
        <v>9</v>
      </c>
      <c r="B23" s="500" t="s">
        <v>28</v>
      </c>
      <c r="C23" s="500"/>
      <c r="D23" s="500"/>
      <c r="E23" s="500"/>
      <c r="F23" s="500"/>
      <c r="G23" s="34" t="s">
        <v>19</v>
      </c>
      <c r="H23" s="35">
        <v>1000</v>
      </c>
      <c r="I23" s="36">
        <f t="shared" si="0"/>
        <v>190</v>
      </c>
      <c r="J23" s="37">
        <f t="shared" si="1"/>
        <v>1190</v>
      </c>
    </row>
    <row r="24" spans="1:10" ht="14.4" customHeight="1">
      <c r="A24" s="33">
        <v>10</v>
      </c>
      <c r="B24" s="500" t="s">
        <v>29</v>
      </c>
      <c r="C24" s="500"/>
      <c r="D24" s="500"/>
      <c r="E24" s="500"/>
      <c r="F24" s="500"/>
      <c r="G24" s="34" t="s">
        <v>19</v>
      </c>
      <c r="H24" s="35">
        <v>1100</v>
      </c>
      <c r="I24" s="36">
        <f t="shared" si="0"/>
        <v>209</v>
      </c>
      <c r="J24" s="37">
        <f t="shared" si="1"/>
        <v>1309</v>
      </c>
    </row>
    <row r="25" spans="1:10" ht="14.4" customHeight="1">
      <c r="A25" s="33">
        <v>11</v>
      </c>
      <c r="B25" s="500" t="s">
        <v>30</v>
      </c>
      <c r="C25" s="500"/>
      <c r="D25" s="500"/>
      <c r="E25" s="500"/>
      <c r="F25" s="500"/>
      <c r="G25" s="34" t="s">
        <v>31</v>
      </c>
      <c r="H25" s="35">
        <v>14500</v>
      </c>
      <c r="I25" s="36">
        <f t="shared" si="0"/>
        <v>2755</v>
      </c>
      <c r="J25" s="37">
        <f t="shared" si="1"/>
        <v>17255</v>
      </c>
    </row>
    <row r="26" spans="1:10" ht="25.95" customHeight="1">
      <c r="A26" s="33">
        <v>12</v>
      </c>
      <c r="B26" s="500" t="s">
        <v>177</v>
      </c>
      <c r="C26" s="500"/>
      <c r="D26" s="500"/>
      <c r="E26" s="500"/>
      <c r="F26" s="500"/>
      <c r="G26" s="34" t="s">
        <v>19</v>
      </c>
      <c r="H26" s="35">
        <v>2600</v>
      </c>
      <c r="I26" s="36">
        <f t="shared" si="0"/>
        <v>494</v>
      </c>
      <c r="J26" s="37">
        <f t="shared" si="1"/>
        <v>3094</v>
      </c>
    </row>
    <row r="27" spans="1:10" ht="14.4" customHeight="1">
      <c r="A27" s="33">
        <v>13</v>
      </c>
      <c r="B27" s="500" t="s">
        <v>32</v>
      </c>
      <c r="C27" s="500"/>
      <c r="D27" s="500"/>
      <c r="E27" s="500"/>
      <c r="F27" s="500"/>
      <c r="G27" s="34" t="s">
        <v>33</v>
      </c>
      <c r="H27" s="35">
        <v>3200</v>
      </c>
      <c r="I27" s="36">
        <f t="shared" si="0"/>
        <v>608</v>
      </c>
      <c r="J27" s="37">
        <f t="shared" si="1"/>
        <v>3808</v>
      </c>
    </row>
    <row r="28" spans="1:10" ht="14.4" customHeight="1">
      <c r="A28" s="33">
        <v>14</v>
      </c>
      <c r="B28" s="500" t="s">
        <v>34</v>
      </c>
      <c r="C28" s="500"/>
      <c r="D28" s="500"/>
      <c r="E28" s="500"/>
      <c r="F28" s="500"/>
      <c r="G28" s="34" t="s">
        <v>19</v>
      </c>
      <c r="H28" s="35">
        <v>59800</v>
      </c>
      <c r="I28" s="36">
        <f t="shared" si="0"/>
        <v>11362</v>
      </c>
      <c r="J28" s="37">
        <f t="shared" si="1"/>
        <v>71162</v>
      </c>
    </row>
    <row r="29" spans="1:10" ht="14.4" customHeight="1">
      <c r="A29" s="33">
        <v>15</v>
      </c>
      <c r="B29" s="500" t="s">
        <v>178</v>
      </c>
      <c r="C29" s="500"/>
      <c r="D29" s="500"/>
      <c r="E29" s="500"/>
      <c r="F29" s="500"/>
      <c r="G29" s="34" t="s">
        <v>19</v>
      </c>
      <c r="H29" s="35">
        <v>59800</v>
      </c>
      <c r="I29" s="36">
        <f t="shared" si="0"/>
        <v>11362</v>
      </c>
      <c r="J29" s="37">
        <f t="shared" si="1"/>
        <v>71162</v>
      </c>
    </row>
    <row r="30" spans="1:10" ht="22.95" customHeight="1">
      <c r="A30" s="33">
        <v>16</v>
      </c>
      <c r="B30" s="500" t="s">
        <v>179</v>
      </c>
      <c r="C30" s="500"/>
      <c r="D30" s="500"/>
      <c r="E30" s="500"/>
      <c r="F30" s="500"/>
      <c r="G30" s="34" t="s">
        <v>19</v>
      </c>
      <c r="H30" s="35">
        <v>11400</v>
      </c>
      <c r="I30" s="36">
        <f t="shared" si="0"/>
        <v>2166</v>
      </c>
      <c r="J30" s="37">
        <f t="shared" si="1"/>
        <v>13566</v>
      </c>
    </row>
    <row r="31" spans="1:10" ht="23.4" customHeight="1">
      <c r="A31" s="33">
        <v>17</v>
      </c>
      <c r="B31" s="500" t="s">
        <v>180</v>
      </c>
      <c r="C31" s="500"/>
      <c r="D31" s="500"/>
      <c r="E31" s="500"/>
      <c r="F31" s="500"/>
      <c r="G31" s="34" t="s">
        <v>19</v>
      </c>
      <c r="H31" s="35">
        <v>10500</v>
      </c>
      <c r="I31" s="36">
        <f t="shared" si="0"/>
        <v>1995</v>
      </c>
      <c r="J31" s="37">
        <f t="shared" si="1"/>
        <v>12495</v>
      </c>
    </row>
    <row r="32" spans="1:10" ht="21.75" customHeight="1">
      <c r="A32" s="33">
        <v>18</v>
      </c>
      <c r="B32" s="500" t="s">
        <v>181</v>
      </c>
      <c r="C32" s="500"/>
      <c r="D32" s="500"/>
      <c r="E32" s="500"/>
      <c r="F32" s="500"/>
      <c r="G32" s="34" t="s">
        <v>19</v>
      </c>
      <c r="H32" s="35">
        <v>14900</v>
      </c>
      <c r="I32" s="36">
        <f t="shared" si="0"/>
        <v>2831</v>
      </c>
      <c r="J32" s="37">
        <f t="shared" si="1"/>
        <v>17731</v>
      </c>
    </row>
    <row r="33" spans="1:10" ht="21" customHeight="1">
      <c r="A33" s="33">
        <v>19</v>
      </c>
      <c r="B33" s="500" t="s">
        <v>182</v>
      </c>
      <c r="C33" s="500"/>
      <c r="D33" s="500"/>
      <c r="E33" s="500"/>
      <c r="F33" s="500"/>
      <c r="G33" s="34" t="s">
        <v>19</v>
      </c>
      <c r="H33" s="35">
        <v>15400</v>
      </c>
      <c r="I33" s="36">
        <f t="shared" si="0"/>
        <v>2926</v>
      </c>
      <c r="J33" s="37">
        <f t="shared" si="1"/>
        <v>18326</v>
      </c>
    </row>
    <row r="34" spans="1:10" ht="14.4" customHeight="1">
      <c r="A34" s="33">
        <v>20</v>
      </c>
      <c r="B34" s="500" t="s">
        <v>36</v>
      </c>
      <c r="C34" s="500"/>
      <c r="D34" s="500"/>
      <c r="E34" s="500"/>
      <c r="F34" s="500"/>
      <c r="G34" s="34" t="s">
        <v>19</v>
      </c>
      <c r="H34" s="35">
        <v>1350000</v>
      </c>
      <c r="I34" s="36">
        <f t="shared" si="0"/>
        <v>256500</v>
      </c>
      <c r="J34" s="37">
        <f t="shared" si="1"/>
        <v>1606500</v>
      </c>
    </row>
    <row r="35" spans="1:10" ht="14.4" customHeight="1">
      <c r="A35" s="33">
        <v>21</v>
      </c>
      <c r="B35" s="500" t="s">
        <v>37</v>
      </c>
      <c r="C35" s="500"/>
      <c r="D35" s="500"/>
      <c r="E35" s="500"/>
      <c r="F35" s="500"/>
      <c r="G35" s="34" t="s">
        <v>19</v>
      </c>
      <c r="H35" s="35">
        <v>29000</v>
      </c>
      <c r="I35" s="36">
        <f t="shared" si="0"/>
        <v>5510</v>
      </c>
      <c r="J35" s="37">
        <f t="shared" si="1"/>
        <v>34510</v>
      </c>
    </row>
    <row r="36" spans="1:10" ht="14.4" customHeight="1">
      <c r="A36" s="33">
        <v>22</v>
      </c>
      <c r="B36" s="500" t="s">
        <v>38</v>
      </c>
      <c r="C36" s="500"/>
      <c r="D36" s="500"/>
      <c r="E36" s="500"/>
      <c r="F36" s="500"/>
      <c r="G36" s="34" t="s">
        <v>39</v>
      </c>
      <c r="H36" s="35">
        <v>22000</v>
      </c>
      <c r="I36" s="36">
        <f t="shared" si="0"/>
        <v>4180</v>
      </c>
      <c r="J36" s="37">
        <f t="shared" si="1"/>
        <v>26180</v>
      </c>
    </row>
    <row r="37" spans="1:10" ht="14.4" customHeight="1">
      <c r="A37" s="33">
        <v>23</v>
      </c>
      <c r="B37" s="500" t="s">
        <v>40</v>
      </c>
      <c r="C37" s="500"/>
      <c r="D37" s="500"/>
      <c r="E37" s="500"/>
      <c r="F37" s="500"/>
      <c r="G37" s="34" t="s">
        <v>39</v>
      </c>
      <c r="H37" s="35">
        <v>22000</v>
      </c>
      <c r="I37" s="36">
        <f t="shared" si="0"/>
        <v>4180</v>
      </c>
      <c r="J37" s="37">
        <f t="shared" si="1"/>
        <v>26180</v>
      </c>
    </row>
    <row r="38" spans="1:10" ht="14.4" customHeight="1">
      <c r="A38" s="33">
        <v>24</v>
      </c>
      <c r="B38" s="500" t="s">
        <v>41</v>
      </c>
      <c r="C38" s="500"/>
      <c r="D38" s="500"/>
      <c r="E38" s="500"/>
      <c r="F38" s="500"/>
      <c r="G38" s="34" t="s">
        <v>19</v>
      </c>
      <c r="H38" s="35">
        <v>68000</v>
      </c>
      <c r="I38" s="36">
        <f t="shared" si="0"/>
        <v>12920</v>
      </c>
      <c r="J38" s="37">
        <f t="shared" si="1"/>
        <v>80920</v>
      </c>
    </row>
    <row r="39" spans="1:10" ht="14.4" customHeight="1">
      <c r="A39" s="33">
        <v>25</v>
      </c>
      <c r="B39" s="500" t="s">
        <v>42</v>
      </c>
      <c r="C39" s="500"/>
      <c r="D39" s="500"/>
      <c r="E39" s="500"/>
      <c r="F39" s="500"/>
      <c r="G39" s="34" t="s">
        <v>43</v>
      </c>
      <c r="H39" s="35">
        <v>145000</v>
      </c>
      <c r="I39" s="36">
        <f t="shared" si="0"/>
        <v>27550</v>
      </c>
      <c r="J39" s="37">
        <f t="shared" si="1"/>
        <v>172550</v>
      </c>
    </row>
    <row r="40" spans="1:10" ht="14.4" customHeight="1">
      <c r="A40" s="33">
        <v>26</v>
      </c>
      <c r="B40" s="500" t="s">
        <v>44</v>
      </c>
      <c r="C40" s="500"/>
      <c r="D40" s="500"/>
      <c r="E40" s="500"/>
      <c r="F40" s="500"/>
      <c r="G40" s="34" t="s">
        <v>45</v>
      </c>
      <c r="H40" s="35">
        <v>99000</v>
      </c>
      <c r="I40" s="36">
        <f t="shared" si="0"/>
        <v>18810</v>
      </c>
      <c r="J40" s="37">
        <f t="shared" si="1"/>
        <v>117810</v>
      </c>
    </row>
    <row r="41" spans="1:10" ht="28.2" customHeight="1">
      <c r="A41" s="33">
        <v>27</v>
      </c>
      <c r="B41" s="500" t="s">
        <v>183</v>
      </c>
      <c r="C41" s="500"/>
      <c r="D41" s="500"/>
      <c r="E41" s="500"/>
      <c r="F41" s="500"/>
      <c r="G41" s="34" t="s">
        <v>19</v>
      </c>
      <c r="H41" s="35">
        <v>2900</v>
      </c>
      <c r="I41" s="36">
        <f t="shared" si="0"/>
        <v>551</v>
      </c>
      <c r="J41" s="37">
        <f t="shared" si="1"/>
        <v>3451</v>
      </c>
    </row>
    <row r="42" spans="1:10" ht="14.4" customHeight="1">
      <c r="A42" s="33">
        <v>28</v>
      </c>
      <c r="B42" s="500" t="s">
        <v>46</v>
      </c>
      <c r="C42" s="500"/>
      <c r="D42" s="500"/>
      <c r="E42" s="500"/>
      <c r="F42" s="500"/>
      <c r="G42" s="34" t="s">
        <v>19</v>
      </c>
      <c r="H42" s="35">
        <v>12500</v>
      </c>
      <c r="I42" s="36">
        <f t="shared" si="0"/>
        <v>2375</v>
      </c>
      <c r="J42" s="37">
        <f t="shared" si="1"/>
        <v>14875</v>
      </c>
    </row>
    <row r="43" spans="1:10" ht="14.4" customHeight="1">
      <c r="A43" s="33">
        <v>29</v>
      </c>
      <c r="B43" s="500" t="s">
        <v>47</v>
      </c>
      <c r="C43" s="500"/>
      <c r="D43" s="500"/>
      <c r="E43" s="500"/>
      <c r="F43" s="500"/>
      <c r="G43" s="34" t="s">
        <v>48</v>
      </c>
      <c r="H43" s="35">
        <v>5500</v>
      </c>
      <c r="I43" s="36">
        <f t="shared" si="0"/>
        <v>1045</v>
      </c>
      <c r="J43" s="37">
        <f t="shared" si="1"/>
        <v>6545</v>
      </c>
    </row>
    <row r="44" spans="1:10" ht="14.4" customHeight="1">
      <c r="A44" s="33">
        <v>30</v>
      </c>
      <c r="B44" s="500" t="s">
        <v>49</v>
      </c>
      <c r="C44" s="500"/>
      <c r="D44" s="500"/>
      <c r="E44" s="500"/>
      <c r="F44" s="500"/>
      <c r="G44" s="34" t="s">
        <v>48</v>
      </c>
      <c r="H44" s="35">
        <v>4900</v>
      </c>
      <c r="I44" s="36">
        <f t="shared" si="0"/>
        <v>931</v>
      </c>
      <c r="J44" s="37">
        <f t="shared" si="1"/>
        <v>5831</v>
      </c>
    </row>
    <row r="45" spans="1:10" ht="14.4" customHeight="1">
      <c r="A45" s="33">
        <v>31</v>
      </c>
      <c r="B45" s="500" t="s">
        <v>50</v>
      </c>
      <c r="C45" s="500"/>
      <c r="D45" s="500"/>
      <c r="E45" s="500"/>
      <c r="F45" s="500"/>
      <c r="G45" s="34" t="s">
        <v>48</v>
      </c>
      <c r="H45" s="35">
        <v>9600</v>
      </c>
      <c r="I45" s="36">
        <f t="shared" si="0"/>
        <v>1824</v>
      </c>
      <c r="J45" s="37">
        <f t="shared" si="1"/>
        <v>11424</v>
      </c>
    </row>
    <row r="46" spans="1:10" ht="14.4" customHeight="1">
      <c r="A46" s="33">
        <v>32</v>
      </c>
      <c r="B46" s="500" t="s">
        <v>51</v>
      </c>
      <c r="C46" s="500"/>
      <c r="D46" s="500"/>
      <c r="E46" s="500"/>
      <c r="F46" s="500"/>
      <c r="G46" s="34" t="s">
        <v>48</v>
      </c>
      <c r="H46" s="35">
        <v>2200</v>
      </c>
      <c r="I46" s="36">
        <f t="shared" si="0"/>
        <v>418</v>
      </c>
      <c r="J46" s="37">
        <f t="shared" si="1"/>
        <v>2618</v>
      </c>
    </row>
    <row r="47" spans="1:10" ht="14.4" customHeight="1">
      <c r="A47" s="33">
        <v>33</v>
      </c>
      <c r="B47" s="500" t="s">
        <v>52</v>
      </c>
      <c r="C47" s="500"/>
      <c r="D47" s="500"/>
      <c r="E47" s="500"/>
      <c r="F47" s="500"/>
      <c r="G47" s="34" t="s">
        <v>48</v>
      </c>
      <c r="H47" s="35">
        <v>30500</v>
      </c>
      <c r="I47" s="36">
        <f t="shared" si="0"/>
        <v>5795</v>
      </c>
      <c r="J47" s="37">
        <f t="shared" si="1"/>
        <v>36295</v>
      </c>
    </row>
    <row r="48" spans="1:10" ht="30" customHeight="1">
      <c r="A48" s="33">
        <v>34</v>
      </c>
      <c r="B48" s="500" t="s">
        <v>184</v>
      </c>
      <c r="C48" s="500"/>
      <c r="D48" s="500"/>
      <c r="E48" s="500"/>
      <c r="F48" s="500"/>
      <c r="G48" s="34" t="s">
        <v>19</v>
      </c>
      <c r="H48" s="35">
        <v>750000</v>
      </c>
      <c r="I48" s="36">
        <f t="shared" si="0"/>
        <v>142500</v>
      </c>
      <c r="J48" s="37">
        <f t="shared" si="1"/>
        <v>892500</v>
      </c>
    </row>
    <row r="49" spans="1:10" ht="14.4" customHeight="1">
      <c r="A49" s="33">
        <v>35</v>
      </c>
      <c r="B49" s="500" t="s">
        <v>53</v>
      </c>
      <c r="C49" s="500"/>
      <c r="D49" s="500"/>
      <c r="E49" s="500"/>
      <c r="F49" s="500"/>
      <c r="G49" s="34" t="s">
        <v>54</v>
      </c>
      <c r="H49" s="35">
        <v>2500</v>
      </c>
      <c r="I49" s="36">
        <f t="shared" si="0"/>
        <v>475</v>
      </c>
      <c r="J49" s="37">
        <f t="shared" si="1"/>
        <v>2975</v>
      </c>
    </row>
    <row r="50" spans="1:10" ht="14.4" customHeight="1">
      <c r="A50" s="33">
        <v>36</v>
      </c>
      <c r="B50" s="500" t="s">
        <v>55</v>
      </c>
      <c r="C50" s="500"/>
      <c r="D50" s="500"/>
      <c r="E50" s="500"/>
      <c r="F50" s="500"/>
      <c r="G50" s="34" t="s">
        <v>56</v>
      </c>
      <c r="H50" s="35">
        <v>4900</v>
      </c>
      <c r="I50" s="36">
        <f t="shared" si="0"/>
        <v>931</v>
      </c>
      <c r="J50" s="37">
        <f t="shared" si="1"/>
        <v>5831</v>
      </c>
    </row>
    <row r="51" spans="1:10" ht="14.4" customHeight="1">
      <c r="A51" s="33">
        <v>37</v>
      </c>
      <c r="B51" s="500" t="s">
        <v>57</v>
      </c>
      <c r="C51" s="500"/>
      <c r="D51" s="500"/>
      <c r="E51" s="500"/>
      <c r="F51" s="500"/>
      <c r="G51" s="34" t="s">
        <v>33</v>
      </c>
      <c r="H51" s="35">
        <v>4900</v>
      </c>
      <c r="I51" s="36">
        <f t="shared" si="0"/>
        <v>931</v>
      </c>
      <c r="J51" s="37">
        <f t="shared" si="1"/>
        <v>5831</v>
      </c>
    </row>
    <row r="52" spans="1:10" ht="14.4" customHeight="1">
      <c r="A52" s="33">
        <v>38</v>
      </c>
      <c r="B52" s="500" t="s">
        <v>58</v>
      </c>
      <c r="C52" s="500"/>
      <c r="D52" s="500"/>
      <c r="E52" s="500"/>
      <c r="F52" s="500"/>
      <c r="G52" s="34" t="s">
        <v>19</v>
      </c>
      <c r="H52" s="35">
        <v>4600</v>
      </c>
      <c r="I52" s="36">
        <f t="shared" si="0"/>
        <v>874</v>
      </c>
      <c r="J52" s="37">
        <f t="shared" si="1"/>
        <v>5474</v>
      </c>
    </row>
    <row r="53" spans="1:10" ht="14.4" customHeight="1">
      <c r="A53" s="33">
        <v>39</v>
      </c>
      <c r="B53" s="500" t="s">
        <v>59</v>
      </c>
      <c r="C53" s="500"/>
      <c r="D53" s="500"/>
      <c r="E53" s="500"/>
      <c r="F53" s="500"/>
      <c r="G53" s="34" t="s">
        <v>56</v>
      </c>
      <c r="H53" s="35">
        <v>26900</v>
      </c>
      <c r="I53" s="36">
        <f t="shared" si="0"/>
        <v>5111</v>
      </c>
      <c r="J53" s="37">
        <f t="shared" si="1"/>
        <v>32011</v>
      </c>
    </row>
    <row r="54" spans="1:10" ht="24" customHeight="1">
      <c r="A54" s="33">
        <v>40</v>
      </c>
      <c r="B54" s="500" t="s">
        <v>185</v>
      </c>
      <c r="C54" s="500"/>
      <c r="D54" s="500"/>
      <c r="E54" s="500"/>
      <c r="F54" s="500"/>
      <c r="G54" s="34" t="s">
        <v>19</v>
      </c>
      <c r="H54" s="35">
        <v>45000</v>
      </c>
      <c r="I54" s="36">
        <f t="shared" si="0"/>
        <v>8550</v>
      </c>
      <c r="J54" s="37">
        <f t="shared" si="1"/>
        <v>53550</v>
      </c>
    </row>
    <row r="55" spans="1:10" ht="23.4" customHeight="1">
      <c r="A55" s="33">
        <v>41</v>
      </c>
      <c r="B55" s="500" t="s">
        <v>186</v>
      </c>
      <c r="C55" s="500"/>
      <c r="D55" s="500"/>
      <c r="E55" s="500"/>
      <c r="F55" s="500"/>
      <c r="G55" s="34" t="s">
        <v>19</v>
      </c>
      <c r="H55" s="35">
        <v>504000</v>
      </c>
      <c r="I55" s="36">
        <f t="shared" si="0"/>
        <v>95760</v>
      </c>
      <c r="J55" s="37">
        <f t="shared" si="1"/>
        <v>599760</v>
      </c>
    </row>
    <row r="56" spans="1:10" ht="14.4" customHeight="1">
      <c r="A56" s="33">
        <v>42</v>
      </c>
      <c r="B56" s="500" t="s">
        <v>60</v>
      </c>
      <c r="C56" s="500"/>
      <c r="D56" s="500"/>
      <c r="E56" s="500"/>
      <c r="F56" s="500"/>
      <c r="G56" s="34" t="s">
        <v>19</v>
      </c>
      <c r="H56" s="35">
        <v>160000</v>
      </c>
      <c r="I56" s="36">
        <f t="shared" si="0"/>
        <v>30400</v>
      </c>
      <c r="J56" s="37">
        <f t="shared" si="1"/>
        <v>190400</v>
      </c>
    </row>
    <row r="57" spans="1:10" ht="14.4" customHeight="1">
      <c r="A57" s="33">
        <v>43</v>
      </c>
      <c r="B57" s="500" t="s">
        <v>61</v>
      </c>
      <c r="C57" s="500"/>
      <c r="D57" s="500"/>
      <c r="E57" s="500"/>
      <c r="F57" s="500"/>
      <c r="G57" s="34" t="s">
        <v>19</v>
      </c>
      <c r="H57" s="35">
        <v>910000</v>
      </c>
      <c r="I57" s="36">
        <f t="shared" si="0"/>
        <v>172900</v>
      </c>
      <c r="J57" s="37">
        <f t="shared" si="1"/>
        <v>1082900</v>
      </c>
    </row>
    <row r="58" spans="1:10" ht="24.6" customHeight="1">
      <c r="A58" s="33">
        <v>44</v>
      </c>
      <c r="B58" s="500" t="s">
        <v>62</v>
      </c>
      <c r="C58" s="500"/>
      <c r="D58" s="500"/>
      <c r="E58" s="500"/>
      <c r="F58" s="500"/>
      <c r="G58" s="34" t="s">
        <v>63</v>
      </c>
      <c r="H58" s="35">
        <v>80000</v>
      </c>
      <c r="I58" s="36">
        <f t="shared" si="0"/>
        <v>15200</v>
      </c>
      <c r="J58" s="37">
        <f t="shared" si="1"/>
        <v>95200</v>
      </c>
    </row>
    <row r="59" spans="1:10" ht="14.4" customHeight="1">
      <c r="A59" s="33">
        <v>45</v>
      </c>
      <c r="B59" s="500" t="s">
        <v>64</v>
      </c>
      <c r="C59" s="500"/>
      <c r="D59" s="500"/>
      <c r="E59" s="500"/>
      <c r="F59" s="500"/>
      <c r="G59" s="34" t="s">
        <v>39</v>
      </c>
      <c r="H59" s="35">
        <v>7400</v>
      </c>
      <c r="I59" s="36">
        <f t="shared" si="0"/>
        <v>1406</v>
      </c>
      <c r="J59" s="37">
        <f t="shared" si="1"/>
        <v>8806</v>
      </c>
    </row>
    <row r="60" spans="1:10" ht="14.4" customHeight="1">
      <c r="A60" s="33">
        <v>46</v>
      </c>
      <c r="B60" s="500" t="s">
        <v>65</v>
      </c>
      <c r="C60" s="500"/>
      <c r="D60" s="500"/>
      <c r="E60" s="500"/>
      <c r="F60" s="500"/>
      <c r="G60" s="34" t="s">
        <v>43</v>
      </c>
      <c r="H60" s="35">
        <v>10500</v>
      </c>
      <c r="I60" s="36">
        <f t="shared" si="0"/>
        <v>1995</v>
      </c>
      <c r="J60" s="37">
        <f t="shared" si="1"/>
        <v>12495</v>
      </c>
    </row>
    <row r="61" spans="1:10" ht="14.4" customHeight="1">
      <c r="A61" s="33">
        <v>47</v>
      </c>
      <c r="B61" s="500" t="s">
        <v>66</v>
      </c>
      <c r="C61" s="500"/>
      <c r="D61" s="500"/>
      <c r="E61" s="500"/>
      <c r="F61" s="500"/>
      <c r="G61" s="34" t="s">
        <v>39</v>
      </c>
      <c r="H61" s="35">
        <v>18500</v>
      </c>
      <c r="I61" s="36">
        <f t="shared" si="0"/>
        <v>3515</v>
      </c>
      <c r="J61" s="37">
        <f t="shared" si="1"/>
        <v>22015</v>
      </c>
    </row>
    <row r="62" spans="1:10" ht="14.4" customHeight="1">
      <c r="A62" s="33">
        <v>48</v>
      </c>
      <c r="B62" s="500" t="s">
        <v>67</v>
      </c>
      <c r="C62" s="500"/>
      <c r="D62" s="500"/>
      <c r="E62" s="500"/>
      <c r="F62" s="500"/>
      <c r="G62" s="34" t="s">
        <v>39</v>
      </c>
      <c r="H62" s="35">
        <v>19800</v>
      </c>
      <c r="I62" s="36">
        <f t="shared" si="0"/>
        <v>3762</v>
      </c>
      <c r="J62" s="37">
        <f t="shared" si="1"/>
        <v>23562</v>
      </c>
    </row>
    <row r="63" spans="1:10" ht="26.7" customHeight="1">
      <c r="A63" s="33">
        <v>49</v>
      </c>
      <c r="B63" s="500" t="s">
        <v>187</v>
      </c>
      <c r="C63" s="500"/>
      <c r="D63" s="500"/>
      <c r="E63" s="500"/>
      <c r="F63" s="500"/>
      <c r="G63" s="34" t="s">
        <v>68</v>
      </c>
      <c r="H63" s="35">
        <v>4900</v>
      </c>
      <c r="I63" s="36">
        <f t="shared" si="0"/>
        <v>931</v>
      </c>
      <c r="J63" s="37">
        <f t="shared" si="1"/>
        <v>5831</v>
      </c>
    </row>
    <row r="64" spans="1:10" ht="14.4" customHeight="1">
      <c r="A64" s="33">
        <v>50</v>
      </c>
      <c r="B64" s="500" t="s">
        <v>69</v>
      </c>
      <c r="C64" s="500"/>
      <c r="D64" s="500"/>
      <c r="E64" s="500"/>
      <c r="F64" s="500"/>
      <c r="G64" s="34" t="s">
        <v>70</v>
      </c>
      <c r="H64" s="35">
        <v>6500</v>
      </c>
      <c r="I64" s="36">
        <f t="shared" si="0"/>
        <v>1235</v>
      </c>
      <c r="J64" s="37">
        <f t="shared" si="1"/>
        <v>7735</v>
      </c>
    </row>
    <row r="65" spans="1:10" ht="14.4" customHeight="1">
      <c r="A65" s="33">
        <v>51</v>
      </c>
      <c r="B65" s="500" t="s">
        <v>71</v>
      </c>
      <c r="C65" s="500"/>
      <c r="D65" s="500"/>
      <c r="E65" s="500"/>
      <c r="F65" s="500"/>
      <c r="G65" s="34" t="s">
        <v>54</v>
      </c>
      <c r="H65" s="35">
        <v>180000</v>
      </c>
      <c r="I65" s="36">
        <f t="shared" si="0"/>
        <v>34200</v>
      </c>
      <c r="J65" s="37">
        <f t="shared" si="1"/>
        <v>214200</v>
      </c>
    </row>
    <row r="66" spans="1:10" ht="24" customHeight="1">
      <c r="A66" s="33">
        <v>52</v>
      </c>
      <c r="B66" s="500" t="s">
        <v>188</v>
      </c>
      <c r="C66" s="500"/>
      <c r="D66" s="500"/>
      <c r="E66" s="500"/>
      <c r="F66" s="500"/>
      <c r="G66" s="34" t="s">
        <v>72</v>
      </c>
      <c r="H66" s="35">
        <v>2800</v>
      </c>
      <c r="I66" s="36">
        <f t="shared" si="0"/>
        <v>532</v>
      </c>
      <c r="J66" s="37">
        <f t="shared" si="1"/>
        <v>3332</v>
      </c>
    </row>
    <row r="67" spans="1:10" ht="20.100000000000001" customHeight="1">
      <c r="A67" s="33">
        <v>53</v>
      </c>
      <c r="B67" s="500" t="s">
        <v>73</v>
      </c>
      <c r="C67" s="500"/>
      <c r="D67" s="500"/>
      <c r="E67" s="500"/>
      <c r="F67" s="500"/>
      <c r="G67" s="34" t="s">
        <v>19</v>
      </c>
      <c r="H67" s="35">
        <v>130000</v>
      </c>
      <c r="I67" s="36">
        <f t="shared" si="0"/>
        <v>24700</v>
      </c>
      <c r="J67" s="37">
        <f t="shared" si="1"/>
        <v>154700</v>
      </c>
    </row>
    <row r="68" spans="1:10" ht="48.75" customHeight="1">
      <c r="A68" s="33">
        <v>54</v>
      </c>
      <c r="B68" s="500" t="s">
        <v>74</v>
      </c>
      <c r="C68" s="500"/>
      <c r="D68" s="500"/>
      <c r="E68" s="500"/>
      <c r="F68" s="500"/>
      <c r="G68" s="34" t="s">
        <v>56</v>
      </c>
      <c r="H68" s="35">
        <v>14900</v>
      </c>
      <c r="I68" s="36">
        <f>H68*0</f>
        <v>0</v>
      </c>
      <c r="J68" s="37">
        <f t="shared" si="1"/>
        <v>14900</v>
      </c>
    </row>
    <row r="69" spans="1:10" ht="51" customHeight="1">
      <c r="A69" s="33">
        <v>55</v>
      </c>
      <c r="B69" s="500" t="s">
        <v>75</v>
      </c>
      <c r="C69" s="500"/>
      <c r="D69" s="500"/>
      <c r="E69" s="500"/>
      <c r="F69" s="500"/>
      <c r="G69" s="34" t="s">
        <v>56</v>
      </c>
      <c r="H69" s="35">
        <v>14500</v>
      </c>
      <c r="I69" s="36">
        <f>H69*0</f>
        <v>0</v>
      </c>
      <c r="J69" s="37">
        <f t="shared" si="1"/>
        <v>14500</v>
      </c>
    </row>
    <row r="70" spans="1:10" ht="14.4" customHeight="1">
      <c r="A70" s="33">
        <v>56</v>
      </c>
      <c r="B70" s="500" t="s">
        <v>76</v>
      </c>
      <c r="C70" s="500"/>
      <c r="D70" s="500"/>
      <c r="E70" s="500"/>
      <c r="F70" s="500"/>
      <c r="G70" s="34" t="s">
        <v>77</v>
      </c>
      <c r="H70" s="35">
        <v>21000</v>
      </c>
      <c r="I70" s="36">
        <f t="shared" ref="I70:I91" si="2">H70*0.19</f>
        <v>3990</v>
      </c>
      <c r="J70" s="37">
        <f t="shared" si="1"/>
        <v>24990</v>
      </c>
    </row>
    <row r="71" spans="1:10" ht="14.4" customHeight="1">
      <c r="A71" s="33">
        <v>57</v>
      </c>
      <c r="B71" s="500" t="s">
        <v>78</v>
      </c>
      <c r="C71" s="500"/>
      <c r="D71" s="500"/>
      <c r="E71" s="500"/>
      <c r="F71" s="500"/>
      <c r="G71" s="34" t="s">
        <v>77</v>
      </c>
      <c r="H71" s="35">
        <v>21000</v>
      </c>
      <c r="I71" s="36">
        <f t="shared" si="2"/>
        <v>3990</v>
      </c>
      <c r="J71" s="37">
        <f t="shared" si="1"/>
        <v>24990</v>
      </c>
    </row>
    <row r="72" spans="1:10" ht="14.4" customHeight="1">
      <c r="A72" s="33">
        <v>58</v>
      </c>
      <c r="B72" s="500" t="s">
        <v>79</v>
      </c>
      <c r="C72" s="500"/>
      <c r="D72" s="500"/>
      <c r="E72" s="500"/>
      <c r="F72" s="500"/>
      <c r="G72" s="34" t="s">
        <v>77</v>
      </c>
      <c r="H72" s="35">
        <v>29500</v>
      </c>
      <c r="I72" s="36">
        <f t="shared" si="2"/>
        <v>5605</v>
      </c>
      <c r="J72" s="37">
        <f t="shared" si="1"/>
        <v>35105</v>
      </c>
    </row>
    <row r="73" spans="1:10" ht="14.4" customHeight="1">
      <c r="A73" s="33">
        <v>59</v>
      </c>
      <c r="B73" s="500" t="s">
        <v>80</v>
      </c>
      <c r="C73" s="500"/>
      <c r="D73" s="500"/>
      <c r="E73" s="500"/>
      <c r="F73" s="500"/>
      <c r="G73" s="34" t="s">
        <v>77</v>
      </c>
      <c r="H73" s="35">
        <v>29500</v>
      </c>
      <c r="I73" s="36">
        <f t="shared" si="2"/>
        <v>5605</v>
      </c>
      <c r="J73" s="37">
        <f t="shared" si="1"/>
        <v>35105</v>
      </c>
    </row>
    <row r="74" spans="1:10" ht="60.75" customHeight="1">
      <c r="A74" s="33">
        <v>60</v>
      </c>
      <c r="B74" s="500" t="s">
        <v>189</v>
      </c>
      <c r="C74" s="500"/>
      <c r="D74" s="500"/>
      <c r="E74" s="500"/>
      <c r="F74" s="500"/>
      <c r="G74" s="34" t="s">
        <v>77</v>
      </c>
      <c r="H74" s="35">
        <v>20000</v>
      </c>
      <c r="I74" s="36">
        <f t="shared" si="2"/>
        <v>3800</v>
      </c>
      <c r="J74" s="37">
        <f t="shared" si="1"/>
        <v>23800</v>
      </c>
    </row>
    <row r="75" spans="1:10" ht="14.4" customHeight="1">
      <c r="A75" s="33">
        <v>61</v>
      </c>
      <c r="B75" s="500" t="s">
        <v>82</v>
      </c>
      <c r="C75" s="500"/>
      <c r="D75" s="500"/>
      <c r="E75" s="500"/>
      <c r="F75" s="500"/>
      <c r="G75" s="34" t="s">
        <v>19</v>
      </c>
      <c r="H75" s="35">
        <v>36000</v>
      </c>
      <c r="I75" s="36">
        <f t="shared" si="2"/>
        <v>6840</v>
      </c>
      <c r="J75" s="37">
        <f t="shared" si="1"/>
        <v>42840</v>
      </c>
    </row>
    <row r="76" spans="1:10" ht="14.4" customHeight="1">
      <c r="A76" s="33">
        <v>62</v>
      </c>
      <c r="B76" s="500" t="s">
        <v>83</v>
      </c>
      <c r="C76" s="500"/>
      <c r="D76" s="500"/>
      <c r="E76" s="500"/>
      <c r="F76" s="500"/>
      <c r="G76" s="34" t="s">
        <v>19</v>
      </c>
      <c r="H76" s="35">
        <v>48000</v>
      </c>
      <c r="I76" s="36">
        <f t="shared" si="2"/>
        <v>9120</v>
      </c>
      <c r="J76" s="37">
        <f t="shared" si="1"/>
        <v>57120</v>
      </c>
    </row>
    <row r="77" spans="1:10" ht="14.4" customHeight="1">
      <c r="A77" s="33">
        <v>63</v>
      </c>
      <c r="B77" s="500" t="s">
        <v>84</v>
      </c>
      <c r="C77" s="500"/>
      <c r="D77" s="500"/>
      <c r="E77" s="500"/>
      <c r="F77" s="500"/>
      <c r="G77" s="34" t="s">
        <v>19</v>
      </c>
      <c r="H77" s="35">
        <v>65000</v>
      </c>
      <c r="I77" s="36">
        <f t="shared" si="2"/>
        <v>12350</v>
      </c>
      <c r="J77" s="37">
        <f t="shared" si="1"/>
        <v>77350</v>
      </c>
    </row>
    <row r="78" spans="1:10" ht="22.65" customHeight="1">
      <c r="A78" s="33">
        <v>64</v>
      </c>
      <c r="B78" s="500" t="s">
        <v>190</v>
      </c>
      <c r="C78" s="500"/>
      <c r="D78" s="500"/>
      <c r="E78" s="500"/>
      <c r="F78" s="500"/>
      <c r="G78" s="34" t="s">
        <v>77</v>
      </c>
      <c r="H78" s="35">
        <v>20500</v>
      </c>
      <c r="I78" s="36">
        <f t="shared" si="2"/>
        <v>3895</v>
      </c>
      <c r="J78" s="37">
        <f t="shared" si="1"/>
        <v>24395</v>
      </c>
    </row>
    <row r="79" spans="1:10" ht="14.4" customHeight="1">
      <c r="A79" s="33">
        <v>65</v>
      </c>
      <c r="B79" s="500" t="s">
        <v>85</v>
      </c>
      <c r="C79" s="500"/>
      <c r="D79" s="500"/>
      <c r="E79" s="500"/>
      <c r="F79" s="500"/>
      <c r="G79" s="34" t="s">
        <v>77</v>
      </c>
      <c r="H79" s="35">
        <v>20500</v>
      </c>
      <c r="I79" s="36">
        <f t="shared" si="2"/>
        <v>3895</v>
      </c>
      <c r="J79" s="37">
        <f t="shared" ref="J79:J136" si="3">I79+H79</f>
        <v>24395</v>
      </c>
    </row>
    <row r="80" spans="1:10" ht="14.4" customHeight="1">
      <c r="A80" s="33">
        <v>66</v>
      </c>
      <c r="B80" s="500" t="s">
        <v>86</v>
      </c>
      <c r="C80" s="500"/>
      <c r="D80" s="500"/>
      <c r="E80" s="500"/>
      <c r="F80" s="500"/>
      <c r="G80" s="34" t="s">
        <v>19</v>
      </c>
      <c r="H80" s="35">
        <v>1500</v>
      </c>
      <c r="I80" s="36">
        <f t="shared" si="2"/>
        <v>285</v>
      </c>
      <c r="J80" s="37">
        <f t="shared" si="3"/>
        <v>1785</v>
      </c>
    </row>
    <row r="81" spans="1:10" ht="27" customHeight="1">
      <c r="A81" s="33">
        <v>67</v>
      </c>
      <c r="B81" s="500" t="s">
        <v>191</v>
      </c>
      <c r="C81" s="500"/>
      <c r="D81" s="500"/>
      <c r="E81" s="500"/>
      <c r="F81" s="500"/>
      <c r="G81" s="34" t="s">
        <v>19</v>
      </c>
      <c r="H81" s="35">
        <v>1400</v>
      </c>
      <c r="I81" s="36">
        <f t="shared" si="2"/>
        <v>266</v>
      </c>
      <c r="J81" s="37">
        <f t="shared" si="3"/>
        <v>1666</v>
      </c>
    </row>
    <row r="82" spans="1:10" ht="29.25" customHeight="1">
      <c r="A82" s="33">
        <v>68</v>
      </c>
      <c r="B82" s="500" t="s">
        <v>192</v>
      </c>
      <c r="C82" s="500"/>
      <c r="D82" s="500"/>
      <c r="E82" s="500"/>
      <c r="F82" s="500"/>
      <c r="G82" s="34" t="s">
        <v>19</v>
      </c>
      <c r="H82" s="35">
        <v>1400</v>
      </c>
      <c r="I82" s="36">
        <f t="shared" si="2"/>
        <v>266</v>
      </c>
      <c r="J82" s="37">
        <f t="shared" si="3"/>
        <v>1666</v>
      </c>
    </row>
    <row r="83" spans="1:10" ht="30" customHeight="1">
      <c r="A83" s="33">
        <v>69</v>
      </c>
      <c r="B83" s="500" t="s">
        <v>193</v>
      </c>
      <c r="C83" s="500"/>
      <c r="D83" s="500"/>
      <c r="E83" s="500"/>
      <c r="F83" s="500"/>
      <c r="G83" s="34" t="s">
        <v>87</v>
      </c>
      <c r="H83" s="35">
        <v>4200</v>
      </c>
      <c r="I83" s="36">
        <f t="shared" si="2"/>
        <v>798</v>
      </c>
      <c r="J83" s="37">
        <f t="shared" si="3"/>
        <v>4998</v>
      </c>
    </row>
    <row r="84" spans="1:10" ht="23.25" customHeight="1">
      <c r="A84" s="33">
        <v>70</v>
      </c>
      <c r="B84" s="500" t="s">
        <v>88</v>
      </c>
      <c r="C84" s="500"/>
      <c r="D84" s="500"/>
      <c r="E84" s="500"/>
      <c r="F84" s="500"/>
      <c r="G84" s="34" t="s">
        <v>87</v>
      </c>
      <c r="H84" s="35">
        <v>3500</v>
      </c>
      <c r="I84" s="36">
        <f t="shared" si="2"/>
        <v>665</v>
      </c>
      <c r="J84" s="37">
        <f t="shared" si="3"/>
        <v>4165</v>
      </c>
    </row>
    <row r="85" spans="1:10" ht="14.4" customHeight="1">
      <c r="A85" s="33">
        <v>71</v>
      </c>
      <c r="B85" s="508" t="s">
        <v>194</v>
      </c>
      <c r="C85" s="508"/>
      <c r="D85" s="508"/>
      <c r="E85" s="508"/>
      <c r="F85" s="508"/>
      <c r="G85" s="34" t="s">
        <v>19</v>
      </c>
      <c r="H85" s="35">
        <v>21900</v>
      </c>
      <c r="I85" s="36">
        <f t="shared" si="2"/>
        <v>4161</v>
      </c>
      <c r="J85" s="37">
        <f t="shared" si="3"/>
        <v>26061</v>
      </c>
    </row>
    <row r="86" spans="1:10" ht="24" customHeight="1">
      <c r="A86" s="33">
        <v>72</v>
      </c>
      <c r="B86" s="500" t="s">
        <v>195</v>
      </c>
      <c r="C86" s="500"/>
      <c r="D86" s="500"/>
      <c r="E86" s="500"/>
      <c r="F86" s="500"/>
      <c r="G86" s="34" t="s">
        <v>89</v>
      </c>
      <c r="H86" s="35">
        <v>210000</v>
      </c>
      <c r="I86" s="36">
        <f t="shared" si="2"/>
        <v>39900</v>
      </c>
      <c r="J86" s="37">
        <f t="shared" si="3"/>
        <v>249900</v>
      </c>
    </row>
    <row r="87" spans="1:10" ht="24" customHeight="1">
      <c r="A87" s="33">
        <v>73</v>
      </c>
      <c r="B87" s="500" t="s">
        <v>196</v>
      </c>
      <c r="C87" s="500"/>
      <c r="D87" s="500"/>
      <c r="E87" s="500"/>
      <c r="F87" s="500"/>
      <c r="G87" s="34" t="s">
        <v>89</v>
      </c>
      <c r="H87" s="35">
        <v>248000</v>
      </c>
      <c r="I87" s="36">
        <f t="shared" si="2"/>
        <v>47120</v>
      </c>
      <c r="J87" s="37">
        <f t="shared" si="3"/>
        <v>295120</v>
      </c>
    </row>
    <row r="88" spans="1:10" ht="27.6" customHeight="1">
      <c r="A88" s="33">
        <v>74</v>
      </c>
      <c r="B88" s="500" t="s">
        <v>197</v>
      </c>
      <c r="C88" s="500"/>
      <c r="D88" s="500"/>
      <c r="E88" s="500"/>
      <c r="F88" s="500"/>
      <c r="G88" s="34" t="s">
        <v>90</v>
      </c>
      <c r="H88" s="35">
        <v>110000</v>
      </c>
      <c r="I88" s="36">
        <f t="shared" si="2"/>
        <v>20900</v>
      </c>
      <c r="J88" s="37">
        <f t="shared" si="3"/>
        <v>130900</v>
      </c>
    </row>
    <row r="89" spans="1:10" ht="14.4" customHeight="1">
      <c r="A89" s="33">
        <v>75</v>
      </c>
      <c r="B89" s="500" t="s">
        <v>198</v>
      </c>
      <c r="C89" s="500"/>
      <c r="D89" s="500"/>
      <c r="E89" s="500"/>
      <c r="F89" s="500"/>
      <c r="G89" s="34" t="s">
        <v>39</v>
      </c>
      <c r="H89" s="35">
        <v>78000</v>
      </c>
      <c r="I89" s="36">
        <f t="shared" si="2"/>
        <v>14820</v>
      </c>
      <c r="J89" s="37">
        <f t="shared" si="3"/>
        <v>92820</v>
      </c>
    </row>
    <row r="90" spans="1:10" ht="19.5" customHeight="1">
      <c r="A90" s="33">
        <v>76</v>
      </c>
      <c r="B90" s="500" t="s">
        <v>92</v>
      </c>
      <c r="C90" s="500"/>
      <c r="D90" s="500"/>
      <c r="E90" s="500"/>
      <c r="F90" s="500"/>
      <c r="G90" s="34" t="s">
        <v>93</v>
      </c>
      <c r="H90" s="35">
        <v>69000</v>
      </c>
      <c r="I90" s="36">
        <f t="shared" si="2"/>
        <v>13110</v>
      </c>
      <c r="J90" s="37">
        <f t="shared" si="3"/>
        <v>82110</v>
      </c>
    </row>
    <row r="91" spans="1:10" ht="21" customHeight="1">
      <c r="A91" s="33">
        <v>77</v>
      </c>
      <c r="B91" s="500" t="s">
        <v>199</v>
      </c>
      <c r="C91" s="500"/>
      <c r="D91" s="500"/>
      <c r="E91" s="500"/>
      <c r="F91" s="500"/>
      <c r="G91" s="34" t="s">
        <v>48</v>
      </c>
      <c r="H91" s="35">
        <v>89000</v>
      </c>
      <c r="I91" s="36">
        <f t="shared" si="2"/>
        <v>16910</v>
      </c>
      <c r="J91" s="37">
        <f t="shared" si="3"/>
        <v>105910</v>
      </c>
    </row>
    <row r="92" spans="1:10" ht="22.2" customHeight="1">
      <c r="A92" s="33">
        <v>78</v>
      </c>
      <c r="B92" s="500" t="s">
        <v>94</v>
      </c>
      <c r="C92" s="500"/>
      <c r="D92" s="500"/>
      <c r="E92" s="500"/>
      <c r="F92" s="500"/>
      <c r="G92" s="34" t="s">
        <v>95</v>
      </c>
      <c r="H92" s="35">
        <v>600</v>
      </c>
      <c r="I92" s="36">
        <f>H92*0</f>
        <v>0</v>
      </c>
      <c r="J92" s="37">
        <f t="shared" si="3"/>
        <v>600</v>
      </c>
    </row>
    <row r="93" spans="1:10" ht="27" customHeight="1">
      <c r="A93" s="33">
        <v>79</v>
      </c>
      <c r="B93" s="500" t="s">
        <v>96</v>
      </c>
      <c r="C93" s="500"/>
      <c r="D93" s="500"/>
      <c r="E93" s="500"/>
      <c r="F93" s="500"/>
      <c r="G93" s="34" t="s">
        <v>19</v>
      </c>
      <c r="H93" s="35">
        <v>5500</v>
      </c>
      <c r="I93" s="36">
        <f t="shared" ref="I93:I136" si="4">H93*0.19</f>
        <v>1045</v>
      </c>
      <c r="J93" s="37">
        <f t="shared" si="3"/>
        <v>6545</v>
      </c>
    </row>
    <row r="94" spans="1:10" ht="36" customHeight="1">
      <c r="A94" s="33">
        <v>80</v>
      </c>
      <c r="B94" s="500" t="s">
        <v>97</v>
      </c>
      <c r="C94" s="500"/>
      <c r="D94" s="500"/>
      <c r="E94" s="500"/>
      <c r="F94" s="500"/>
      <c r="G94" s="34" t="s">
        <v>19</v>
      </c>
      <c r="H94" s="35">
        <v>8500</v>
      </c>
      <c r="I94" s="36">
        <f t="shared" si="4"/>
        <v>1615</v>
      </c>
      <c r="J94" s="37">
        <f t="shared" si="3"/>
        <v>10115</v>
      </c>
    </row>
    <row r="95" spans="1:10" ht="30" customHeight="1">
      <c r="A95" s="33">
        <v>81</v>
      </c>
      <c r="B95" s="500" t="s">
        <v>98</v>
      </c>
      <c r="C95" s="500"/>
      <c r="D95" s="500"/>
      <c r="E95" s="500"/>
      <c r="F95" s="500"/>
      <c r="G95" s="34" t="s">
        <v>19</v>
      </c>
      <c r="H95" s="35">
        <v>16500</v>
      </c>
      <c r="I95" s="36">
        <f t="shared" si="4"/>
        <v>3135</v>
      </c>
      <c r="J95" s="37">
        <f t="shared" si="3"/>
        <v>19635</v>
      </c>
    </row>
    <row r="96" spans="1:10" ht="30" customHeight="1">
      <c r="A96" s="33">
        <v>82</v>
      </c>
      <c r="B96" s="500" t="s">
        <v>99</v>
      </c>
      <c r="C96" s="500"/>
      <c r="D96" s="500"/>
      <c r="E96" s="500"/>
      <c r="F96" s="500"/>
      <c r="G96" s="34" t="s">
        <v>19</v>
      </c>
      <c r="H96" s="35">
        <v>118000</v>
      </c>
      <c r="I96" s="36">
        <f t="shared" si="4"/>
        <v>22420</v>
      </c>
      <c r="J96" s="37">
        <f t="shared" si="3"/>
        <v>140420</v>
      </c>
    </row>
    <row r="97" spans="1:10" ht="14.4" customHeight="1">
      <c r="A97" s="33">
        <v>83</v>
      </c>
      <c r="B97" s="500" t="s">
        <v>100</v>
      </c>
      <c r="C97" s="500"/>
      <c r="D97" s="500"/>
      <c r="E97" s="500"/>
      <c r="F97" s="500"/>
      <c r="G97" s="34" t="s">
        <v>19</v>
      </c>
      <c r="H97" s="35">
        <v>80000</v>
      </c>
      <c r="I97" s="36">
        <f t="shared" si="4"/>
        <v>15200</v>
      </c>
      <c r="J97" s="37">
        <f t="shared" si="3"/>
        <v>95200</v>
      </c>
    </row>
    <row r="98" spans="1:10" ht="14.4" customHeight="1">
      <c r="A98" s="33">
        <v>84</v>
      </c>
      <c r="B98" s="500" t="s">
        <v>101</v>
      </c>
      <c r="C98" s="500"/>
      <c r="D98" s="500"/>
      <c r="E98" s="500"/>
      <c r="F98" s="500"/>
      <c r="G98" s="34" t="s">
        <v>102</v>
      </c>
      <c r="H98" s="35">
        <v>5600</v>
      </c>
      <c r="I98" s="36">
        <f t="shared" si="4"/>
        <v>1064</v>
      </c>
      <c r="J98" s="37">
        <f t="shared" si="3"/>
        <v>6664</v>
      </c>
    </row>
    <row r="99" spans="1:10" ht="14.4" customHeight="1">
      <c r="A99" s="33">
        <v>85</v>
      </c>
      <c r="B99" s="500" t="s">
        <v>103</v>
      </c>
      <c r="C99" s="500"/>
      <c r="D99" s="500"/>
      <c r="E99" s="500"/>
      <c r="F99" s="500"/>
      <c r="G99" s="34" t="s">
        <v>102</v>
      </c>
      <c r="H99" s="35">
        <v>5600</v>
      </c>
      <c r="I99" s="36">
        <f t="shared" si="4"/>
        <v>1064</v>
      </c>
      <c r="J99" s="37">
        <f t="shared" si="3"/>
        <v>6664</v>
      </c>
    </row>
    <row r="100" spans="1:10" ht="14.4" customHeight="1">
      <c r="A100" s="33">
        <v>86</v>
      </c>
      <c r="B100" s="500" t="s">
        <v>104</v>
      </c>
      <c r="C100" s="500"/>
      <c r="D100" s="500"/>
      <c r="E100" s="500"/>
      <c r="F100" s="500"/>
      <c r="G100" s="34" t="s">
        <v>102</v>
      </c>
      <c r="H100" s="35">
        <v>28000</v>
      </c>
      <c r="I100" s="36">
        <f t="shared" si="4"/>
        <v>5320</v>
      </c>
      <c r="J100" s="37">
        <f t="shared" si="3"/>
        <v>33320</v>
      </c>
    </row>
    <row r="101" spans="1:10" ht="14.4" customHeight="1">
      <c r="A101" s="33">
        <v>87</v>
      </c>
      <c r="B101" s="500" t="s">
        <v>105</v>
      </c>
      <c r="C101" s="500"/>
      <c r="D101" s="500"/>
      <c r="E101" s="500"/>
      <c r="F101" s="500"/>
      <c r="G101" s="34" t="s">
        <v>102</v>
      </c>
      <c r="H101" s="35">
        <v>19500</v>
      </c>
      <c r="I101" s="36">
        <f t="shared" si="4"/>
        <v>3705</v>
      </c>
      <c r="J101" s="37">
        <f t="shared" si="3"/>
        <v>23205</v>
      </c>
    </row>
    <row r="102" spans="1:10" ht="14.4" customHeight="1">
      <c r="A102" s="33">
        <v>88</v>
      </c>
      <c r="B102" s="500" t="s">
        <v>106</v>
      </c>
      <c r="C102" s="500"/>
      <c r="D102" s="500"/>
      <c r="E102" s="500"/>
      <c r="F102" s="500"/>
      <c r="G102" s="34" t="s">
        <v>102</v>
      </c>
      <c r="H102" s="35">
        <v>16500</v>
      </c>
      <c r="I102" s="36">
        <f t="shared" si="4"/>
        <v>3135</v>
      </c>
      <c r="J102" s="37">
        <f t="shared" si="3"/>
        <v>19635</v>
      </c>
    </row>
    <row r="103" spans="1:10" ht="14.4" customHeight="1">
      <c r="A103" s="33">
        <v>89</v>
      </c>
      <c r="B103" s="500" t="s">
        <v>107</v>
      </c>
      <c r="C103" s="500"/>
      <c r="D103" s="500"/>
      <c r="E103" s="500"/>
      <c r="F103" s="500"/>
      <c r="G103" s="34" t="s">
        <v>19</v>
      </c>
      <c r="H103" s="35">
        <v>2400</v>
      </c>
      <c r="I103" s="36">
        <f t="shared" si="4"/>
        <v>456</v>
      </c>
      <c r="J103" s="37">
        <f t="shared" si="3"/>
        <v>2856</v>
      </c>
    </row>
    <row r="104" spans="1:10" ht="33" customHeight="1">
      <c r="A104" s="33">
        <v>90</v>
      </c>
      <c r="B104" s="500" t="s">
        <v>108</v>
      </c>
      <c r="C104" s="500"/>
      <c r="D104" s="500"/>
      <c r="E104" s="500"/>
      <c r="F104" s="500"/>
      <c r="G104" s="34" t="s">
        <v>19</v>
      </c>
      <c r="H104" s="35">
        <v>2300</v>
      </c>
      <c r="I104" s="36">
        <f t="shared" si="4"/>
        <v>437</v>
      </c>
      <c r="J104" s="37">
        <f t="shared" si="3"/>
        <v>2737</v>
      </c>
    </row>
    <row r="105" spans="1:10" ht="29.4" customHeight="1">
      <c r="A105" s="33">
        <v>91</v>
      </c>
      <c r="B105" s="500" t="s">
        <v>200</v>
      </c>
      <c r="C105" s="500"/>
      <c r="D105" s="500"/>
      <c r="E105" s="500"/>
      <c r="F105" s="500"/>
      <c r="G105" s="34" t="s">
        <v>19</v>
      </c>
      <c r="H105" s="35">
        <v>2300</v>
      </c>
      <c r="I105" s="36">
        <f t="shared" si="4"/>
        <v>437</v>
      </c>
      <c r="J105" s="37">
        <f t="shared" si="3"/>
        <v>2737</v>
      </c>
    </row>
    <row r="106" spans="1:10" ht="31.95" customHeight="1">
      <c r="A106" s="33">
        <v>92</v>
      </c>
      <c r="B106" s="500" t="s">
        <v>109</v>
      </c>
      <c r="C106" s="500"/>
      <c r="D106" s="500"/>
      <c r="E106" s="500"/>
      <c r="F106" s="500"/>
      <c r="G106" s="34" t="s">
        <v>19</v>
      </c>
      <c r="H106" s="35">
        <v>1000</v>
      </c>
      <c r="I106" s="36">
        <f t="shared" si="4"/>
        <v>190</v>
      </c>
      <c r="J106" s="37">
        <f t="shared" si="3"/>
        <v>1190</v>
      </c>
    </row>
    <row r="107" spans="1:10" ht="14.4" customHeight="1">
      <c r="A107" s="33">
        <v>93</v>
      </c>
      <c r="B107" s="500" t="s">
        <v>110</v>
      </c>
      <c r="C107" s="500"/>
      <c r="D107" s="500"/>
      <c r="E107" s="500"/>
      <c r="F107" s="500"/>
      <c r="G107" s="34" t="s">
        <v>77</v>
      </c>
      <c r="H107" s="35">
        <v>19500</v>
      </c>
      <c r="I107" s="36">
        <f t="shared" si="4"/>
        <v>3705</v>
      </c>
      <c r="J107" s="37">
        <f t="shared" si="3"/>
        <v>23205</v>
      </c>
    </row>
    <row r="108" spans="1:10" ht="14.4" customHeight="1">
      <c r="A108" s="33">
        <v>94</v>
      </c>
      <c r="B108" s="500" t="s">
        <v>111</v>
      </c>
      <c r="C108" s="500"/>
      <c r="D108" s="500"/>
      <c r="E108" s="500"/>
      <c r="F108" s="500"/>
      <c r="G108" s="34" t="s">
        <v>19</v>
      </c>
      <c r="H108" s="35">
        <v>36000</v>
      </c>
      <c r="I108" s="36">
        <f t="shared" si="4"/>
        <v>6840</v>
      </c>
      <c r="J108" s="37">
        <f t="shared" si="3"/>
        <v>42840</v>
      </c>
    </row>
    <row r="109" spans="1:10" ht="27" customHeight="1">
      <c r="A109" s="33">
        <v>95</v>
      </c>
      <c r="B109" s="500" t="s">
        <v>201</v>
      </c>
      <c r="C109" s="500"/>
      <c r="D109" s="500"/>
      <c r="E109" s="500"/>
      <c r="F109" s="500"/>
      <c r="G109" s="34" t="s">
        <v>19</v>
      </c>
      <c r="H109" s="35">
        <v>2800</v>
      </c>
      <c r="I109" s="36">
        <f t="shared" si="4"/>
        <v>532</v>
      </c>
      <c r="J109" s="37">
        <f t="shared" si="3"/>
        <v>3332</v>
      </c>
    </row>
    <row r="110" spans="1:10" ht="14.4" customHeight="1">
      <c r="A110" s="33">
        <v>96</v>
      </c>
      <c r="B110" s="500" t="s">
        <v>112</v>
      </c>
      <c r="C110" s="500"/>
      <c r="D110" s="500"/>
      <c r="E110" s="500"/>
      <c r="F110" s="500"/>
      <c r="G110" s="34" t="s">
        <v>43</v>
      </c>
      <c r="H110" s="35">
        <v>22000</v>
      </c>
      <c r="I110" s="36">
        <f t="shared" si="4"/>
        <v>4180</v>
      </c>
      <c r="J110" s="37">
        <f t="shared" si="3"/>
        <v>26180</v>
      </c>
    </row>
    <row r="111" spans="1:10" ht="29.4" customHeight="1">
      <c r="A111" s="33">
        <v>97</v>
      </c>
      <c r="B111" s="500" t="s">
        <v>202</v>
      </c>
      <c r="C111" s="500"/>
      <c r="D111" s="500"/>
      <c r="E111" s="500"/>
      <c r="F111" s="500"/>
      <c r="G111" s="34" t="s">
        <v>43</v>
      </c>
      <c r="H111" s="35">
        <v>28000</v>
      </c>
      <c r="I111" s="36">
        <f t="shared" si="4"/>
        <v>5320</v>
      </c>
      <c r="J111" s="37">
        <f t="shared" si="3"/>
        <v>33320</v>
      </c>
    </row>
    <row r="112" spans="1:10" ht="14.4" customHeight="1">
      <c r="A112" s="33">
        <v>98</v>
      </c>
      <c r="B112" s="500" t="s">
        <v>113</v>
      </c>
      <c r="C112" s="500"/>
      <c r="D112" s="500"/>
      <c r="E112" s="500"/>
      <c r="F112" s="500"/>
      <c r="G112" s="34" t="s">
        <v>43</v>
      </c>
      <c r="H112" s="35">
        <v>18000</v>
      </c>
      <c r="I112" s="36">
        <f t="shared" si="4"/>
        <v>3420</v>
      </c>
      <c r="J112" s="37">
        <f t="shared" si="3"/>
        <v>21420</v>
      </c>
    </row>
    <row r="113" spans="1:10" ht="14.4" customHeight="1">
      <c r="A113" s="33">
        <v>99</v>
      </c>
      <c r="B113" s="500" t="s">
        <v>114</v>
      </c>
      <c r="C113" s="500"/>
      <c r="D113" s="500"/>
      <c r="E113" s="500"/>
      <c r="F113" s="500"/>
      <c r="G113" s="34" t="s">
        <v>115</v>
      </c>
      <c r="H113" s="35">
        <v>16000</v>
      </c>
      <c r="I113" s="36">
        <f t="shared" si="4"/>
        <v>3040</v>
      </c>
      <c r="J113" s="37">
        <f t="shared" si="3"/>
        <v>19040</v>
      </c>
    </row>
    <row r="114" spans="1:10" ht="14.4" customHeight="1">
      <c r="A114" s="33">
        <v>100</v>
      </c>
      <c r="B114" s="500" t="s">
        <v>116</v>
      </c>
      <c r="C114" s="500"/>
      <c r="D114" s="500"/>
      <c r="E114" s="500"/>
      <c r="F114" s="500"/>
      <c r="G114" s="34" t="s">
        <v>115</v>
      </c>
      <c r="H114" s="35">
        <v>14000</v>
      </c>
      <c r="I114" s="36">
        <f t="shared" si="4"/>
        <v>2660</v>
      </c>
      <c r="J114" s="37">
        <f t="shared" si="3"/>
        <v>16660</v>
      </c>
    </row>
    <row r="115" spans="1:10" ht="14.4" customHeight="1">
      <c r="A115" s="33">
        <v>101</v>
      </c>
      <c r="B115" s="500" t="s">
        <v>117</v>
      </c>
      <c r="C115" s="500"/>
      <c r="D115" s="500"/>
      <c r="E115" s="500"/>
      <c r="F115" s="500"/>
      <c r="G115" s="34" t="s">
        <v>43</v>
      </c>
      <c r="H115" s="35">
        <v>19000</v>
      </c>
      <c r="I115" s="36">
        <f t="shared" si="4"/>
        <v>3610</v>
      </c>
      <c r="J115" s="37">
        <f t="shared" si="3"/>
        <v>22610</v>
      </c>
    </row>
    <row r="116" spans="1:10" ht="29.1" customHeight="1">
      <c r="A116" s="33">
        <v>102</v>
      </c>
      <c r="B116" s="500" t="s">
        <v>118</v>
      </c>
      <c r="C116" s="500"/>
      <c r="D116" s="500"/>
      <c r="E116" s="500"/>
      <c r="F116" s="500"/>
      <c r="G116" s="34" t="s">
        <v>19</v>
      </c>
      <c r="H116" s="35">
        <v>8600</v>
      </c>
      <c r="I116" s="36">
        <f t="shared" si="4"/>
        <v>1634</v>
      </c>
      <c r="J116" s="37">
        <f t="shared" si="3"/>
        <v>10234</v>
      </c>
    </row>
    <row r="117" spans="1:10" ht="14.4" customHeight="1">
      <c r="A117" s="33">
        <v>103</v>
      </c>
      <c r="B117" s="500" t="s">
        <v>119</v>
      </c>
      <c r="C117" s="500"/>
      <c r="D117" s="500"/>
      <c r="E117" s="500"/>
      <c r="F117" s="500"/>
      <c r="G117" s="34" t="s">
        <v>19</v>
      </c>
      <c r="H117" s="35">
        <v>190000</v>
      </c>
      <c r="I117" s="36">
        <f t="shared" si="4"/>
        <v>36100</v>
      </c>
      <c r="J117" s="37">
        <f t="shared" si="3"/>
        <v>226100</v>
      </c>
    </row>
    <row r="118" spans="1:10" ht="24.75" customHeight="1">
      <c r="A118" s="33">
        <v>104</v>
      </c>
      <c r="B118" s="500" t="s">
        <v>203</v>
      </c>
      <c r="C118" s="500"/>
      <c r="D118" s="500"/>
      <c r="E118" s="500"/>
      <c r="F118" s="500"/>
      <c r="G118" s="34" t="s">
        <v>19</v>
      </c>
      <c r="H118" s="35">
        <v>208100</v>
      </c>
      <c r="I118" s="36">
        <f t="shared" si="4"/>
        <v>39539</v>
      </c>
      <c r="J118" s="37">
        <f t="shared" si="3"/>
        <v>247639</v>
      </c>
    </row>
    <row r="119" spans="1:10" ht="21" customHeight="1">
      <c r="A119" s="33">
        <v>105</v>
      </c>
      <c r="B119" s="500" t="s">
        <v>204</v>
      </c>
      <c r="C119" s="500"/>
      <c r="D119" s="500"/>
      <c r="E119" s="500"/>
      <c r="F119" s="500"/>
      <c r="G119" s="34" t="s">
        <v>19</v>
      </c>
      <c r="H119" s="35">
        <v>230000</v>
      </c>
      <c r="I119" s="36">
        <f t="shared" si="4"/>
        <v>43700</v>
      </c>
      <c r="J119" s="37">
        <f t="shared" si="3"/>
        <v>273700</v>
      </c>
    </row>
    <row r="120" spans="1:10" ht="14.4" customHeight="1">
      <c r="A120" s="33">
        <v>106</v>
      </c>
      <c r="B120" s="500" t="s">
        <v>120</v>
      </c>
      <c r="C120" s="500"/>
      <c r="D120" s="500"/>
      <c r="E120" s="500"/>
      <c r="F120" s="500"/>
      <c r="G120" s="34" t="s">
        <v>19</v>
      </c>
      <c r="H120" s="35">
        <v>180000</v>
      </c>
      <c r="I120" s="36">
        <f t="shared" si="4"/>
        <v>34200</v>
      </c>
      <c r="J120" s="37">
        <f t="shared" si="3"/>
        <v>214200</v>
      </c>
    </row>
    <row r="121" spans="1:10" ht="30.6" customHeight="1">
      <c r="A121" s="33">
        <v>107</v>
      </c>
      <c r="B121" s="500" t="s">
        <v>205</v>
      </c>
      <c r="C121" s="500"/>
      <c r="D121" s="500"/>
      <c r="E121" s="500"/>
      <c r="F121" s="500"/>
      <c r="G121" s="34" t="s">
        <v>31</v>
      </c>
      <c r="H121" s="35">
        <v>16000</v>
      </c>
      <c r="I121" s="36">
        <f t="shared" si="4"/>
        <v>3040</v>
      </c>
      <c r="J121" s="37">
        <f t="shared" si="3"/>
        <v>19040</v>
      </c>
    </row>
    <row r="122" spans="1:10" ht="14.4" customHeight="1">
      <c r="A122" s="33">
        <v>108</v>
      </c>
      <c r="B122" s="500" t="s">
        <v>121</v>
      </c>
      <c r="C122" s="500"/>
      <c r="D122" s="500"/>
      <c r="E122" s="500"/>
      <c r="F122" s="500"/>
      <c r="G122" s="34" t="s">
        <v>33</v>
      </c>
      <c r="H122" s="35">
        <v>25000</v>
      </c>
      <c r="I122" s="36">
        <f t="shared" si="4"/>
        <v>4750</v>
      </c>
      <c r="J122" s="37">
        <f t="shared" si="3"/>
        <v>29750</v>
      </c>
    </row>
    <row r="123" spans="1:10" ht="26.25" customHeight="1">
      <c r="A123" s="33">
        <v>109</v>
      </c>
      <c r="B123" s="500" t="s">
        <v>206</v>
      </c>
      <c r="C123" s="500"/>
      <c r="D123" s="500"/>
      <c r="E123" s="500"/>
      <c r="F123" s="500"/>
      <c r="G123" s="34" t="s">
        <v>43</v>
      </c>
      <c r="H123" s="35">
        <v>80000</v>
      </c>
      <c r="I123" s="36">
        <f t="shared" si="4"/>
        <v>15200</v>
      </c>
      <c r="J123" s="37">
        <f t="shared" si="3"/>
        <v>95200</v>
      </c>
    </row>
    <row r="124" spans="1:10" ht="14.4" customHeight="1">
      <c r="A124" s="33">
        <v>110</v>
      </c>
      <c r="B124" s="500" t="s">
        <v>122</v>
      </c>
      <c r="C124" s="500"/>
      <c r="D124" s="500"/>
      <c r="E124" s="500"/>
      <c r="F124" s="500"/>
      <c r="G124" s="34" t="s">
        <v>19</v>
      </c>
      <c r="H124" s="35">
        <v>8600</v>
      </c>
      <c r="I124" s="36">
        <f t="shared" si="4"/>
        <v>1634</v>
      </c>
      <c r="J124" s="37">
        <f t="shared" si="3"/>
        <v>10234</v>
      </c>
    </row>
    <row r="125" spans="1:10" ht="14.4" customHeight="1">
      <c r="A125" s="33">
        <v>111</v>
      </c>
      <c r="B125" s="500" t="s">
        <v>123</v>
      </c>
      <c r="C125" s="500"/>
      <c r="D125" s="500"/>
      <c r="E125" s="500"/>
      <c r="F125" s="500"/>
      <c r="G125" s="34" t="s">
        <v>19</v>
      </c>
      <c r="H125" s="35">
        <v>3900</v>
      </c>
      <c r="I125" s="36">
        <f t="shared" si="4"/>
        <v>741</v>
      </c>
      <c r="J125" s="37">
        <f t="shared" si="3"/>
        <v>4641</v>
      </c>
    </row>
    <row r="126" spans="1:10" ht="14.4" customHeight="1">
      <c r="A126" s="33">
        <v>112</v>
      </c>
      <c r="B126" s="500" t="s">
        <v>124</v>
      </c>
      <c r="C126" s="500"/>
      <c r="D126" s="500"/>
      <c r="E126" s="500"/>
      <c r="F126" s="500"/>
      <c r="G126" s="34" t="s">
        <v>19</v>
      </c>
      <c r="H126" s="35">
        <v>930000</v>
      </c>
      <c r="I126" s="36">
        <f t="shared" si="4"/>
        <v>176700</v>
      </c>
      <c r="J126" s="37">
        <f t="shared" si="3"/>
        <v>1106700</v>
      </c>
    </row>
    <row r="127" spans="1:10" ht="14.4" customHeight="1">
      <c r="A127" s="33">
        <v>113</v>
      </c>
      <c r="B127" s="500" t="s">
        <v>125</v>
      </c>
      <c r="C127" s="500"/>
      <c r="D127" s="500"/>
      <c r="E127" s="500"/>
      <c r="F127" s="500"/>
      <c r="G127" s="34" t="s">
        <v>19</v>
      </c>
      <c r="H127" s="35">
        <v>850000</v>
      </c>
      <c r="I127" s="36">
        <f t="shared" si="4"/>
        <v>161500</v>
      </c>
      <c r="J127" s="37">
        <f t="shared" si="3"/>
        <v>1011500</v>
      </c>
    </row>
    <row r="128" spans="1:10" ht="14.4" customHeight="1">
      <c r="A128" s="33">
        <v>114</v>
      </c>
      <c r="B128" s="500" t="s">
        <v>126</v>
      </c>
      <c r="C128" s="500"/>
      <c r="D128" s="500"/>
      <c r="E128" s="500"/>
      <c r="F128" s="500"/>
      <c r="G128" s="34" t="s">
        <v>19</v>
      </c>
      <c r="H128" s="35">
        <v>850000</v>
      </c>
      <c r="I128" s="36">
        <f t="shared" si="4"/>
        <v>161500</v>
      </c>
      <c r="J128" s="37">
        <f t="shared" si="3"/>
        <v>1011500</v>
      </c>
    </row>
    <row r="129" spans="1:10" ht="14.4" customHeight="1">
      <c r="A129" s="33">
        <v>115</v>
      </c>
      <c r="B129" s="500" t="s">
        <v>127</v>
      </c>
      <c r="C129" s="500"/>
      <c r="D129" s="500"/>
      <c r="E129" s="500"/>
      <c r="F129" s="500"/>
      <c r="G129" s="34" t="s">
        <v>19</v>
      </c>
      <c r="H129" s="35">
        <v>850000</v>
      </c>
      <c r="I129" s="36">
        <f t="shared" si="4"/>
        <v>161500</v>
      </c>
      <c r="J129" s="37">
        <f t="shared" si="3"/>
        <v>1011500</v>
      </c>
    </row>
    <row r="130" spans="1:10" ht="14.4" customHeight="1">
      <c r="A130" s="33">
        <v>116</v>
      </c>
      <c r="B130" s="500" t="s">
        <v>128</v>
      </c>
      <c r="C130" s="500"/>
      <c r="D130" s="500"/>
      <c r="E130" s="500"/>
      <c r="F130" s="500"/>
      <c r="G130" s="34" t="s">
        <v>19</v>
      </c>
      <c r="H130" s="35">
        <v>850000</v>
      </c>
      <c r="I130" s="36">
        <f t="shared" si="4"/>
        <v>161500</v>
      </c>
      <c r="J130" s="37">
        <f t="shared" si="3"/>
        <v>1011500</v>
      </c>
    </row>
    <row r="131" spans="1:10" ht="14.4" customHeight="1">
      <c r="A131" s="33">
        <v>117</v>
      </c>
      <c r="B131" s="500" t="s">
        <v>129</v>
      </c>
      <c r="C131" s="500"/>
      <c r="D131" s="500"/>
      <c r="E131" s="500"/>
      <c r="F131" s="500"/>
      <c r="G131" s="34" t="s">
        <v>19</v>
      </c>
      <c r="H131" s="35">
        <v>850000</v>
      </c>
      <c r="I131" s="36">
        <f t="shared" si="4"/>
        <v>161500</v>
      </c>
      <c r="J131" s="37">
        <f t="shared" si="3"/>
        <v>1011500</v>
      </c>
    </row>
    <row r="132" spans="1:10" ht="14.4" customHeight="1">
      <c r="A132" s="33">
        <v>118</v>
      </c>
      <c r="B132" s="500" t="s">
        <v>130</v>
      </c>
      <c r="C132" s="500"/>
      <c r="D132" s="500"/>
      <c r="E132" s="500"/>
      <c r="F132" s="500"/>
      <c r="G132" s="34" t="s">
        <v>19</v>
      </c>
      <c r="H132" s="35">
        <v>6200</v>
      </c>
      <c r="I132" s="36">
        <f t="shared" si="4"/>
        <v>1178</v>
      </c>
      <c r="J132" s="37">
        <f t="shared" si="3"/>
        <v>7378</v>
      </c>
    </row>
    <row r="133" spans="1:10" ht="14.4" customHeight="1">
      <c r="A133" s="33">
        <v>119</v>
      </c>
      <c r="B133" s="500" t="s">
        <v>131</v>
      </c>
      <c r="C133" s="500"/>
      <c r="D133" s="500"/>
      <c r="E133" s="500"/>
      <c r="F133" s="500"/>
      <c r="G133" s="34" t="s">
        <v>19</v>
      </c>
      <c r="H133" s="35">
        <v>6200</v>
      </c>
      <c r="I133" s="36">
        <f t="shared" si="4"/>
        <v>1178</v>
      </c>
      <c r="J133" s="37">
        <f t="shared" si="3"/>
        <v>7378</v>
      </c>
    </row>
    <row r="134" spans="1:10" ht="14.4" customHeight="1">
      <c r="A134" s="33">
        <v>120</v>
      </c>
      <c r="B134" s="500" t="s">
        <v>132</v>
      </c>
      <c r="C134" s="500"/>
      <c r="D134" s="500"/>
      <c r="E134" s="500"/>
      <c r="F134" s="500"/>
      <c r="G134" s="34" t="s">
        <v>48</v>
      </c>
      <c r="H134" s="35">
        <v>95000</v>
      </c>
      <c r="I134" s="36">
        <f t="shared" si="4"/>
        <v>18050</v>
      </c>
      <c r="J134" s="37">
        <f t="shared" si="3"/>
        <v>113050</v>
      </c>
    </row>
    <row r="135" spans="1:10" ht="14.4" customHeight="1">
      <c r="A135" s="33">
        <v>121</v>
      </c>
      <c r="B135" s="500" t="s">
        <v>133</v>
      </c>
      <c r="C135" s="500"/>
      <c r="D135" s="500"/>
      <c r="E135" s="500"/>
      <c r="F135" s="500"/>
      <c r="G135" s="34" t="s">
        <v>19</v>
      </c>
      <c r="H135" s="35">
        <v>1980000</v>
      </c>
      <c r="I135" s="36">
        <f t="shared" si="4"/>
        <v>376200</v>
      </c>
      <c r="J135" s="37">
        <f t="shared" si="3"/>
        <v>2356200</v>
      </c>
    </row>
    <row r="136" spans="1:10" s="45" customFormat="1" ht="29.25" customHeight="1">
      <c r="A136" s="81">
        <v>122</v>
      </c>
      <c r="B136" s="524" t="s">
        <v>207</v>
      </c>
      <c r="C136" s="524"/>
      <c r="D136" s="524"/>
      <c r="E136" s="524"/>
      <c r="F136" s="524"/>
      <c r="G136" s="82" t="s">
        <v>19</v>
      </c>
      <c r="H136" s="83">
        <v>9500</v>
      </c>
      <c r="I136" s="84">
        <f t="shared" si="4"/>
        <v>1805</v>
      </c>
      <c r="J136" s="85">
        <f t="shared" si="3"/>
        <v>11305</v>
      </c>
    </row>
    <row r="137" spans="1:10" s="45" customFormat="1" ht="29.25" customHeight="1">
      <c r="A137" s="81">
        <v>123</v>
      </c>
      <c r="B137" s="524" t="s">
        <v>208</v>
      </c>
      <c r="C137" s="524"/>
      <c r="D137" s="524"/>
      <c r="E137" s="524"/>
      <c r="F137" s="524"/>
      <c r="G137" s="86" t="s">
        <v>209</v>
      </c>
      <c r="H137" s="83">
        <v>6500</v>
      </c>
      <c r="I137" s="87">
        <f>H137*0.19</f>
        <v>1235</v>
      </c>
      <c r="J137" s="88">
        <f>I137+H137</f>
        <v>7735</v>
      </c>
    </row>
    <row r="138" spans="1:10" ht="15.6">
      <c r="A138" s="525" t="s">
        <v>135</v>
      </c>
      <c r="B138" s="526"/>
      <c r="C138" s="526"/>
      <c r="D138" s="526"/>
      <c r="E138" s="526"/>
      <c r="F138" s="526"/>
      <c r="G138" s="526"/>
      <c r="H138" s="526"/>
      <c r="I138" s="526"/>
      <c r="J138" s="38">
        <f>SUM(J15:J137)</f>
        <v>17673297</v>
      </c>
    </row>
    <row r="139" spans="1:10">
      <c r="A139" s="509"/>
      <c r="B139" s="510"/>
      <c r="C139" s="510"/>
      <c r="D139" s="510"/>
      <c r="E139" s="510"/>
      <c r="F139" s="510"/>
      <c r="G139" s="510"/>
      <c r="H139" s="510"/>
      <c r="I139" s="510"/>
      <c r="J139" s="511"/>
    </row>
    <row r="140" spans="1:10" ht="90" customHeight="1">
      <c r="A140" s="512" t="s">
        <v>210</v>
      </c>
      <c r="B140" s="513"/>
      <c r="C140" s="513"/>
      <c r="D140" s="513"/>
      <c r="E140" s="513"/>
      <c r="F140" s="513"/>
      <c r="G140" s="513"/>
      <c r="H140" s="513"/>
      <c r="I140" s="513"/>
      <c r="J140" s="514"/>
    </row>
    <row r="141" spans="1:10" ht="25.5" customHeight="1">
      <c r="A141" s="533" t="s">
        <v>218</v>
      </c>
      <c r="B141" s="534"/>
      <c r="C141" s="534"/>
      <c r="D141" s="534"/>
      <c r="E141" s="534"/>
      <c r="F141" s="534"/>
      <c r="G141" s="534"/>
      <c r="H141" s="534"/>
      <c r="I141" s="534"/>
      <c r="J141" s="535"/>
    </row>
    <row r="142" spans="1:10" ht="25.5" customHeight="1">
      <c r="A142" s="536"/>
      <c r="B142" s="537"/>
      <c r="C142" s="537"/>
      <c r="D142" s="537"/>
      <c r="E142" s="537"/>
      <c r="F142" s="537"/>
      <c r="G142" s="537"/>
      <c r="H142" s="537"/>
      <c r="I142" s="537"/>
      <c r="J142" s="538"/>
    </row>
    <row r="143" spans="1:10" ht="25.5" customHeight="1">
      <c r="A143" s="536"/>
      <c r="B143" s="537"/>
      <c r="C143" s="537"/>
      <c r="D143" s="537"/>
      <c r="E143" s="537"/>
      <c r="F143" s="537"/>
      <c r="G143" s="537"/>
      <c r="H143" s="537"/>
      <c r="I143" s="537"/>
      <c r="J143" s="538"/>
    </row>
    <row r="144" spans="1:10" ht="25.5" customHeight="1">
      <c r="A144" s="536"/>
      <c r="B144" s="537"/>
      <c r="C144" s="537"/>
      <c r="D144" s="537"/>
      <c r="E144" s="537"/>
      <c r="F144" s="537"/>
      <c r="G144" s="537"/>
      <c r="H144" s="537"/>
      <c r="I144" s="537"/>
      <c r="J144" s="538"/>
    </row>
    <row r="145" spans="1:10" ht="25.5" customHeight="1" thickBot="1">
      <c r="A145" s="539"/>
      <c r="B145" s="540"/>
      <c r="C145" s="540"/>
      <c r="D145" s="540"/>
      <c r="E145" s="540"/>
      <c r="F145" s="540"/>
      <c r="G145" s="540"/>
      <c r="H145" s="540"/>
      <c r="I145" s="540"/>
      <c r="J145" s="541"/>
    </row>
    <row r="146" spans="1:10"/>
    <row r="147" spans="1:10"/>
  </sheetData>
  <autoFilter ref="A14:J138" xr:uid="{ED26C863-CD96-4DFA-8E2D-F00A657F51B7}">
    <filterColumn colId="1" showButton="0"/>
    <filterColumn colId="2" showButton="0"/>
    <filterColumn colId="3" showButton="0"/>
    <filterColumn colId="4" showButton="0"/>
  </autoFilter>
  <mergeCells count="144">
    <mergeCell ref="A139:J139"/>
    <mergeCell ref="A140:J140"/>
    <mergeCell ref="A141:J145"/>
    <mergeCell ref="B137:F137"/>
    <mergeCell ref="A138:I138"/>
    <mergeCell ref="B131:F131"/>
    <mergeCell ref="B132:F132"/>
    <mergeCell ref="B133:F133"/>
    <mergeCell ref="B134:F134"/>
    <mergeCell ref="B135:F135"/>
    <mergeCell ref="B136:F136"/>
    <mergeCell ref="B125:F125"/>
    <mergeCell ref="B126:F126"/>
    <mergeCell ref="B127:F127"/>
    <mergeCell ref="B128:F128"/>
    <mergeCell ref="B129:F129"/>
    <mergeCell ref="B130:F130"/>
    <mergeCell ref="B119:F119"/>
    <mergeCell ref="B120:F120"/>
    <mergeCell ref="B121:F121"/>
    <mergeCell ref="B122:F122"/>
    <mergeCell ref="B123:F123"/>
    <mergeCell ref="B124:F124"/>
    <mergeCell ref="B113:F113"/>
    <mergeCell ref="B114:F114"/>
    <mergeCell ref="B115:F115"/>
    <mergeCell ref="B116:F116"/>
    <mergeCell ref="B117:F117"/>
    <mergeCell ref="B118:F118"/>
    <mergeCell ref="B107:F107"/>
    <mergeCell ref="B108:F108"/>
    <mergeCell ref="B109:F109"/>
    <mergeCell ref="B110:F110"/>
    <mergeCell ref="B111:F111"/>
    <mergeCell ref="B112:F112"/>
    <mergeCell ref="B101:F101"/>
    <mergeCell ref="B102:F102"/>
    <mergeCell ref="B103:F103"/>
    <mergeCell ref="B104:F104"/>
    <mergeCell ref="B105:F105"/>
    <mergeCell ref="B106:F106"/>
    <mergeCell ref="B95:F95"/>
    <mergeCell ref="B96:F96"/>
    <mergeCell ref="B97:F97"/>
    <mergeCell ref="B98:F98"/>
    <mergeCell ref="B99:F99"/>
    <mergeCell ref="B100:F100"/>
    <mergeCell ref="B89:F89"/>
    <mergeCell ref="B90:F90"/>
    <mergeCell ref="B91:F91"/>
    <mergeCell ref="B92:F92"/>
    <mergeCell ref="B93:F93"/>
    <mergeCell ref="B94:F94"/>
    <mergeCell ref="B83:F83"/>
    <mergeCell ref="B84:F84"/>
    <mergeCell ref="B85:F85"/>
    <mergeCell ref="B86:F86"/>
    <mergeCell ref="B87:F87"/>
    <mergeCell ref="B88:F88"/>
    <mergeCell ref="B77:F77"/>
    <mergeCell ref="B78:F78"/>
    <mergeCell ref="B79:F79"/>
    <mergeCell ref="B80:F80"/>
    <mergeCell ref="B81:F81"/>
    <mergeCell ref="B82:F82"/>
    <mergeCell ref="B71:F71"/>
    <mergeCell ref="B72:F72"/>
    <mergeCell ref="B73:F73"/>
    <mergeCell ref="B74:F74"/>
    <mergeCell ref="B75:F75"/>
    <mergeCell ref="B76:F76"/>
    <mergeCell ref="B65:F65"/>
    <mergeCell ref="B66:F66"/>
    <mergeCell ref="B67:F67"/>
    <mergeCell ref="B68:F68"/>
    <mergeCell ref="B69:F69"/>
    <mergeCell ref="B70:F70"/>
    <mergeCell ref="B59:F59"/>
    <mergeCell ref="B60:F60"/>
    <mergeCell ref="B61:F61"/>
    <mergeCell ref="B62:F62"/>
    <mergeCell ref="B63:F63"/>
    <mergeCell ref="B64:F64"/>
    <mergeCell ref="B53:F53"/>
    <mergeCell ref="B54:F54"/>
    <mergeCell ref="B55:F55"/>
    <mergeCell ref="B56:F56"/>
    <mergeCell ref="B57:F57"/>
    <mergeCell ref="B58:F58"/>
    <mergeCell ref="B47:F47"/>
    <mergeCell ref="B48:F48"/>
    <mergeCell ref="B49:F49"/>
    <mergeCell ref="B50:F50"/>
    <mergeCell ref="B51:F51"/>
    <mergeCell ref="B52:F52"/>
    <mergeCell ref="B41:F41"/>
    <mergeCell ref="B42:F42"/>
    <mergeCell ref="B43:F43"/>
    <mergeCell ref="B44:F44"/>
    <mergeCell ref="B45:F45"/>
    <mergeCell ref="B46:F46"/>
    <mergeCell ref="B35:F35"/>
    <mergeCell ref="B36:F36"/>
    <mergeCell ref="B37:F37"/>
    <mergeCell ref="B38:F38"/>
    <mergeCell ref="B39:F39"/>
    <mergeCell ref="B40:F40"/>
    <mergeCell ref="B29:F29"/>
    <mergeCell ref="B30:F30"/>
    <mergeCell ref="B31:F31"/>
    <mergeCell ref="B32:F32"/>
    <mergeCell ref="B33:F33"/>
    <mergeCell ref="B34:F34"/>
    <mergeCell ref="B23:F23"/>
    <mergeCell ref="B24:F24"/>
    <mergeCell ref="B25:F25"/>
    <mergeCell ref="B26:F26"/>
    <mergeCell ref="B27:F27"/>
    <mergeCell ref="B28:F28"/>
    <mergeCell ref="B17:F17"/>
    <mergeCell ref="B18:F18"/>
    <mergeCell ref="B19:F19"/>
    <mergeCell ref="B20:F20"/>
    <mergeCell ref="B21:F21"/>
    <mergeCell ref="B22:F22"/>
    <mergeCell ref="A10:J10"/>
    <mergeCell ref="A12:C12"/>
    <mergeCell ref="D12:G12"/>
    <mergeCell ref="B14:F14"/>
    <mergeCell ref="B15:F15"/>
    <mergeCell ref="B16:F16"/>
    <mergeCell ref="B7:D7"/>
    <mergeCell ref="F7:G7"/>
    <mergeCell ref="I7:J7"/>
    <mergeCell ref="B8:D8"/>
    <mergeCell ref="F8:G8"/>
    <mergeCell ref="I8:J8"/>
    <mergeCell ref="A1:J1"/>
    <mergeCell ref="A2:J2"/>
    <mergeCell ref="A4:C4"/>
    <mergeCell ref="D4:J4"/>
    <mergeCell ref="B6:D6"/>
    <mergeCell ref="F6:G6"/>
    <mergeCell ref="I6:J6"/>
  </mergeCells>
  <hyperlinks>
    <hyperlink ref="F8" r:id="rId1" xr:uid="{45646F24-A4D4-4889-B522-650ECB8C86FC}"/>
  </hyperlinks>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BB332-37FA-46BD-A58C-097D6133FA57}">
  <sheetPr>
    <tabColor theme="3" tint="0.249977111117893"/>
  </sheetPr>
  <dimension ref="A1:L145"/>
  <sheetViews>
    <sheetView showGridLines="0" topLeftCell="D1" workbookViewId="0">
      <selection activeCell="A10" sqref="A10:J10"/>
    </sheetView>
  </sheetViews>
  <sheetFormatPr baseColWidth="10" defaultRowHeight="14.4"/>
  <cols>
    <col min="7" max="10" width="14.5546875" customWidth="1"/>
  </cols>
  <sheetData>
    <row r="1" spans="1:12" ht="21">
      <c r="A1" s="562" t="s">
        <v>2</v>
      </c>
      <c r="B1" s="563"/>
      <c r="C1" s="563"/>
      <c r="D1" s="563"/>
      <c r="E1" s="563"/>
      <c r="F1" s="563"/>
      <c r="G1" s="563"/>
      <c r="H1" s="563"/>
      <c r="I1" s="563"/>
      <c r="J1" s="564"/>
      <c r="L1" s="297" t="s">
        <v>794</v>
      </c>
    </row>
    <row r="2" spans="1:12" ht="15.6">
      <c r="A2" s="565" t="s">
        <v>162</v>
      </c>
      <c r="B2" s="566"/>
      <c r="C2" s="566"/>
      <c r="D2" s="566"/>
      <c r="E2" s="566"/>
      <c r="F2" s="566"/>
      <c r="G2" s="566"/>
      <c r="H2" s="566"/>
      <c r="I2" s="566"/>
      <c r="J2" s="567"/>
    </row>
    <row r="3" spans="1:12">
      <c r="A3" s="265"/>
      <c r="B3" s="266"/>
      <c r="C3" s="266"/>
      <c r="D3" s="266"/>
      <c r="E3" s="266"/>
      <c r="F3" s="266"/>
      <c r="G3" s="267"/>
      <c r="H3" s="268"/>
      <c r="I3" s="268"/>
      <c r="J3" s="269"/>
    </row>
    <row r="4" spans="1:12">
      <c r="A4" s="568" t="s">
        <v>163</v>
      </c>
      <c r="B4" s="569"/>
      <c r="C4" s="569"/>
      <c r="D4" s="570" t="s">
        <v>791</v>
      </c>
      <c r="E4" s="571"/>
      <c r="F4" s="571"/>
      <c r="G4" s="571"/>
      <c r="H4" s="571"/>
      <c r="I4" s="571"/>
      <c r="J4" s="572"/>
    </row>
    <row r="5" spans="1:12">
      <c r="A5" s="265"/>
      <c r="B5" s="266"/>
      <c r="C5" s="266"/>
      <c r="D5" s="266"/>
      <c r="E5" s="266"/>
      <c r="F5" s="266"/>
      <c r="G5" s="267"/>
      <c r="H5" s="268"/>
      <c r="I5" s="268"/>
      <c r="J5" s="269"/>
    </row>
    <row r="6" spans="1:12">
      <c r="A6" s="270" t="s">
        <v>4</v>
      </c>
      <c r="B6" s="573" t="s">
        <v>219</v>
      </c>
      <c r="C6" s="573"/>
      <c r="D6" s="573"/>
      <c r="E6" s="271" t="s">
        <v>5</v>
      </c>
      <c r="F6" s="574" t="s">
        <v>220</v>
      </c>
      <c r="G6" s="574"/>
      <c r="H6" s="272" t="s">
        <v>6</v>
      </c>
      <c r="I6" s="575" t="s">
        <v>221</v>
      </c>
      <c r="J6" s="576"/>
    </row>
    <row r="7" spans="1:12">
      <c r="A7" s="270" t="s">
        <v>7</v>
      </c>
      <c r="B7" s="583" t="s">
        <v>222</v>
      </c>
      <c r="C7" s="583"/>
      <c r="D7" s="583"/>
      <c r="E7" s="271" t="s">
        <v>8</v>
      </c>
      <c r="F7" s="584" t="s">
        <v>223</v>
      </c>
      <c r="G7" s="584"/>
      <c r="H7" s="272" t="s">
        <v>9</v>
      </c>
      <c r="I7" s="585">
        <v>32438692.27</v>
      </c>
      <c r="J7" s="586"/>
    </row>
    <row r="8" spans="1:12">
      <c r="A8" s="270" t="s">
        <v>10</v>
      </c>
      <c r="B8" s="587">
        <v>46111</v>
      </c>
      <c r="C8" s="587"/>
      <c r="D8" s="587"/>
      <c r="E8" s="271" t="s">
        <v>11</v>
      </c>
      <c r="F8" s="588" t="s">
        <v>224</v>
      </c>
      <c r="G8" s="584"/>
      <c r="H8" s="272" t="s">
        <v>12</v>
      </c>
      <c r="I8" s="585"/>
      <c r="J8" s="586"/>
    </row>
    <row r="9" spans="1:12">
      <c r="A9" s="265"/>
      <c r="B9" s="266"/>
      <c r="C9" s="266"/>
      <c r="D9" s="266"/>
      <c r="E9" s="266"/>
      <c r="F9" s="266"/>
      <c r="G9" s="267"/>
      <c r="H9" s="268"/>
      <c r="I9" s="268"/>
      <c r="J9" s="269"/>
    </row>
    <row r="10" spans="1:12" ht="85.5" customHeight="1">
      <c r="A10" s="577" t="s">
        <v>171</v>
      </c>
      <c r="B10" s="578"/>
      <c r="C10" s="578"/>
      <c r="D10" s="578"/>
      <c r="E10" s="578"/>
      <c r="F10" s="578"/>
      <c r="G10" s="578"/>
      <c r="H10" s="578"/>
      <c r="I10" s="578"/>
      <c r="J10" s="579"/>
    </row>
    <row r="11" spans="1:12">
      <c r="A11" s="265"/>
      <c r="B11" s="266"/>
      <c r="C11" s="266"/>
      <c r="D11" s="266"/>
      <c r="E11" s="266"/>
      <c r="F11" s="266"/>
      <c r="G11" s="267"/>
      <c r="H11" s="268"/>
      <c r="I11" s="268"/>
      <c r="J11" s="269"/>
    </row>
    <row r="12" spans="1:12">
      <c r="A12" s="580" t="s">
        <v>13</v>
      </c>
      <c r="B12" s="581"/>
      <c r="C12" s="581"/>
      <c r="D12" s="582" t="s">
        <v>172</v>
      </c>
      <c r="E12" s="582"/>
      <c r="F12" s="582"/>
      <c r="G12" s="582"/>
      <c r="H12" s="273"/>
      <c r="I12" s="274"/>
      <c r="J12" s="269"/>
    </row>
    <row r="13" spans="1:12">
      <c r="A13" s="265"/>
      <c r="B13" s="266"/>
      <c r="C13" s="266"/>
      <c r="D13" s="266"/>
      <c r="E13" s="266"/>
      <c r="F13" s="266"/>
      <c r="G13" s="267"/>
      <c r="H13" s="268"/>
      <c r="I13" s="268"/>
      <c r="J13" s="269"/>
    </row>
    <row r="14" spans="1:12" ht="24">
      <c r="A14" s="275" t="s">
        <v>173</v>
      </c>
      <c r="B14" s="561" t="s">
        <v>15</v>
      </c>
      <c r="C14" s="561"/>
      <c r="D14" s="561"/>
      <c r="E14" s="561"/>
      <c r="F14" s="561"/>
      <c r="G14" s="276" t="s">
        <v>16</v>
      </c>
      <c r="H14" s="263" t="s">
        <v>174</v>
      </c>
      <c r="I14" s="277" t="s">
        <v>17</v>
      </c>
      <c r="J14" s="264" t="s">
        <v>18</v>
      </c>
    </row>
    <row r="15" spans="1:12">
      <c r="A15" s="278">
        <v>1</v>
      </c>
      <c r="B15" s="557" t="s">
        <v>175</v>
      </c>
      <c r="C15" s="557"/>
      <c r="D15" s="557"/>
      <c r="E15" s="557"/>
      <c r="F15" s="557"/>
      <c r="G15" s="279" t="s">
        <v>19</v>
      </c>
      <c r="H15" s="280">
        <v>5500</v>
      </c>
      <c r="I15" s="281">
        <v>1045</v>
      </c>
      <c r="J15" s="282">
        <v>6545</v>
      </c>
    </row>
    <row r="16" spans="1:12">
      <c r="A16" s="278">
        <v>2</v>
      </c>
      <c r="B16" s="557" t="s">
        <v>20</v>
      </c>
      <c r="C16" s="557"/>
      <c r="D16" s="557"/>
      <c r="E16" s="557"/>
      <c r="F16" s="557"/>
      <c r="G16" s="279" t="s">
        <v>19</v>
      </c>
      <c r="H16" s="280">
        <v>8900</v>
      </c>
      <c r="I16" s="281">
        <v>1691</v>
      </c>
      <c r="J16" s="282">
        <v>10591</v>
      </c>
    </row>
    <row r="17" spans="1:10">
      <c r="A17" s="278">
        <v>3</v>
      </c>
      <c r="B17" s="557" t="s">
        <v>21</v>
      </c>
      <c r="C17" s="557"/>
      <c r="D17" s="557"/>
      <c r="E17" s="557"/>
      <c r="F17" s="557"/>
      <c r="G17" s="279" t="s">
        <v>19</v>
      </c>
      <c r="H17" s="280">
        <v>9980</v>
      </c>
      <c r="I17" s="281">
        <v>1896.2</v>
      </c>
      <c r="J17" s="282">
        <v>11876.2</v>
      </c>
    </row>
    <row r="18" spans="1:10">
      <c r="A18" s="278">
        <v>4</v>
      </c>
      <c r="B18" s="557" t="s">
        <v>22</v>
      </c>
      <c r="C18" s="557"/>
      <c r="D18" s="557"/>
      <c r="E18" s="557"/>
      <c r="F18" s="557"/>
      <c r="G18" s="279" t="s">
        <v>23</v>
      </c>
      <c r="H18" s="280">
        <v>5800</v>
      </c>
      <c r="I18" s="281">
        <v>1102</v>
      </c>
      <c r="J18" s="282">
        <v>6902</v>
      </c>
    </row>
    <row r="19" spans="1:10">
      <c r="A19" s="278">
        <v>5</v>
      </c>
      <c r="B19" s="557" t="s">
        <v>176</v>
      </c>
      <c r="C19" s="557"/>
      <c r="D19" s="557"/>
      <c r="E19" s="557"/>
      <c r="F19" s="557"/>
      <c r="G19" s="279" t="s">
        <v>24</v>
      </c>
      <c r="H19" s="280">
        <v>14500</v>
      </c>
      <c r="I19" s="281">
        <v>2755</v>
      </c>
      <c r="J19" s="282">
        <v>17255</v>
      </c>
    </row>
    <row r="20" spans="1:10">
      <c r="A20" s="278">
        <v>6</v>
      </c>
      <c r="B20" s="557" t="s">
        <v>25</v>
      </c>
      <c r="C20" s="557"/>
      <c r="D20" s="557"/>
      <c r="E20" s="557"/>
      <c r="F20" s="557"/>
      <c r="G20" s="279" t="s">
        <v>19</v>
      </c>
      <c r="H20" s="280">
        <v>6900</v>
      </c>
      <c r="I20" s="281">
        <v>1311</v>
      </c>
      <c r="J20" s="282">
        <v>8211</v>
      </c>
    </row>
    <row r="21" spans="1:10">
      <c r="A21" s="278">
        <v>7</v>
      </c>
      <c r="B21" s="557" t="s">
        <v>26</v>
      </c>
      <c r="C21" s="557"/>
      <c r="D21" s="557"/>
      <c r="E21" s="557"/>
      <c r="F21" s="557"/>
      <c r="G21" s="279" t="s">
        <v>19</v>
      </c>
      <c r="H21" s="280">
        <v>6850</v>
      </c>
      <c r="I21" s="281">
        <v>1301.5</v>
      </c>
      <c r="J21" s="282">
        <v>8151.5</v>
      </c>
    </row>
    <row r="22" spans="1:10">
      <c r="A22" s="278">
        <v>8</v>
      </c>
      <c r="B22" s="557" t="s">
        <v>27</v>
      </c>
      <c r="C22" s="557"/>
      <c r="D22" s="557"/>
      <c r="E22" s="557"/>
      <c r="F22" s="557"/>
      <c r="G22" s="279" t="s">
        <v>19</v>
      </c>
      <c r="H22" s="280">
        <v>6950</v>
      </c>
      <c r="I22" s="281">
        <v>1320.5</v>
      </c>
      <c r="J22" s="282">
        <v>8270.5</v>
      </c>
    </row>
    <row r="23" spans="1:10">
      <c r="A23" s="278">
        <v>9</v>
      </c>
      <c r="B23" s="557" t="s">
        <v>28</v>
      </c>
      <c r="C23" s="557"/>
      <c r="D23" s="557"/>
      <c r="E23" s="557"/>
      <c r="F23" s="557"/>
      <c r="G23" s="279" t="s">
        <v>19</v>
      </c>
      <c r="H23" s="280">
        <v>5970</v>
      </c>
      <c r="I23" s="281">
        <v>1134.3</v>
      </c>
      <c r="J23" s="282">
        <v>7104.3</v>
      </c>
    </row>
    <row r="24" spans="1:10">
      <c r="A24" s="278">
        <v>10</v>
      </c>
      <c r="B24" s="557" t="s">
        <v>29</v>
      </c>
      <c r="C24" s="557"/>
      <c r="D24" s="557"/>
      <c r="E24" s="557"/>
      <c r="F24" s="557"/>
      <c r="G24" s="279" t="s">
        <v>19</v>
      </c>
      <c r="H24" s="280">
        <v>7850</v>
      </c>
      <c r="I24" s="281">
        <v>1491.5</v>
      </c>
      <c r="J24" s="282">
        <v>9341.5</v>
      </c>
    </row>
    <row r="25" spans="1:10">
      <c r="A25" s="278">
        <v>11</v>
      </c>
      <c r="B25" s="557" t="s">
        <v>30</v>
      </c>
      <c r="C25" s="557"/>
      <c r="D25" s="557"/>
      <c r="E25" s="557"/>
      <c r="F25" s="557"/>
      <c r="G25" s="279" t="s">
        <v>31</v>
      </c>
      <c r="H25" s="280">
        <v>1250</v>
      </c>
      <c r="I25" s="281">
        <v>237.5</v>
      </c>
      <c r="J25" s="282">
        <v>1487.5</v>
      </c>
    </row>
    <row r="26" spans="1:10">
      <c r="A26" s="278">
        <v>12</v>
      </c>
      <c r="B26" s="557" t="s">
        <v>177</v>
      </c>
      <c r="C26" s="557"/>
      <c r="D26" s="557"/>
      <c r="E26" s="557"/>
      <c r="F26" s="557"/>
      <c r="G26" s="279" t="s">
        <v>19</v>
      </c>
      <c r="H26" s="280">
        <v>6850</v>
      </c>
      <c r="I26" s="281">
        <v>1301.5</v>
      </c>
      <c r="J26" s="282">
        <v>8151.5</v>
      </c>
    </row>
    <row r="27" spans="1:10">
      <c r="A27" s="278">
        <v>13</v>
      </c>
      <c r="B27" s="557" t="s">
        <v>32</v>
      </c>
      <c r="C27" s="557"/>
      <c r="D27" s="557"/>
      <c r="E27" s="557"/>
      <c r="F27" s="557"/>
      <c r="G27" s="279" t="s">
        <v>33</v>
      </c>
      <c r="H27" s="280">
        <v>4800</v>
      </c>
      <c r="I27" s="281">
        <v>912</v>
      </c>
      <c r="J27" s="282">
        <v>5712</v>
      </c>
    </row>
    <row r="28" spans="1:10">
      <c r="A28" s="278">
        <v>14</v>
      </c>
      <c r="B28" s="557" t="s">
        <v>34</v>
      </c>
      <c r="C28" s="557"/>
      <c r="D28" s="557"/>
      <c r="E28" s="557"/>
      <c r="F28" s="557"/>
      <c r="G28" s="279" t="s">
        <v>19</v>
      </c>
      <c r="H28" s="280">
        <v>16800</v>
      </c>
      <c r="I28" s="281">
        <v>3192</v>
      </c>
      <c r="J28" s="282">
        <v>19992</v>
      </c>
    </row>
    <row r="29" spans="1:10">
      <c r="A29" s="278">
        <v>15</v>
      </c>
      <c r="B29" s="557" t="s">
        <v>178</v>
      </c>
      <c r="C29" s="557"/>
      <c r="D29" s="557"/>
      <c r="E29" s="557"/>
      <c r="F29" s="557"/>
      <c r="G29" s="279" t="s">
        <v>19</v>
      </c>
      <c r="H29" s="280">
        <v>19850</v>
      </c>
      <c r="I29" s="281">
        <v>3771.5</v>
      </c>
      <c r="J29" s="282">
        <v>23621.5</v>
      </c>
    </row>
    <row r="30" spans="1:10">
      <c r="A30" s="278">
        <v>16</v>
      </c>
      <c r="B30" s="557" t="s">
        <v>179</v>
      </c>
      <c r="C30" s="557"/>
      <c r="D30" s="557"/>
      <c r="E30" s="557"/>
      <c r="F30" s="557"/>
      <c r="G30" s="279" t="s">
        <v>19</v>
      </c>
      <c r="H30" s="280">
        <v>12900</v>
      </c>
      <c r="I30" s="281">
        <v>2451</v>
      </c>
      <c r="J30" s="282">
        <v>15351</v>
      </c>
    </row>
    <row r="31" spans="1:10">
      <c r="A31" s="278">
        <v>17</v>
      </c>
      <c r="B31" s="557" t="s">
        <v>180</v>
      </c>
      <c r="C31" s="557"/>
      <c r="D31" s="557"/>
      <c r="E31" s="557"/>
      <c r="F31" s="557"/>
      <c r="G31" s="279" t="s">
        <v>19</v>
      </c>
      <c r="H31" s="280">
        <v>16000</v>
      </c>
      <c r="I31" s="281">
        <v>3040</v>
      </c>
      <c r="J31" s="282">
        <v>19040</v>
      </c>
    </row>
    <row r="32" spans="1:10">
      <c r="A32" s="278">
        <v>18</v>
      </c>
      <c r="B32" s="557" t="s">
        <v>181</v>
      </c>
      <c r="C32" s="557"/>
      <c r="D32" s="557"/>
      <c r="E32" s="557"/>
      <c r="F32" s="557"/>
      <c r="G32" s="279" t="s">
        <v>19</v>
      </c>
      <c r="H32" s="280">
        <v>19500</v>
      </c>
      <c r="I32" s="281">
        <v>3705</v>
      </c>
      <c r="J32" s="282">
        <v>23205</v>
      </c>
    </row>
    <row r="33" spans="1:10">
      <c r="A33" s="278">
        <v>19</v>
      </c>
      <c r="B33" s="557" t="s">
        <v>182</v>
      </c>
      <c r="C33" s="557"/>
      <c r="D33" s="557"/>
      <c r="E33" s="557"/>
      <c r="F33" s="557"/>
      <c r="G33" s="279" t="s">
        <v>19</v>
      </c>
      <c r="H33" s="280">
        <v>22500</v>
      </c>
      <c r="I33" s="281">
        <v>4275</v>
      </c>
      <c r="J33" s="282">
        <v>26775</v>
      </c>
    </row>
    <row r="34" spans="1:10">
      <c r="A34" s="278">
        <v>20</v>
      </c>
      <c r="B34" s="557" t="s">
        <v>36</v>
      </c>
      <c r="C34" s="557"/>
      <c r="D34" s="557"/>
      <c r="E34" s="557"/>
      <c r="F34" s="557"/>
      <c r="G34" s="279" t="s">
        <v>19</v>
      </c>
      <c r="H34" s="280">
        <v>1095000</v>
      </c>
      <c r="I34" s="281">
        <v>208050</v>
      </c>
      <c r="J34" s="282">
        <v>1303050</v>
      </c>
    </row>
    <row r="35" spans="1:10">
      <c r="A35" s="278">
        <v>21</v>
      </c>
      <c r="B35" s="557" t="s">
        <v>37</v>
      </c>
      <c r="C35" s="557"/>
      <c r="D35" s="557"/>
      <c r="E35" s="557"/>
      <c r="F35" s="557"/>
      <c r="G35" s="279" t="s">
        <v>19</v>
      </c>
      <c r="H35" s="280">
        <v>21500</v>
      </c>
      <c r="I35" s="281">
        <v>4085</v>
      </c>
      <c r="J35" s="282">
        <v>25585</v>
      </c>
    </row>
    <row r="36" spans="1:10">
      <c r="A36" s="278">
        <v>22</v>
      </c>
      <c r="B36" s="557" t="s">
        <v>38</v>
      </c>
      <c r="C36" s="557"/>
      <c r="D36" s="557"/>
      <c r="E36" s="557"/>
      <c r="F36" s="557"/>
      <c r="G36" s="279" t="s">
        <v>39</v>
      </c>
      <c r="H36" s="280">
        <v>2500</v>
      </c>
      <c r="I36" s="281">
        <v>475</v>
      </c>
      <c r="J36" s="282">
        <v>2975</v>
      </c>
    </row>
    <row r="37" spans="1:10">
      <c r="A37" s="278">
        <v>23</v>
      </c>
      <c r="B37" s="557" t="s">
        <v>40</v>
      </c>
      <c r="C37" s="557"/>
      <c r="D37" s="557"/>
      <c r="E37" s="557"/>
      <c r="F37" s="557"/>
      <c r="G37" s="279" t="s">
        <v>39</v>
      </c>
      <c r="H37" s="280">
        <v>4500</v>
      </c>
      <c r="I37" s="281">
        <v>855</v>
      </c>
      <c r="J37" s="282">
        <v>5355</v>
      </c>
    </row>
    <row r="38" spans="1:10">
      <c r="A38" s="278">
        <v>24</v>
      </c>
      <c r="B38" s="557" t="s">
        <v>41</v>
      </c>
      <c r="C38" s="557"/>
      <c r="D38" s="557"/>
      <c r="E38" s="557"/>
      <c r="F38" s="557"/>
      <c r="G38" s="279" t="s">
        <v>19</v>
      </c>
      <c r="H38" s="280">
        <v>45000</v>
      </c>
      <c r="I38" s="281">
        <v>8550</v>
      </c>
      <c r="J38" s="282">
        <v>53550</v>
      </c>
    </row>
    <row r="39" spans="1:10">
      <c r="A39" s="278">
        <v>25</v>
      </c>
      <c r="B39" s="557" t="s">
        <v>42</v>
      </c>
      <c r="C39" s="557"/>
      <c r="D39" s="557"/>
      <c r="E39" s="557"/>
      <c r="F39" s="557"/>
      <c r="G39" s="279" t="s">
        <v>43</v>
      </c>
      <c r="H39" s="280">
        <v>155000</v>
      </c>
      <c r="I39" s="281">
        <v>29450</v>
      </c>
      <c r="J39" s="282">
        <v>184450</v>
      </c>
    </row>
    <row r="40" spans="1:10">
      <c r="A40" s="278">
        <v>26</v>
      </c>
      <c r="B40" s="557" t="s">
        <v>44</v>
      </c>
      <c r="C40" s="557"/>
      <c r="D40" s="557"/>
      <c r="E40" s="557"/>
      <c r="F40" s="557"/>
      <c r="G40" s="279" t="s">
        <v>45</v>
      </c>
      <c r="H40" s="280">
        <v>90000</v>
      </c>
      <c r="I40" s="281">
        <v>17100</v>
      </c>
      <c r="J40" s="282">
        <v>107100</v>
      </c>
    </row>
    <row r="41" spans="1:10">
      <c r="A41" s="278">
        <v>27</v>
      </c>
      <c r="B41" s="557" t="s">
        <v>183</v>
      </c>
      <c r="C41" s="557"/>
      <c r="D41" s="557"/>
      <c r="E41" s="557"/>
      <c r="F41" s="557"/>
      <c r="G41" s="279" t="s">
        <v>19</v>
      </c>
      <c r="H41" s="280">
        <v>10310</v>
      </c>
      <c r="I41" s="281">
        <v>1958.9</v>
      </c>
      <c r="J41" s="282">
        <v>12268.9</v>
      </c>
    </row>
    <row r="42" spans="1:10">
      <c r="A42" s="278">
        <v>28</v>
      </c>
      <c r="B42" s="557" t="s">
        <v>46</v>
      </c>
      <c r="C42" s="557"/>
      <c r="D42" s="557"/>
      <c r="E42" s="557"/>
      <c r="F42" s="557"/>
      <c r="G42" s="279" t="s">
        <v>19</v>
      </c>
      <c r="H42" s="280">
        <v>13000</v>
      </c>
      <c r="I42" s="281">
        <v>2470</v>
      </c>
      <c r="J42" s="282">
        <v>15470</v>
      </c>
    </row>
    <row r="43" spans="1:10">
      <c r="A43" s="278">
        <v>29</v>
      </c>
      <c r="B43" s="557" t="s">
        <v>47</v>
      </c>
      <c r="C43" s="557"/>
      <c r="D43" s="557"/>
      <c r="E43" s="557"/>
      <c r="F43" s="557"/>
      <c r="G43" s="279" t="s">
        <v>48</v>
      </c>
      <c r="H43" s="280">
        <v>5500</v>
      </c>
      <c r="I43" s="281">
        <v>1045</v>
      </c>
      <c r="J43" s="282">
        <v>6545</v>
      </c>
    </row>
    <row r="44" spans="1:10">
      <c r="A44" s="278">
        <v>30</v>
      </c>
      <c r="B44" s="557" t="s">
        <v>49</v>
      </c>
      <c r="C44" s="557"/>
      <c r="D44" s="557"/>
      <c r="E44" s="557"/>
      <c r="F44" s="557"/>
      <c r="G44" s="279" t="s">
        <v>48</v>
      </c>
      <c r="H44" s="280">
        <v>7800</v>
      </c>
      <c r="I44" s="281">
        <v>1482</v>
      </c>
      <c r="J44" s="282">
        <v>9282</v>
      </c>
    </row>
    <row r="45" spans="1:10">
      <c r="A45" s="278">
        <v>31</v>
      </c>
      <c r="B45" s="557" t="s">
        <v>50</v>
      </c>
      <c r="C45" s="557"/>
      <c r="D45" s="557"/>
      <c r="E45" s="557"/>
      <c r="F45" s="557"/>
      <c r="G45" s="279" t="s">
        <v>48</v>
      </c>
      <c r="H45" s="280">
        <v>9800</v>
      </c>
      <c r="I45" s="281">
        <v>1862</v>
      </c>
      <c r="J45" s="282">
        <v>11662</v>
      </c>
    </row>
    <row r="46" spans="1:10">
      <c r="A46" s="278">
        <v>32</v>
      </c>
      <c r="B46" s="557" t="s">
        <v>51</v>
      </c>
      <c r="C46" s="557"/>
      <c r="D46" s="557"/>
      <c r="E46" s="557"/>
      <c r="F46" s="557"/>
      <c r="G46" s="279" t="s">
        <v>48</v>
      </c>
      <c r="H46" s="280">
        <v>2650</v>
      </c>
      <c r="I46" s="281">
        <v>503.5</v>
      </c>
      <c r="J46" s="282">
        <v>3153.5</v>
      </c>
    </row>
    <row r="47" spans="1:10">
      <c r="A47" s="278">
        <v>33</v>
      </c>
      <c r="B47" s="557" t="s">
        <v>52</v>
      </c>
      <c r="C47" s="557"/>
      <c r="D47" s="557"/>
      <c r="E47" s="557"/>
      <c r="F47" s="557"/>
      <c r="G47" s="279" t="s">
        <v>48</v>
      </c>
      <c r="H47" s="280">
        <v>30000</v>
      </c>
      <c r="I47" s="281">
        <v>5700</v>
      </c>
      <c r="J47" s="282">
        <v>35700</v>
      </c>
    </row>
    <row r="48" spans="1:10">
      <c r="A48" s="278">
        <v>34</v>
      </c>
      <c r="B48" s="557" t="s">
        <v>184</v>
      </c>
      <c r="C48" s="557"/>
      <c r="D48" s="557"/>
      <c r="E48" s="557"/>
      <c r="F48" s="557"/>
      <c r="G48" s="279" t="s">
        <v>19</v>
      </c>
      <c r="H48" s="280">
        <v>398000</v>
      </c>
      <c r="I48" s="281">
        <v>75620</v>
      </c>
      <c r="J48" s="282">
        <v>473620</v>
      </c>
    </row>
    <row r="49" spans="1:10">
      <c r="A49" s="278">
        <v>35</v>
      </c>
      <c r="B49" s="557" t="s">
        <v>53</v>
      </c>
      <c r="C49" s="557"/>
      <c r="D49" s="557"/>
      <c r="E49" s="557"/>
      <c r="F49" s="557"/>
      <c r="G49" s="279" t="s">
        <v>54</v>
      </c>
      <c r="H49" s="280">
        <v>3800</v>
      </c>
      <c r="I49" s="281">
        <v>722</v>
      </c>
      <c r="J49" s="282">
        <v>4522</v>
      </c>
    </row>
    <row r="50" spans="1:10">
      <c r="A50" s="278">
        <v>36</v>
      </c>
      <c r="B50" s="557" t="s">
        <v>55</v>
      </c>
      <c r="C50" s="557"/>
      <c r="D50" s="557"/>
      <c r="E50" s="557"/>
      <c r="F50" s="557"/>
      <c r="G50" s="279" t="s">
        <v>56</v>
      </c>
      <c r="H50" s="280">
        <v>4800</v>
      </c>
      <c r="I50" s="281">
        <v>912</v>
      </c>
      <c r="J50" s="282">
        <v>5712</v>
      </c>
    </row>
    <row r="51" spans="1:10">
      <c r="A51" s="278">
        <v>37</v>
      </c>
      <c r="B51" s="557" t="s">
        <v>57</v>
      </c>
      <c r="C51" s="557"/>
      <c r="D51" s="557"/>
      <c r="E51" s="557"/>
      <c r="F51" s="557"/>
      <c r="G51" s="279" t="s">
        <v>33</v>
      </c>
      <c r="H51" s="280">
        <v>5800</v>
      </c>
      <c r="I51" s="281">
        <v>1102</v>
      </c>
      <c r="J51" s="282">
        <v>6902</v>
      </c>
    </row>
    <row r="52" spans="1:10">
      <c r="A52" s="278">
        <v>38</v>
      </c>
      <c r="B52" s="557" t="s">
        <v>58</v>
      </c>
      <c r="C52" s="557"/>
      <c r="D52" s="557"/>
      <c r="E52" s="557"/>
      <c r="F52" s="557"/>
      <c r="G52" s="279" t="s">
        <v>19</v>
      </c>
      <c r="H52" s="280">
        <v>6800</v>
      </c>
      <c r="I52" s="281">
        <v>1292</v>
      </c>
      <c r="J52" s="282">
        <v>8092</v>
      </c>
    </row>
    <row r="53" spans="1:10">
      <c r="A53" s="278">
        <v>39</v>
      </c>
      <c r="B53" s="557" t="s">
        <v>59</v>
      </c>
      <c r="C53" s="557"/>
      <c r="D53" s="557"/>
      <c r="E53" s="557"/>
      <c r="F53" s="557"/>
      <c r="G53" s="279" t="s">
        <v>56</v>
      </c>
      <c r="H53" s="280">
        <v>5800</v>
      </c>
      <c r="I53" s="281">
        <v>1102</v>
      </c>
      <c r="J53" s="282">
        <v>6902</v>
      </c>
    </row>
    <row r="54" spans="1:10">
      <c r="A54" s="278">
        <v>40</v>
      </c>
      <c r="B54" s="557" t="s">
        <v>185</v>
      </c>
      <c r="C54" s="557"/>
      <c r="D54" s="557"/>
      <c r="E54" s="557"/>
      <c r="F54" s="557"/>
      <c r="G54" s="279" t="s">
        <v>19</v>
      </c>
      <c r="H54" s="280">
        <v>46000</v>
      </c>
      <c r="I54" s="281">
        <v>8740</v>
      </c>
      <c r="J54" s="282">
        <v>54740</v>
      </c>
    </row>
    <row r="55" spans="1:10">
      <c r="A55" s="278">
        <v>41</v>
      </c>
      <c r="B55" s="557" t="s">
        <v>186</v>
      </c>
      <c r="C55" s="557"/>
      <c r="D55" s="557"/>
      <c r="E55" s="557"/>
      <c r="F55" s="557"/>
      <c r="G55" s="279" t="s">
        <v>19</v>
      </c>
      <c r="H55" s="280">
        <v>688000</v>
      </c>
      <c r="I55" s="281">
        <v>130720</v>
      </c>
      <c r="J55" s="282">
        <v>818720</v>
      </c>
    </row>
    <row r="56" spans="1:10">
      <c r="A56" s="278">
        <v>42</v>
      </c>
      <c r="B56" s="557" t="s">
        <v>60</v>
      </c>
      <c r="C56" s="557"/>
      <c r="D56" s="557"/>
      <c r="E56" s="557"/>
      <c r="F56" s="557"/>
      <c r="G56" s="279" t="s">
        <v>19</v>
      </c>
      <c r="H56" s="280">
        <v>179900</v>
      </c>
      <c r="I56" s="281">
        <v>34181</v>
      </c>
      <c r="J56" s="282">
        <v>214081</v>
      </c>
    </row>
    <row r="57" spans="1:10">
      <c r="A57" s="278">
        <v>43</v>
      </c>
      <c r="B57" s="557" t="s">
        <v>61</v>
      </c>
      <c r="C57" s="557"/>
      <c r="D57" s="557"/>
      <c r="E57" s="557"/>
      <c r="F57" s="557"/>
      <c r="G57" s="279" t="s">
        <v>19</v>
      </c>
      <c r="H57" s="280">
        <v>390000</v>
      </c>
      <c r="I57" s="281">
        <v>74100</v>
      </c>
      <c r="J57" s="282">
        <v>464100</v>
      </c>
    </row>
    <row r="58" spans="1:10">
      <c r="A58" s="278">
        <v>44</v>
      </c>
      <c r="B58" s="557" t="s">
        <v>62</v>
      </c>
      <c r="C58" s="557"/>
      <c r="D58" s="557"/>
      <c r="E58" s="557"/>
      <c r="F58" s="557"/>
      <c r="G58" s="279" t="s">
        <v>63</v>
      </c>
      <c r="H58" s="280">
        <v>185000</v>
      </c>
      <c r="I58" s="281">
        <v>35150</v>
      </c>
      <c r="J58" s="282">
        <v>220150</v>
      </c>
    </row>
    <row r="59" spans="1:10">
      <c r="A59" s="278">
        <v>45</v>
      </c>
      <c r="B59" s="557" t="s">
        <v>64</v>
      </c>
      <c r="C59" s="557"/>
      <c r="D59" s="557"/>
      <c r="E59" s="557"/>
      <c r="F59" s="557"/>
      <c r="G59" s="279" t="s">
        <v>39</v>
      </c>
      <c r="H59" s="280">
        <v>4800</v>
      </c>
      <c r="I59" s="281">
        <v>912</v>
      </c>
      <c r="J59" s="282">
        <v>5712</v>
      </c>
    </row>
    <row r="60" spans="1:10">
      <c r="A60" s="278">
        <v>46</v>
      </c>
      <c r="B60" s="557" t="s">
        <v>65</v>
      </c>
      <c r="C60" s="557"/>
      <c r="D60" s="557"/>
      <c r="E60" s="557"/>
      <c r="F60" s="557"/>
      <c r="G60" s="279" t="s">
        <v>43</v>
      </c>
      <c r="H60" s="280">
        <v>49500</v>
      </c>
      <c r="I60" s="281">
        <v>9405</v>
      </c>
      <c r="J60" s="282">
        <v>58905</v>
      </c>
    </row>
    <row r="61" spans="1:10">
      <c r="A61" s="278">
        <v>47</v>
      </c>
      <c r="B61" s="557" t="s">
        <v>66</v>
      </c>
      <c r="C61" s="557"/>
      <c r="D61" s="557"/>
      <c r="E61" s="557"/>
      <c r="F61" s="557"/>
      <c r="G61" s="279" t="s">
        <v>39</v>
      </c>
      <c r="H61" s="280">
        <v>158000</v>
      </c>
      <c r="I61" s="281">
        <v>30020</v>
      </c>
      <c r="J61" s="282">
        <v>188020</v>
      </c>
    </row>
    <row r="62" spans="1:10">
      <c r="A62" s="278">
        <v>48</v>
      </c>
      <c r="B62" s="557" t="s">
        <v>67</v>
      </c>
      <c r="C62" s="557"/>
      <c r="D62" s="557"/>
      <c r="E62" s="557"/>
      <c r="F62" s="557"/>
      <c r="G62" s="279" t="s">
        <v>39</v>
      </c>
      <c r="H62" s="280">
        <v>178000</v>
      </c>
      <c r="I62" s="281">
        <v>33820</v>
      </c>
      <c r="J62" s="282">
        <v>211820</v>
      </c>
    </row>
    <row r="63" spans="1:10">
      <c r="A63" s="278">
        <v>49</v>
      </c>
      <c r="B63" s="557" t="s">
        <v>187</v>
      </c>
      <c r="C63" s="557"/>
      <c r="D63" s="557"/>
      <c r="E63" s="557"/>
      <c r="F63" s="557"/>
      <c r="G63" s="279" t="s">
        <v>68</v>
      </c>
      <c r="H63" s="280">
        <v>9600</v>
      </c>
      <c r="I63" s="281">
        <v>1824</v>
      </c>
      <c r="J63" s="282">
        <v>11424</v>
      </c>
    </row>
    <row r="64" spans="1:10">
      <c r="A64" s="278">
        <v>50</v>
      </c>
      <c r="B64" s="557" t="s">
        <v>69</v>
      </c>
      <c r="C64" s="557"/>
      <c r="D64" s="557"/>
      <c r="E64" s="557"/>
      <c r="F64" s="557"/>
      <c r="G64" s="279" t="s">
        <v>70</v>
      </c>
      <c r="H64" s="280">
        <v>5800</v>
      </c>
      <c r="I64" s="281">
        <v>1102</v>
      </c>
      <c r="J64" s="282">
        <v>6902</v>
      </c>
    </row>
    <row r="65" spans="1:10">
      <c r="A65" s="278">
        <v>51</v>
      </c>
      <c r="B65" s="557" t="s">
        <v>71</v>
      </c>
      <c r="C65" s="557"/>
      <c r="D65" s="557"/>
      <c r="E65" s="557"/>
      <c r="F65" s="557"/>
      <c r="G65" s="279" t="s">
        <v>54</v>
      </c>
      <c r="H65" s="280">
        <v>29600</v>
      </c>
      <c r="I65" s="281">
        <v>5624</v>
      </c>
      <c r="J65" s="282">
        <v>35224</v>
      </c>
    </row>
    <row r="66" spans="1:10">
      <c r="A66" s="278">
        <v>52</v>
      </c>
      <c r="B66" s="557" t="s">
        <v>188</v>
      </c>
      <c r="C66" s="557"/>
      <c r="D66" s="557"/>
      <c r="E66" s="557"/>
      <c r="F66" s="557"/>
      <c r="G66" s="279" t="s">
        <v>72</v>
      </c>
      <c r="H66" s="280">
        <v>3800</v>
      </c>
      <c r="I66" s="281">
        <v>722</v>
      </c>
      <c r="J66" s="282">
        <v>4522</v>
      </c>
    </row>
    <row r="67" spans="1:10">
      <c r="A67" s="278">
        <v>53</v>
      </c>
      <c r="B67" s="557" t="s">
        <v>73</v>
      </c>
      <c r="C67" s="557"/>
      <c r="D67" s="557"/>
      <c r="E67" s="557"/>
      <c r="F67" s="557"/>
      <c r="G67" s="279" t="s">
        <v>19</v>
      </c>
      <c r="H67" s="280">
        <v>79000</v>
      </c>
      <c r="I67" s="281">
        <v>15010</v>
      </c>
      <c r="J67" s="282">
        <v>94010</v>
      </c>
    </row>
    <row r="68" spans="1:10">
      <c r="A68" s="278">
        <v>54</v>
      </c>
      <c r="B68" s="557" t="s">
        <v>74</v>
      </c>
      <c r="C68" s="557"/>
      <c r="D68" s="557"/>
      <c r="E68" s="557"/>
      <c r="F68" s="557"/>
      <c r="G68" s="279" t="s">
        <v>56</v>
      </c>
      <c r="H68" s="280">
        <v>35000</v>
      </c>
      <c r="I68" s="281">
        <v>6650</v>
      </c>
      <c r="J68" s="282">
        <v>41650</v>
      </c>
    </row>
    <row r="69" spans="1:10">
      <c r="A69" s="278">
        <v>55</v>
      </c>
      <c r="B69" s="557" t="s">
        <v>75</v>
      </c>
      <c r="C69" s="557"/>
      <c r="D69" s="557"/>
      <c r="E69" s="557"/>
      <c r="F69" s="557"/>
      <c r="G69" s="279" t="s">
        <v>56</v>
      </c>
      <c r="H69" s="280">
        <v>30000</v>
      </c>
      <c r="I69" s="281">
        <v>5700</v>
      </c>
      <c r="J69" s="282">
        <v>35700</v>
      </c>
    </row>
    <row r="70" spans="1:10">
      <c r="A70" s="278">
        <v>56</v>
      </c>
      <c r="B70" s="557" t="s">
        <v>76</v>
      </c>
      <c r="C70" s="557"/>
      <c r="D70" s="557"/>
      <c r="E70" s="557"/>
      <c r="F70" s="557"/>
      <c r="G70" s="279" t="s">
        <v>77</v>
      </c>
      <c r="H70" s="280">
        <v>34200</v>
      </c>
      <c r="I70" s="281">
        <v>6498</v>
      </c>
      <c r="J70" s="282">
        <v>40698</v>
      </c>
    </row>
    <row r="71" spans="1:10">
      <c r="A71" s="278">
        <v>57</v>
      </c>
      <c r="B71" s="557" t="s">
        <v>78</v>
      </c>
      <c r="C71" s="557"/>
      <c r="D71" s="557"/>
      <c r="E71" s="557"/>
      <c r="F71" s="557"/>
      <c r="G71" s="279" t="s">
        <v>77</v>
      </c>
      <c r="H71" s="280">
        <v>38600</v>
      </c>
      <c r="I71" s="281">
        <v>7334</v>
      </c>
      <c r="J71" s="282">
        <v>45934</v>
      </c>
    </row>
    <row r="72" spans="1:10">
      <c r="A72" s="278">
        <v>58</v>
      </c>
      <c r="B72" s="557" t="s">
        <v>79</v>
      </c>
      <c r="C72" s="557"/>
      <c r="D72" s="557"/>
      <c r="E72" s="557"/>
      <c r="F72" s="557"/>
      <c r="G72" s="279" t="s">
        <v>77</v>
      </c>
      <c r="H72" s="280">
        <v>48500</v>
      </c>
      <c r="I72" s="281">
        <v>9215</v>
      </c>
      <c r="J72" s="282">
        <v>57715</v>
      </c>
    </row>
    <row r="73" spans="1:10">
      <c r="A73" s="278">
        <v>59</v>
      </c>
      <c r="B73" s="557" t="s">
        <v>80</v>
      </c>
      <c r="C73" s="557"/>
      <c r="D73" s="557"/>
      <c r="E73" s="557"/>
      <c r="F73" s="557"/>
      <c r="G73" s="279" t="s">
        <v>77</v>
      </c>
      <c r="H73" s="280">
        <v>53900</v>
      </c>
      <c r="I73" s="281">
        <v>10241</v>
      </c>
      <c r="J73" s="282">
        <v>64141</v>
      </c>
    </row>
    <row r="74" spans="1:10">
      <c r="A74" s="278">
        <v>60</v>
      </c>
      <c r="B74" s="557" t="s">
        <v>189</v>
      </c>
      <c r="C74" s="557"/>
      <c r="D74" s="557"/>
      <c r="E74" s="557"/>
      <c r="F74" s="557"/>
      <c r="G74" s="279" t="s">
        <v>77</v>
      </c>
      <c r="H74" s="280">
        <v>32200</v>
      </c>
      <c r="I74" s="281">
        <v>6118</v>
      </c>
      <c r="J74" s="282">
        <v>38318</v>
      </c>
    </row>
    <row r="75" spans="1:10">
      <c r="A75" s="278">
        <v>61</v>
      </c>
      <c r="B75" s="557" t="s">
        <v>82</v>
      </c>
      <c r="C75" s="557"/>
      <c r="D75" s="557"/>
      <c r="E75" s="557"/>
      <c r="F75" s="557"/>
      <c r="G75" s="279" t="s">
        <v>19</v>
      </c>
      <c r="H75" s="280">
        <v>32000</v>
      </c>
      <c r="I75" s="281">
        <v>6080</v>
      </c>
      <c r="J75" s="282">
        <v>38080</v>
      </c>
    </row>
    <row r="76" spans="1:10">
      <c r="A76" s="278">
        <v>62</v>
      </c>
      <c r="B76" s="557" t="s">
        <v>83</v>
      </c>
      <c r="C76" s="557"/>
      <c r="D76" s="557"/>
      <c r="E76" s="557"/>
      <c r="F76" s="557"/>
      <c r="G76" s="279" t="s">
        <v>19</v>
      </c>
      <c r="H76" s="280">
        <v>42000</v>
      </c>
      <c r="I76" s="281">
        <v>7980</v>
      </c>
      <c r="J76" s="282">
        <v>49980</v>
      </c>
    </row>
    <row r="77" spans="1:10">
      <c r="A77" s="278">
        <v>63</v>
      </c>
      <c r="B77" s="557" t="s">
        <v>84</v>
      </c>
      <c r="C77" s="557"/>
      <c r="D77" s="557"/>
      <c r="E77" s="557"/>
      <c r="F77" s="557"/>
      <c r="G77" s="279" t="s">
        <v>19</v>
      </c>
      <c r="H77" s="280">
        <v>52000</v>
      </c>
      <c r="I77" s="281">
        <v>9880</v>
      </c>
      <c r="J77" s="282">
        <v>61880</v>
      </c>
    </row>
    <row r="78" spans="1:10">
      <c r="A78" s="278">
        <v>64</v>
      </c>
      <c r="B78" s="557" t="s">
        <v>190</v>
      </c>
      <c r="C78" s="557"/>
      <c r="D78" s="557"/>
      <c r="E78" s="557"/>
      <c r="F78" s="557"/>
      <c r="G78" s="279" t="s">
        <v>77</v>
      </c>
      <c r="H78" s="280">
        <v>5000</v>
      </c>
      <c r="I78" s="281">
        <v>950</v>
      </c>
      <c r="J78" s="282">
        <v>5950</v>
      </c>
    </row>
    <row r="79" spans="1:10">
      <c r="A79" s="278">
        <v>65</v>
      </c>
      <c r="B79" s="557" t="s">
        <v>85</v>
      </c>
      <c r="C79" s="557"/>
      <c r="D79" s="557"/>
      <c r="E79" s="557"/>
      <c r="F79" s="557"/>
      <c r="G79" s="279" t="s">
        <v>77</v>
      </c>
      <c r="H79" s="280">
        <v>49000</v>
      </c>
      <c r="I79" s="281">
        <v>9310</v>
      </c>
      <c r="J79" s="282">
        <v>58310</v>
      </c>
    </row>
    <row r="80" spans="1:10">
      <c r="A80" s="278">
        <v>66</v>
      </c>
      <c r="B80" s="557" t="s">
        <v>86</v>
      </c>
      <c r="C80" s="557"/>
      <c r="D80" s="557"/>
      <c r="E80" s="557"/>
      <c r="F80" s="557"/>
      <c r="G80" s="279" t="s">
        <v>19</v>
      </c>
      <c r="H80" s="280">
        <v>4500</v>
      </c>
      <c r="I80" s="281">
        <v>855</v>
      </c>
      <c r="J80" s="282">
        <v>5355</v>
      </c>
    </row>
    <row r="81" spans="1:10">
      <c r="A81" s="278">
        <v>67</v>
      </c>
      <c r="B81" s="557" t="s">
        <v>191</v>
      </c>
      <c r="C81" s="557"/>
      <c r="D81" s="557"/>
      <c r="E81" s="557"/>
      <c r="F81" s="557"/>
      <c r="G81" s="279" t="s">
        <v>19</v>
      </c>
      <c r="H81" s="280">
        <v>7800</v>
      </c>
      <c r="I81" s="281">
        <v>1482</v>
      </c>
      <c r="J81" s="282">
        <v>9282</v>
      </c>
    </row>
    <row r="82" spans="1:10">
      <c r="A82" s="278">
        <v>68</v>
      </c>
      <c r="B82" s="557" t="s">
        <v>192</v>
      </c>
      <c r="C82" s="557"/>
      <c r="D82" s="557"/>
      <c r="E82" s="557"/>
      <c r="F82" s="557"/>
      <c r="G82" s="279" t="s">
        <v>19</v>
      </c>
      <c r="H82" s="280">
        <v>7200</v>
      </c>
      <c r="I82" s="281">
        <v>1368</v>
      </c>
      <c r="J82" s="282">
        <v>8568</v>
      </c>
    </row>
    <row r="83" spans="1:10">
      <c r="A83" s="278">
        <v>69</v>
      </c>
      <c r="B83" s="557" t="s">
        <v>193</v>
      </c>
      <c r="C83" s="557"/>
      <c r="D83" s="557"/>
      <c r="E83" s="557"/>
      <c r="F83" s="557"/>
      <c r="G83" s="279" t="s">
        <v>87</v>
      </c>
      <c r="H83" s="280">
        <v>6500</v>
      </c>
      <c r="I83" s="281">
        <v>1235</v>
      </c>
      <c r="J83" s="282">
        <v>7735</v>
      </c>
    </row>
    <row r="84" spans="1:10">
      <c r="A84" s="278">
        <v>70</v>
      </c>
      <c r="B84" s="557" t="s">
        <v>88</v>
      </c>
      <c r="C84" s="557"/>
      <c r="D84" s="557"/>
      <c r="E84" s="557"/>
      <c r="F84" s="557"/>
      <c r="G84" s="279" t="s">
        <v>87</v>
      </c>
      <c r="H84" s="280">
        <v>6500</v>
      </c>
      <c r="I84" s="281">
        <v>1235</v>
      </c>
      <c r="J84" s="282">
        <v>7735</v>
      </c>
    </row>
    <row r="85" spans="1:10">
      <c r="A85" s="278">
        <v>71</v>
      </c>
      <c r="B85" s="560" t="s">
        <v>194</v>
      </c>
      <c r="C85" s="560"/>
      <c r="D85" s="560"/>
      <c r="E85" s="560"/>
      <c r="F85" s="560"/>
      <c r="G85" s="279" t="s">
        <v>19</v>
      </c>
      <c r="H85" s="280">
        <v>34385</v>
      </c>
      <c r="I85" s="281">
        <v>6533.15</v>
      </c>
      <c r="J85" s="282">
        <v>40918.15</v>
      </c>
    </row>
    <row r="86" spans="1:10">
      <c r="A86" s="278">
        <v>72</v>
      </c>
      <c r="B86" s="557" t="s">
        <v>195</v>
      </c>
      <c r="C86" s="557"/>
      <c r="D86" s="557"/>
      <c r="E86" s="557"/>
      <c r="F86" s="557"/>
      <c r="G86" s="279" t="s">
        <v>89</v>
      </c>
      <c r="H86" s="280">
        <v>340000</v>
      </c>
      <c r="I86" s="281">
        <v>64600</v>
      </c>
      <c r="J86" s="282">
        <v>404600</v>
      </c>
    </row>
    <row r="87" spans="1:10">
      <c r="A87" s="278">
        <v>73</v>
      </c>
      <c r="B87" s="557" t="s">
        <v>196</v>
      </c>
      <c r="C87" s="557"/>
      <c r="D87" s="557"/>
      <c r="E87" s="557"/>
      <c r="F87" s="557"/>
      <c r="G87" s="279" t="s">
        <v>89</v>
      </c>
      <c r="H87" s="280">
        <v>248000</v>
      </c>
      <c r="I87" s="281">
        <v>47120</v>
      </c>
      <c r="J87" s="282">
        <v>295120</v>
      </c>
    </row>
    <row r="88" spans="1:10">
      <c r="A88" s="278">
        <v>74</v>
      </c>
      <c r="B88" s="557" t="s">
        <v>197</v>
      </c>
      <c r="C88" s="557"/>
      <c r="D88" s="557"/>
      <c r="E88" s="557"/>
      <c r="F88" s="557"/>
      <c r="G88" s="279" t="s">
        <v>90</v>
      </c>
      <c r="H88" s="280">
        <v>90000</v>
      </c>
      <c r="I88" s="281">
        <v>17100</v>
      </c>
      <c r="J88" s="282">
        <v>107100</v>
      </c>
    </row>
    <row r="89" spans="1:10">
      <c r="A89" s="278">
        <v>75</v>
      </c>
      <c r="B89" s="557" t="s">
        <v>198</v>
      </c>
      <c r="C89" s="557"/>
      <c r="D89" s="557"/>
      <c r="E89" s="557"/>
      <c r="F89" s="557"/>
      <c r="G89" s="279" t="s">
        <v>39</v>
      </c>
      <c r="H89" s="280">
        <v>69900</v>
      </c>
      <c r="I89" s="281">
        <v>13281</v>
      </c>
      <c r="J89" s="282">
        <v>83181</v>
      </c>
    </row>
    <row r="90" spans="1:10">
      <c r="A90" s="278">
        <v>76</v>
      </c>
      <c r="B90" s="557" t="s">
        <v>92</v>
      </c>
      <c r="C90" s="557"/>
      <c r="D90" s="557"/>
      <c r="E90" s="557"/>
      <c r="F90" s="557"/>
      <c r="G90" s="279" t="s">
        <v>93</v>
      </c>
      <c r="H90" s="280">
        <v>85900</v>
      </c>
      <c r="I90" s="281">
        <v>16321</v>
      </c>
      <c r="J90" s="282">
        <v>102221</v>
      </c>
    </row>
    <row r="91" spans="1:10">
      <c r="A91" s="278">
        <v>77</v>
      </c>
      <c r="B91" s="557" t="s">
        <v>199</v>
      </c>
      <c r="C91" s="557"/>
      <c r="D91" s="557"/>
      <c r="E91" s="557"/>
      <c r="F91" s="557"/>
      <c r="G91" s="279" t="s">
        <v>48</v>
      </c>
      <c r="H91" s="280">
        <v>165000</v>
      </c>
      <c r="I91" s="281">
        <v>31350</v>
      </c>
      <c r="J91" s="282">
        <v>196350</v>
      </c>
    </row>
    <row r="92" spans="1:10">
      <c r="A92" s="278">
        <v>78</v>
      </c>
      <c r="B92" s="557" t="s">
        <v>94</v>
      </c>
      <c r="C92" s="557"/>
      <c r="D92" s="557"/>
      <c r="E92" s="557"/>
      <c r="F92" s="557"/>
      <c r="G92" s="279" t="s">
        <v>95</v>
      </c>
      <c r="H92" s="280">
        <v>47700</v>
      </c>
      <c r="I92" s="281">
        <v>9063</v>
      </c>
      <c r="J92" s="282">
        <v>56763</v>
      </c>
    </row>
    <row r="93" spans="1:10">
      <c r="A93" s="278">
        <v>79</v>
      </c>
      <c r="B93" s="557" t="s">
        <v>96</v>
      </c>
      <c r="C93" s="557"/>
      <c r="D93" s="557"/>
      <c r="E93" s="557"/>
      <c r="F93" s="557"/>
      <c r="G93" s="279" t="s">
        <v>19</v>
      </c>
      <c r="H93" s="280">
        <v>5800</v>
      </c>
      <c r="I93" s="281">
        <v>1102</v>
      </c>
      <c r="J93" s="282">
        <v>6902</v>
      </c>
    </row>
    <row r="94" spans="1:10">
      <c r="A94" s="278">
        <v>80</v>
      </c>
      <c r="B94" s="557" t="s">
        <v>97</v>
      </c>
      <c r="C94" s="557"/>
      <c r="D94" s="557"/>
      <c r="E94" s="557"/>
      <c r="F94" s="557"/>
      <c r="G94" s="279" t="s">
        <v>19</v>
      </c>
      <c r="H94" s="280">
        <v>10900</v>
      </c>
      <c r="I94" s="281">
        <v>2071</v>
      </c>
      <c r="J94" s="282">
        <v>12971</v>
      </c>
    </row>
    <row r="95" spans="1:10">
      <c r="A95" s="278">
        <v>81</v>
      </c>
      <c r="B95" s="557" t="s">
        <v>98</v>
      </c>
      <c r="C95" s="557"/>
      <c r="D95" s="557"/>
      <c r="E95" s="557"/>
      <c r="F95" s="557"/>
      <c r="G95" s="279" t="s">
        <v>19</v>
      </c>
      <c r="H95" s="280">
        <v>28900</v>
      </c>
      <c r="I95" s="281">
        <v>5491</v>
      </c>
      <c r="J95" s="282">
        <v>34391</v>
      </c>
    </row>
    <row r="96" spans="1:10">
      <c r="A96" s="278">
        <v>82</v>
      </c>
      <c r="B96" s="557" t="s">
        <v>99</v>
      </c>
      <c r="C96" s="557"/>
      <c r="D96" s="557"/>
      <c r="E96" s="557"/>
      <c r="F96" s="557"/>
      <c r="G96" s="279" t="s">
        <v>19</v>
      </c>
      <c r="H96" s="280">
        <v>429000</v>
      </c>
      <c r="I96" s="281">
        <v>81510</v>
      </c>
      <c r="J96" s="282">
        <v>510510</v>
      </c>
    </row>
    <row r="97" spans="1:10">
      <c r="A97" s="278">
        <v>83</v>
      </c>
      <c r="B97" s="557" t="s">
        <v>100</v>
      </c>
      <c r="C97" s="557"/>
      <c r="D97" s="557"/>
      <c r="E97" s="557"/>
      <c r="F97" s="557"/>
      <c r="G97" s="279" t="s">
        <v>19</v>
      </c>
      <c r="H97" s="280">
        <v>55000</v>
      </c>
      <c r="I97" s="281">
        <v>10450</v>
      </c>
      <c r="J97" s="282">
        <v>65450</v>
      </c>
    </row>
    <row r="98" spans="1:10">
      <c r="A98" s="278">
        <v>84</v>
      </c>
      <c r="B98" s="557" t="s">
        <v>101</v>
      </c>
      <c r="C98" s="557"/>
      <c r="D98" s="557"/>
      <c r="E98" s="557"/>
      <c r="F98" s="557"/>
      <c r="G98" s="279" t="s">
        <v>102</v>
      </c>
      <c r="H98" s="280">
        <v>18000</v>
      </c>
      <c r="I98" s="281">
        <v>3420</v>
      </c>
      <c r="J98" s="282">
        <v>21420</v>
      </c>
    </row>
    <row r="99" spans="1:10">
      <c r="A99" s="278">
        <v>85</v>
      </c>
      <c r="B99" s="557" t="s">
        <v>103</v>
      </c>
      <c r="C99" s="557"/>
      <c r="D99" s="557"/>
      <c r="E99" s="557"/>
      <c r="F99" s="557"/>
      <c r="G99" s="279" t="s">
        <v>102</v>
      </c>
      <c r="H99" s="280">
        <v>25000</v>
      </c>
      <c r="I99" s="281">
        <v>4750</v>
      </c>
      <c r="J99" s="282">
        <v>29750</v>
      </c>
    </row>
    <row r="100" spans="1:10">
      <c r="A100" s="278">
        <v>86</v>
      </c>
      <c r="B100" s="557" t="s">
        <v>104</v>
      </c>
      <c r="C100" s="557"/>
      <c r="D100" s="557"/>
      <c r="E100" s="557"/>
      <c r="F100" s="557"/>
      <c r="G100" s="279" t="s">
        <v>102</v>
      </c>
      <c r="H100" s="280">
        <v>28000</v>
      </c>
      <c r="I100" s="281">
        <v>5320</v>
      </c>
      <c r="J100" s="282">
        <v>33320</v>
      </c>
    </row>
    <row r="101" spans="1:10">
      <c r="A101" s="278">
        <v>87</v>
      </c>
      <c r="B101" s="557" t="s">
        <v>105</v>
      </c>
      <c r="C101" s="557"/>
      <c r="D101" s="557"/>
      <c r="E101" s="557"/>
      <c r="F101" s="557"/>
      <c r="G101" s="279" t="s">
        <v>102</v>
      </c>
      <c r="H101" s="280">
        <v>38000</v>
      </c>
      <c r="I101" s="281">
        <v>7220</v>
      </c>
      <c r="J101" s="282">
        <v>45220</v>
      </c>
    </row>
    <row r="102" spans="1:10">
      <c r="A102" s="278">
        <v>88</v>
      </c>
      <c r="B102" s="557" t="s">
        <v>106</v>
      </c>
      <c r="C102" s="557"/>
      <c r="D102" s="557"/>
      <c r="E102" s="557"/>
      <c r="F102" s="557"/>
      <c r="G102" s="279" t="s">
        <v>102</v>
      </c>
      <c r="H102" s="280">
        <v>38950</v>
      </c>
      <c r="I102" s="281">
        <v>7400.5</v>
      </c>
      <c r="J102" s="282">
        <v>46350.5</v>
      </c>
    </row>
    <row r="103" spans="1:10">
      <c r="A103" s="278">
        <v>89</v>
      </c>
      <c r="B103" s="557" t="s">
        <v>107</v>
      </c>
      <c r="C103" s="557"/>
      <c r="D103" s="557"/>
      <c r="E103" s="557"/>
      <c r="F103" s="557"/>
      <c r="G103" s="279" t="s">
        <v>19</v>
      </c>
      <c r="H103" s="280">
        <v>750</v>
      </c>
      <c r="I103" s="281">
        <v>142.5</v>
      </c>
      <c r="J103" s="282">
        <v>892.5</v>
      </c>
    </row>
    <row r="104" spans="1:10">
      <c r="A104" s="278">
        <v>90</v>
      </c>
      <c r="B104" s="557" t="s">
        <v>108</v>
      </c>
      <c r="C104" s="557"/>
      <c r="D104" s="557"/>
      <c r="E104" s="557"/>
      <c r="F104" s="557"/>
      <c r="G104" s="279" t="s">
        <v>19</v>
      </c>
      <c r="H104" s="280">
        <v>9900</v>
      </c>
      <c r="I104" s="281">
        <v>1881</v>
      </c>
      <c r="J104" s="282">
        <v>11781</v>
      </c>
    </row>
    <row r="105" spans="1:10">
      <c r="A105" s="278">
        <v>91</v>
      </c>
      <c r="B105" s="557" t="s">
        <v>200</v>
      </c>
      <c r="C105" s="557"/>
      <c r="D105" s="557"/>
      <c r="E105" s="557"/>
      <c r="F105" s="557"/>
      <c r="G105" s="279" t="s">
        <v>19</v>
      </c>
      <c r="H105" s="280">
        <v>10500</v>
      </c>
      <c r="I105" s="281">
        <v>1995</v>
      </c>
      <c r="J105" s="282">
        <v>12495</v>
      </c>
    </row>
    <row r="106" spans="1:10">
      <c r="A106" s="278">
        <v>92</v>
      </c>
      <c r="B106" s="557" t="s">
        <v>109</v>
      </c>
      <c r="C106" s="557"/>
      <c r="D106" s="557"/>
      <c r="E106" s="557"/>
      <c r="F106" s="557"/>
      <c r="G106" s="279" t="s">
        <v>19</v>
      </c>
      <c r="H106" s="280">
        <v>5600</v>
      </c>
      <c r="I106" s="281">
        <v>1064</v>
      </c>
      <c r="J106" s="282">
        <v>6664</v>
      </c>
    </row>
    <row r="107" spans="1:10">
      <c r="A107" s="278">
        <v>93</v>
      </c>
      <c r="B107" s="557" t="s">
        <v>110</v>
      </c>
      <c r="C107" s="557"/>
      <c r="D107" s="557"/>
      <c r="E107" s="557"/>
      <c r="F107" s="557"/>
      <c r="G107" s="279" t="s">
        <v>77</v>
      </c>
      <c r="H107" s="280">
        <v>20400</v>
      </c>
      <c r="I107" s="281">
        <v>3876</v>
      </c>
      <c r="J107" s="282">
        <v>24276</v>
      </c>
    </row>
    <row r="108" spans="1:10">
      <c r="A108" s="278">
        <v>94</v>
      </c>
      <c r="B108" s="557" t="s">
        <v>111</v>
      </c>
      <c r="C108" s="557"/>
      <c r="D108" s="557"/>
      <c r="E108" s="557"/>
      <c r="F108" s="557"/>
      <c r="G108" s="279" t="s">
        <v>19</v>
      </c>
      <c r="H108" s="280">
        <v>39900</v>
      </c>
      <c r="I108" s="281">
        <v>7581</v>
      </c>
      <c r="J108" s="282">
        <v>47481</v>
      </c>
    </row>
    <row r="109" spans="1:10">
      <c r="A109" s="278">
        <v>95</v>
      </c>
      <c r="B109" s="557" t="s">
        <v>201</v>
      </c>
      <c r="C109" s="557"/>
      <c r="D109" s="557"/>
      <c r="E109" s="557"/>
      <c r="F109" s="557"/>
      <c r="G109" s="279" t="s">
        <v>19</v>
      </c>
      <c r="H109" s="280">
        <v>2950</v>
      </c>
      <c r="I109" s="281">
        <v>560.5</v>
      </c>
      <c r="J109" s="282">
        <v>3510.5</v>
      </c>
    </row>
    <row r="110" spans="1:10">
      <c r="A110" s="278">
        <v>96</v>
      </c>
      <c r="B110" s="557" t="s">
        <v>112</v>
      </c>
      <c r="C110" s="557"/>
      <c r="D110" s="557"/>
      <c r="E110" s="557"/>
      <c r="F110" s="557"/>
      <c r="G110" s="279" t="s">
        <v>43</v>
      </c>
      <c r="H110" s="280">
        <v>25000</v>
      </c>
      <c r="I110" s="281">
        <v>4750</v>
      </c>
      <c r="J110" s="282">
        <v>29750</v>
      </c>
    </row>
    <row r="111" spans="1:10">
      <c r="A111" s="278">
        <v>97</v>
      </c>
      <c r="B111" s="557" t="s">
        <v>202</v>
      </c>
      <c r="C111" s="557"/>
      <c r="D111" s="557"/>
      <c r="E111" s="557"/>
      <c r="F111" s="557"/>
      <c r="G111" s="279" t="s">
        <v>43</v>
      </c>
      <c r="H111" s="280">
        <v>27000</v>
      </c>
      <c r="I111" s="281">
        <v>5130</v>
      </c>
      <c r="J111" s="282">
        <v>32130</v>
      </c>
    </row>
    <row r="112" spans="1:10">
      <c r="A112" s="278">
        <v>98</v>
      </c>
      <c r="B112" s="557" t="s">
        <v>113</v>
      </c>
      <c r="C112" s="557"/>
      <c r="D112" s="557"/>
      <c r="E112" s="557"/>
      <c r="F112" s="557"/>
      <c r="G112" s="279" t="s">
        <v>43</v>
      </c>
      <c r="H112" s="280">
        <v>30500</v>
      </c>
      <c r="I112" s="281">
        <v>5795</v>
      </c>
      <c r="J112" s="282">
        <v>36295</v>
      </c>
    </row>
    <row r="113" spans="1:10">
      <c r="A113" s="278">
        <v>99</v>
      </c>
      <c r="B113" s="557" t="s">
        <v>114</v>
      </c>
      <c r="C113" s="557"/>
      <c r="D113" s="557"/>
      <c r="E113" s="557"/>
      <c r="F113" s="557"/>
      <c r="G113" s="279" t="s">
        <v>115</v>
      </c>
      <c r="H113" s="280">
        <v>19500</v>
      </c>
      <c r="I113" s="281">
        <v>3705</v>
      </c>
      <c r="J113" s="282">
        <v>23205</v>
      </c>
    </row>
    <row r="114" spans="1:10">
      <c r="A114" s="278">
        <v>100</v>
      </c>
      <c r="B114" s="557" t="s">
        <v>116</v>
      </c>
      <c r="C114" s="557"/>
      <c r="D114" s="557"/>
      <c r="E114" s="557"/>
      <c r="F114" s="557"/>
      <c r="G114" s="279" t="s">
        <v>115</v>
      </c>
      <c r="H114" s="280">
        <v>21500</v>
      </c>
      <c r="I114" s="281">
        <v>4085</v>
      </c>
      <c r="J114" s="282">
        <v>25585</v>
      </c>
    </row>
    <row r="115" spans="1:10">
      <c r="A115" s="278">
        <v>101</v>
      </c>
      <c r="B115" s="557" t="s">
        <v>117</v>
      </c>
      <c r="C115" s="557"/>
      <c r="D115" s="557"/>
      <c r="E115" s="557"/>
      <c r="F115" s="557"/>
      <c r="G115" s="279" t="s">
        <v>43</v>
      </c>
      <c r="H115" s="280">
        <v>40500</v>
      </c>
      <c r="I115" s="281">
        <v>7695</v>
      </c>
      <c r="J115" s="282">
        <v>48195</v>
      </c>
    </row>
    <row r="116" spans="1:10">
      <c r="A116" s="278">
        <v>102</v>
      </c>
      <c r="B116" s="557" t="s">
        <v>118</v>
      </c>
      <c r="C116" s="557"/>
      <c r="D116" s="557"/>
      <c r="E116" s="557"/>
      <c r="F116" s="557"/>
      <c r="G116" s="279" t="s">
        <v>19</v>
      </c>
      <c r="H116" s="280">
        <v>7500</v>
      </c>
      <c r="I116" s="281">
        <v>1425</v>
      </c>
      <c r="J116" s="282">
        <v>8925</v>
      </c>
    </row>
    <row r="117" spans="1:10">
      <c r="A117" s="278">
        <v>103</v>
      </c>
      <c r="B117" s="557" t="s">
        <v>119</v>
      </c>
      <c r="C117" s="557"/>
      <c r="D117" s="557"/>
      <c r="E117" s="557"/>
      <c r="F117" s="557"/>
      <c r="G117" s="279" t="s">
        <v>19</v>
      </c>
      <c r="H117" s="280">
        <v>139000</v>
      </c>
      <c r="I117" s="281">
        <v>26410</v>
      </c>
      <c r="J117" s="282">
        <v>165410</v>
      </c>
    </row>
    <row r="118" spans="1:10">
      <c r="A118" s="278">
        <v>104</v>
      </c>
      <c r="B118" s="557" t="s">
        <v>203</v>
      </c>
      <c r="C118" s="557"/>
      <c r="D118" s="557"/>
      <c r="E118" s="557"/>
      <c r="F118" s="557"/>
      <c r="G118" s="279" t="s">
        <v>19</v>
      </c>
      <c r="H118" s="280">
        <v>395000</v>
      </c>
      <c r="I118" s="281">
        <v>75050</v>
      </c>
      <c r="J118" s="282">
        <v>470050</v>
      </c>
    </row>
    <row r="119" spans="1:10">
      <c r="A119" s="278">
        <v>105</v>
      </c>
      <c r="B119" s="557" t="s">
        <v>204</v>
      </c>
      <c r="C119" s="557"/>
      <c r="D119" s="557"/>
      <c r="E119" s="557"/>
      <c r="F119" s="557"/>
      <c r="G119" s="279" t="s">
        <v>19</v>
      </c>
      <c r="H119" s="280">
        <v>105000</v>
      </c>
      <c r="I119" s="281">
        <v>19950</v>
      </c>
      <c r="J119" s="282">
        <v>124950</v>
      </c>
    </row>
    <row r="120" spans="1:10">
      <c r="A120" s="278">
        <v>106</v>
      </c>
      <c r="B120" s="557" t="s">
        <v>120</v>
      </c>
      <c r="C120" s="557"/>
      <c r="D120" s="557"/>
      <c r="E120" s="557"/>
      <c r="F120" s="557"/>
      <c r="G120" s="279" t="s">
        <v>19</v>
      </c>
      <c r="H120" s="280">
        <v>140000</v>
      </c>
      <c r="I120" s="281">
        <v>26600</v>
      </c>
      <c r="J120" s="282">
        <v>166600</v>
      </c>
    </row>
    <row r="121" spans="1:10">
      <c r="A121" s="278">
        <v>107</v>
      </c>
      <c r="B121" s="557" t="s">
        <v>205</v>
      </c>
      <c r="C121" s="557"/>
      <c r="D121" s="557"/>
      <c r="E121" s="557"/>
      <c r="F121" s="557"/>
      <c r="G121" s="279" t="s">
        <v>31</v>
      </c>
      <c r="H121" s="280">
        <v>38000</v>
      </c>
      <c r="I121" s="281">
        <v>7220</v>
      </c>
      <c r="J121" s="282">
        <v>45220</v>
      </c>
    </row>
    <row r="122" spans="1:10">
      <c r="A122" s="278">
        <v>108</v>
      </c>
      <c r="B122" s="557" t="s">
        <v>121</v>
      </c>
      <c r="C122" s="557"/>
      <c r="D122" s="557"/>
      <c r="E122" s="557"/>
      <c r="F122" s="557"/>
      <c r="G122" s="279" t="s">
        <v>33</v>
      </c>
      <c r="H122" s="280">
        <v>25900</v>
      </c>
      <c r="I122" s="281">
        <v>4921</v>
      </c>
      <c r="J122" s="282">
        <v>30821</v>
      </c>
    </row>
    <row r="123" spans="1:10">
      <c r="A123" s="278">
        <v>109</v>
      </c>
      <c r="B123" s="557" t="s">
        <v>206</v>
      </c>
      <c r="C123" s="557"/>
      <c r="D123" s="557"/>
      <c r="E123" s="557"/>
      <c r="F123" s="557"/>
      <c r="G123" s="279" t="s">
        <v>43</v>
      </c>
      <c r="H123" s="280">
        <v>75000</v>
      </c>
      <c r="I123" s="281">
        <v>14250</v>
      </c>
      <c r="J123" s="282">
        <v>89250</v>
      </c>
    </row>
    <row r="124" spans="1:10">
      <c r="A124" s="278">
        <v>110</v>
      </c>
      <c r="B124" s="557" t="s">
        <v>122</v>
      </c>
      <c r="C124" s="557"/>
      <c r="D124" s="557"/>
      <c r="E124" s="557"/>
      <c r="F124" s="557"/>
      <c r="G124" s="279" t="s">
        <v>19</v>
      </c>
      <c r="H124" s="280">
        <v>9400</v>
      </c>
      <c r="I124" s="281">
        <v>1786</v>
      </c>
      <c r="J124" s="282">
        <v>11186</v>
      </c>
    </row>
    <row r="125" spans="1:10">
      <c r="A125" s="278">
        <v>111</v>
      </c>
      <c r="B125" s="557" t="s">
        <v>123</v>
      </c>
      <c r="C125" s="557"/>
      <c r="D125" s="557"/>
      <c r="E125" s="557"/>
      <c r="F125" s="557"/>
      <c r="G125" s="279" t="s">
        <v>19</v>
      </c>
      <c r="H125" s="280">
        <v>4500</v>
      </c>
      <c r="I125" s="281">
        <v>855</v>
      </c>
      <c r="J125" s="282">
        <v>5355</v>
      </c>
    </row>
    <row r="126" spans="1:10">
      <c r="A126" s="278">
        <v>112</v>
      </c>
      <c r="B126" s="557" t="s">
        <v>124</v>
      </c>
      <c r="C126" s="557"/>
      <c r="D126" s="557"/>
      <c r="E126" s="557"/>
      <c r="F126" s="557"/>
      <c r="G126" s="279" t="s">
        <v>19</v>
      </c>
      <c r="H126" s="280">
        <v>453000</v>
      </c>
      <c r="I126" s="281">
        <v>86070</v>
      </c>
      <c r="J126" s="282">
        <v>539070</v>
      </c>
    </row>
    <row r="127" spans="1:10">
      <c r="A127" s="278">
        <v>113</v>
      </c>
      <c r="B127" s="557" t="s">
        <v>125</v>
      </c>
      <c r="C127" s="557"/>
      <c r="D127" s="557"/>
      <c r="E127" s="557"/>
      <c r="F127" s="557"/>
      <c r="G127" s="279" t="s">
        <v>19</v>
      </c>
      <c r="H127" s="280">
        <v>1427000</v>
      </c>
      <c r="I127" s="281">
        <v>271130</v>
      </c>
      <c r="J127" s="282">
        <v>1698130</v>
      </c>
    </row>
    <row r="128" spans="1:10">
      <c r="A128" s="278">
        <v>114</v>
      </c>
      <c r="B128" s="557" t="s">
        <v>126</v>
      </c>
      <c r="C128" s="557"/>
      <c r="D128" s="557"/>
      <c r="E128" s="557"/>
      <c r="F128" s="557"/>
      <c r="G128" s="279" t="s">
        <v>19</v>
      </c>
      <c r="H128" s="280">
        <v>750000</v>
      </c>
      <c r="I128" s="281">
        <v>142500</v>
      </c>
      <c r="J128" s="282">
        <v>892500</v>
      </c>
    </row>
    <row r="129" spans="1:10">
      <c r="A129" s="278">
        <v>115</v>
      </c>
      <c r="B129" s="557" t="s">
        <v>127</v>
      </c>
      <c r="C129" s="557"/>
      <c r="D129" s="557"/>
      <c r="E129" s="557"/>
      <c r="F129" s="557"/>
      <c r="G129" s="279" t="s">
        <v>19</v>
      </c>
      <c r="H129" s="280">
        <v>750000</v>
      </c>
      <c r="I129" s="281">
        <v>142500</v>
      </c>
      <c r="J129" s="282">
        <v>892500</v>
      </c>
    </row>
    <row r="130" spans="1:10">
      <c r="A130" s="278">
        <v>116</v>
      </c>
      <c r="B130" s="557" t="s">
        <v>128</v>
      </c>
      <c r="C130" s="557"/>
      <c r="D130" s="557"/>
      <c r="E130" s="557"/>
      <c r="F130" s="557"/>
      <c r="G130" s="279" t="s">
        <v>19</v>
      </c>
      <c r="H130" s="280">
        <v>750000</v>
      </c>
      <c r="I130" s="281">
        <v>142500</v>
      </c>
      <c r="J130" s="282">
        <v>892500</v>
      </c>
    </row>
    <row r="131" spans="1:10">
      <c r="A131" s="278">
        <v>117</v>
      </c>
      <c r="B131" s="557" t="s">
        <v>129</v>
      </c>
      <c r="C131" s="557"/>
      <c r="D131" s="557"/>
      <c r="E131" s="557"/>
      <c r="F131" s="557"/>
      <c r="G131" s="279" t="s">
        <v>19</v>
      </c>
      <c r="H131" s="280">
        <v>750000</v>
      </c>
      <c r="I131" s="281">
        <v>142500</v>
      </c>
      <c r="J131" s="282">
        <v>892500</v>
      </c>
    </row>
    <row r="132" spans="1:10">
      <c r="A132" s="278">
        <v>118</v>
      </c>
      <c r="B132" s="557" t="s">
        <v>130</v>
      </c>
      <c r="C132" s="557"/>
      <c r="D132" s="557"/>
      <c r="E132" s="557"/>
      <c r="F132" s="557"/>
      <c r="G132" s="279" t="s">
        <v>19</v>
      </c>
      <c r="H132" s="280">
        <v>8900</v>
      </c>
      <c r="I132" s="281">
        <v>1691</v>
      </c>
      <c r="J132" s="282">
        <v>10591</v>
      </c>
    </row>
    <row r="133" spans="1:10">
      <c r="A133" s="278">
        <v>119</v>
      </c>
      <c r="B133" s="557" t="s">
        <v>131</v>
      </c>
      <c r="C133" s="557"/>
      <c r="D133" s="557"/>
      <c r="E133" s="557"/>
      <c r="F133" s="557"/>
      <c r="G133" s="279" t="s">
        <v>19</v>
      </c>
      <c r="H133" s="280">
        <v>8900</v>
      </c>
      <c r="I133" s="281">
        <v>1691</v>
      </c>
      <c r="J133" s="282">
        <v>10591</v>
      </c>
    </row>
    <row r="134" spans="1:10">
      <c r="A134" s="278">
        <v>120</v>
      </c>
      <c r="B134" s="557" t="s">
        <v>132</v>
      </c>
      <c r="C134" s="557"/>
      <c r="D134" s="557"/>
      <c r="E134" s="557"/>
      <c r="F134" s="557"/>
      <c r="G134" s="279" t="s">
        <v>48</v>
      </c>
      <c r="H134" s="280">
        <v>49500</v>
      </c>
      <c r="I134" s="281">
        <v>9405</v>
      </c>
      <c r="J134" s="282">
        <v>58905</v>
      </c>
    </row>
    <row r="135" spans="1:10">
      <c r="A135" s="278">
        <v>121</v>
      </c>
      <c r="B135" s="557" t="s">
        <v>133</v>
      </c>
      <c r="C135" s="557"/>
      <c r="D135" s="557"/>
      <c r="E135" s="557"/>
      <c r="F135" s="557"/>
      <c r="G135" s="279" t="s">
        <v>19</v>
      </c>
      <c r="H135" s="280">
        <v>659000</v>
      </c>
      <c r="I135" s="281">
        <v>125210</v>
      </c>
      <c r="J135" s="282">
        <v>784210</v>
      </c>
    </row>
    <row r="136" spans="1:10" ht="24" customHeight="1">
      <c r="A136" s="278">
        <v>122</v>
      </c>
      <c r="B136" s="557" t="s">
        <v>207</v>
      </c>
      <c r="C136" s="557"/>
      <c r="D136" s="557"/>
      <c r="E136" s="557"/>
      <c r="F136" s="557"/>
      <c r="G136" s="279" t="s">
        <v>19</v>
      </c>
      <c r="H136" s="283">
        <v>7500</v>
      </c>
      <c r="I136" s="286">
        <v>1425</v>
      </c>
      <c r="J136" s="287">
        <v>8925</v>
      </c>
    </row>
    <row r="137" spans="1:10" ht="96.6">
      <c r="A137" s="278">
        <v>123</v>
      </c>
      <c r="B137" s="557" t="s">
        <v>208</v>
      </c>
      <c r="C137" s="557"/>
      <c r="D137" s="557"/>
      <c r="E137" s="557"/>
      <c r="F137" s="557"/>
      <c r="G137" s="284" t="s">
        <v>209</v>
      </c>
      <c r="H137" s="283">
        <v>5800</v>
      </c>
      <c r="I137" s="281">
        <v>1102</v>
      </c>
      <c r="J137" s="282">
        <v>6902</v>
      </c>
    </row>
    <row r="138" spans="1:10" ht="15.6">
      <c r="A138" s="558" t="s">
        <v>135</v>
      </c>
      <c r="B138" s="559"/>
      <c r="C138" s="559"/>
      <c r="D138" s="559"/>
      <c r="E138" s="559"/>
      <c r="F138" s="559"/>
      <c r="G138" s="559"/>
      <c r="H138" s="559"/>
      <c r="I138" s="559"/>
      <c r="J138" s="285">
        <v>15684729.550000001</v>
      </c>
    </row>
    <row r="139" spans="1:10">
      <c r="A139" s="542"/>
      <c r="B139" s="543"/>
      <c r="C139" s="543"/>
      <c r="D139" s="543"/>
      <c r="E139" s="543"/>
      <c r="F139" s="543"/>
      <c r="G139" s="543"/>
      <c r="H139" s="543"/>
      <c r="I139" s="543"/>
      <c r="J139" s="544"/>
    </row>
    <row r="140" spans="1:10">
      <c r="A140" s="545" t="s">
        <v>210</v>
      </c>
      <c r="B140" s="546"/>
      <c r="C140" s="546"/>
      <c r="D140" s="546"/>
      <c r="E140" s="546"/>
      <c r="F140" s="546"/>
      <c r="G140" s="546"/>
      <c r="H140" s="546"/>
      <c r="I140" s="546"/>
      <c r="J140" s="547"/>
    </row>
    <row r="141" spans="1:10">
      <c r="A141" s="548"/>
      <c r="B141" s="549"/>
      <c r="C141" s="549"/>
      <c r="D141" s="549"/>
      <c r="E141" s="549"/>
      <c r="F141" s="549"/>
      <c r="G141" s="549"/>
      <c r="H141" s="549"/>
      <c r="I141" s="549"/>
      <c r="J141" s="550"/>
    </row>
    <row r="142" spans="1:10">
      <c r="A142" s="551"/>
      <c r="B142" s="552"/>
      <c r="C142" s="552"/>
      <c r="D142" s="552"/>
      <c r="E142" s="552"/>
      <c r="F142" s="552"/>
      <c r="G142" s="552"/>
      <c r="H142" s="552"/>
      <c r="I142" s="552"/>
      <c r="J142" s="553"/>
    </row>
    <row r="143" spans="1:10">
      <c r="A143" s="551"/>
      <c r="B143" s="552"/>
      <c r="C143" s="552"/>
      <c r="D143" s="552"/>
      <c r="E143" s="552"/>
      <c r="F143" s="552"/>
      <c r="G143" s="552"/>
      <c r="H143" s="552"/>
      <c r="I143" s="552"/>
      <c r="J143" s="553"/>
    </row>
    <row r="144" spans="1:10">
      <c r="A144" s="551"/>
      <c r="B144" s="552"/>
      <c r="C144" s="552"/>
      <c r="D144" s="552"/>
      <c r="E144" s="552"/>
      <c r="F144" s="552"/>
      <c r="G144" s="552"/>
      <c r="H144" s="552"/>
      <c r="I144" s="552"/>
      <c r="J144" s="553"/>
    </row>
    <row r="145" spans="1:10">
      <c r="A145" s="554"/>
      <c r="B145" s="555"/>
      <c r="C145" s="555"/>
      <c r="D145" s="555"/>
      <c r="E145" s="555"/>
      <c r="F145" s="555"/>
      <c r="G145" s="555"/>
      <c r="H145" s="555"/>
      <c r="I145" s="555"/>
      <c r="J145" s="556"/>
    </row>
  </sheetData>
  <mergeCells count="144">
    <mergeCell ref="A1:J1"/>
    <mergeCell ref="A2:J2"/>
    <mergeCell ref="A4:C4"/>
    <mergeCell ref="D4:J4"/>
    <mergeCell ref="B6:D6"/>
    <mergeCell ref="F6:G6"/>
    <mergeCell ref="I6:J6"/>
    <mergeCell ref="B17:F17"/>
    <mergeCell ref="B18:F18"/>
    <mergeCell ref="A10:J10"/>
    <mergeCell ref="A12:C12"/>
    <mergeCell ref="D12:G12"/>
    <mergeCell ref="B7:D7"/>
    <mergeCell ref="F7:G7"/>
    <mergeCell ref="I7:J7"/>
    <mergeCell ref="B8:D8"/>
    <mergeCell ref="F8:G8"/>
    <mergeCell ref="I8:J8"/>
    <mergeCell ref="B19:F19"/>
    <mergeCell ref="B20:F20"/>
    <mergeCell ref="B21:F21"/>
    <mergeCell ref="B22:F22"/>
    <mergeCell ref="B14:F14"/>
    <mergeCell ref="B15:F15"/>
    <mergeCell ref="B16:F16"/>
    <mergeCell ref="B29:F29"/>
    <mergeCell ref="B30:F30"/>
    <mergeCell ref="B31:F31"/>
    <mergeCell ref="B32:F32"/>
    <mergeCell ref="B33:F33"/>
    <mergeCell ref="B34:F34"/>
    <mergeCell ref="B23:F23"/>
    <mergeCell ref="B24:F24"/>
    <mergeCell ref="B25:F25"/>
    <mergeCell ref="B26:F26"/>
    <mergeCell ref="B27:F27"/>
    <mergeCell ref="B28:F28"/>
    <mergeCell ref="B41:F41"/>
    <mergeCell ref="B42:F42"/>
    <mergeCell ref="B43:F43"/>
    <mergeCell ref="B44:F44"/>
    <mergeCell ref="B45:F45"/>
    <mergeCell ref="B46:F46"/>
    <mergeCell ref="B35:F35"/>
    <mergeCell ref="B36:F36"/>
    <mergeCell ref="B37:F37"/>
    <mergeCell ref="B38:F38"/>
    <mergeCell ref="B39:F39"/>
    <mergeCell ref="B40:F40"/>
    <mergeCell ref="B53:F53"/>
    <mergeCell ref="B54:F54"/>
    <mergeCell ref="B55:F55"/>
    <mergeCell ref="B56:F56"/>
    <mergeCell ref="B57:F57"/>
    <mergeCell ref="B58:F58"/>
    <mergeCell ref="B47:F47"/>
    <mergeCell ref="B48:F48"/>
    <mergeCell ref="B49:F49"/>
    <mergeCell ref="B50:F50"/>
    <mergeCell ref="B51:F51"/>
    <mergeCell ref="B52:F52"/>
    <mergeCell ref="B65:F65"/>
    <mergeCell ref="B66:F66"/>
    <mergeCell ref="B67:F67"/>
    <mergeCell ref="B68:F68"/>
    <mergeCell ref="B69:F69"/>
    <mergeCell ref="B70:F70"/>
    <mergeCell ref="B59:F59"/>
    <mergeCell ref="B60:F60"/>
    <mergeCell ref="B61:F61"/>
    <mergeCell ref="B62:F62"/>
    <mergeCell ref="B63:F63"/>
    <mergeCell ref="B64:F64"/>
    <mergeCell ref="B77:F77"/>
    <mergeCell ref="B78:F78"/>
    <mergeCell ref="B79:F79"/>
    <mergeCell ref="B80:F80"/>
    <mergeCell ref="B81:F81"/>
    <mergeCell ref="B82:F82"/>
    <mergeCell ref="B71:F71"/>
    <mergeCell ref="B72:F72"/>
    <mergeCell ref="B73:F73"/>
    <mergeCell ref="B74:F74"/>
    <mergeCell ref="B75:F75"/>
    <mergeCell ref="B76:F76"/>
    <mergeCell ref="B89:F89"/>
    <mergeCell ref="B90:F90"/>
    <mergeCell ref="B91:F91"/>
    <mergeCell ref="B92:F92"/>
    <mergeCell ref="B93:F93"/>
    <mergeCell ref="B94:F94"/>
    <mergeCell ref="B83:F83"/>
    <mergeCell ref="B84:F84"/>
    <mergeCell ref="B85:F85"/>
    <mergeCell ref="B86:F86"/>
    <mergeCell ref="B87:F87"/>
    <mergeCell ref="B88:F88"/>
    <mergeCell ref="B101:F101"/>
    <mergeCell ref="B102:F102"/>
    <mergeCell ref="B103:F103"/>
    <mergeCell ref="B104:F104"/>
    <mergeCell ref="B105:F105"/>
    <mergeCell ref="B106:F106"/>
    <mergeCell ref="B95:F95"/>
    <mergeCell ref="B96:F96"/>
    <mergeCell ref="B97:F97"/>
    <mergeCell ref="B98:F98"/>
    <mergeCell ref="B99:F99"/>
    <mergeCell ref="B100:F100"/>
    <mergeCell ref="B113:F113"/>
    <mergeCell ref="B114:F114"/>
    <mergeCell ref="B115:F115"/>
    <mergeCell ref="B116:F116"/>
    <mergeCell ref="B117:F117"/>
    <mergeCell ref="B118:F118"/>
    <mergeCell ref="B107:F107"/>
    <mergeCell ref="B108:F108"/>
    <mergeCell ref="B109:F109"/>
    <mergeCell ref="B110:F110"/>
    <mergeCell ref="B111:F111"/>
    <mergeCell ref="B112:F112"/>
    <mergeCell ref="B125:F125"/>
    <mergeCell ref="B126:F126"/>
    <mergeCell ref="B127:F127"/>
    <mergeCell ref="B128:F128"/>
    <mergeCell ref="B129:F129"/>
    <mergeCell ref="B130:F130"/>
    <mergeCell ref="B119:F119"/>
    <mergeCell ref="B120:F120"/>
    <mergeCell ref="B121:F121"/>
    <mergeCell ref="B122:F122"/>
    <mergeCell ref="B123:F123"/>
    <mergeCell ref="B124:F124"/>
    <mergeCell ref="A139:J139"/>
    <mergeCell ref="A140:J140"/>
    <mergeCell ref="A141:J145"/>
    <mergeCell ref="B137:F137"/>
    <mergeCell ref="A138:I138"/>
    <mergeCell ref="B131:F131"/>
    <mergeCell ref="B132:F132"/>
    <mergeCell ref="B133:F133"/>
    <mergeCell ref="B134:F134"/>
    <mergeCell ref="B135:F135"/>
    <mergeCell ref="B136:F136"/>
  </mergeCells>
  <hyperlinks>
    <hyperlink ref="F8" r:id="rId1" xr:uid="{FAC00D9E-EBA3-4A8C-80A1-06EE7B30144D}"/>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641EE-EBC6-4CAD-92CE-7F2EA7381ABF}">
  <sheetPr>
    <tabColor rgb="FFFF0000"/>
  </sheetPr>
  <dimension ref="A1:L148"/>
  <sheetViews>
    <sheetView showGridLines="0" topLeftCell="A130" workbookViewId="0">
      <selection activeCell="A141" sqref="A141:J145"/>
    </sheetView>
  </sheetViews>
  <sheetFormatPr baseColWidth="10" defaultColWidth="0" defaultRowHeight="14.4" zeroHeight="1"/>
  <cols>
    <col min="1" max="6" width="11.44140625" style="17" customWidth="1"/>
    <col min="7" max="7" width="15" style="17" customWidth="1"/>
    <col min="8" max="8" width="14.33203125" style="17" customWidth="1"/>
    <col min="9" max="9" width="13.109375" style="17" customWidth="1"/>
    <col min="10" max="10" width="16.33203125" style="17" customWidth="1"/>
    <col min="11" max="12" width="11.44140625" style="17" customWidth="1"/>
    <col min="13" max="16384" width="11.44140625" style="17" hidden="1"/>
  </cols>
  <sheetData>
    <row r="1" spans="1:10" ht="43.5" customHeight="1">
      <c r="A1" s="485" t="s">
        <v>2</v>
      </c>
      <c r="B1" s="486"/>
      <c r="C1" s="486"/>
      <c r="D1" s="486"/>
      <c r="E1" s="486"/>
      <c r="F1" s="486"/>
      <c r="G1" s="486"/>
      <c r="H1" s="486"/>
      <c r="I1" s="486"/>
      <c r="J1" s="487"/>
    </row>
    <row r="2" spans="1:10" ht="27.75" customHeight="1">
      <c r="A2" s="488" t="s">
        <v>162</v>
      </c>
      <c r="B2" s="489"/>
      <c r="C2" s="489"/>
      <c r="D2" s="489"/>
      <c r="E2" s="489"/>
      <c r="F2" s="489"/>
      <c r="G2" s="489"/>
      <c r="H2" s="489"/>
      <c r="I2" s="489"/>
      <c r="J2" s="490"/>
    </row>
    <row r="3" spans="1:10">
      <c r="A3" s="18"/>
      <c r="B3" s="19"/>
      <c r="C3" s="19"/>
      <c r="D3" s="19"/>
      <c r="E3" s="19"/>
      <c r="F3" s="19"/>
      <c r="G3" s="20"/>
      <c r="H3" s="21"/>
      <c r="I3" s="21"/>
      <c r="J3" s="22"/>
    </row>
    <row r="4" spans="1:10" ht="40.950000000000003" customHeight="1">
      <c r="A4" s="491" t="s">
        <v>163</v>
      </c>
      <c r="B4" s="492"/>
      <c r="C4" s="492"/>
      <c r="D4" s="493" t="s">
        <v>164</v>
      </c>
      <c r="E4" s="494"/>
      <c r="F4" s="494"/>
      <c r="G4" s="494"/>
      <c r="H4" s="494"/>
      <c r="I4" s="494"/>
      <c r="J4" s="495"/>
    </row>
    <row r="5" spans="1:10">
      <c r="A5" s="18"/>
      <c r="B5" s="19"/>
      <c r="C5" s="19"/>
      <c r="D5" s="19"/>
      <c r="E5" s="19"/>
      <c r="F5" s="19"/>
      <c r="G5" s="20"/>
      <c r="H5" s="21"/>
      <c r="I5" s="21"/>
      <c r="J5" s="22"/>
    </row>
    <row r="6" spans="1:10" ht="21" customHeight="1">
      <c r="A6" s="23" t="s">
        <v>4</v>
      </c>
      <c r="B6" s="496" t="s">
        <v>219</v>
      </c>
      <c r="C6" s="496"/>
      <c r="D6" s="496"/>
      <c r="E6" s="24" t="s">
        <v>5</v>
      </c>
      <c r="F6" s="497" t="s">
        <v>220</v>
      </c>
      <c r="G6" s="497"/>
      <c r="H6" s="25" t="s">
        <v>6</v>
      </c>
      <c r="I6" s="498" t="s">
        <v>221</v>
      </c>
      <c r="J6" s="499"/>
    </row>
    <row r="7" spans="1:10" ht="21" customHeight="1">
      <c r="A7" s="23" t="s">
        <v>7</v>
      </c>
      <c r="B7" s="479" t="s">
        <v>222</v>
      </c>
      <c r="C7" s="479"/>
      <c r="D7" s="479"/>
      <c r="E7" s="24" t="s">
        <v>8</v>
      </c>
      <c r="F7" s="480" t="s">
        <v>223</v>
      </c>
      <c r="G7" s="480"/>
      <c r="H7" s="25" t="s">
        <v>9</v>
      </c>
      <c r="I7" s="481">
        <v>32438692.27</v>
      </c>
      <c r="J7" s="482"/>
    </row>
    <row r="8" spans="1:10" ht="21" customHeight="1">
      <c r="A8" s="23" t="s">
        <v>10</v>
      </c>
      <c r="B8" s="483">
        <v>46111</v>
      </c>
      <c r="C8" s="483"/>
      <c r="D8" s="483"/>
      <c r="E8" s="24" t="s">
        <v>11</v>
      </c>
      <c r="F8" s="484" t="s">
        <v>224</v>
      </c>
      <c r="G8" s="480"/>
      <c r="H8" s="25" t="s">
        <v>12</v>
      </c>
      <c r="I8" s="481"/>
      <c r="J8" s="482"/>
    </row>
    <row r="9" spans="1:10">
      <c r="A9" s="18"/>
      <c r="B9" s="19"/>
      <c r="C9" s="19"/>
      <c r="D9" s="19"/>
      <c r="E9" s="19"/>
      <c r="F9" s="19"/>
      <c r="G9" s="20"/>
      <c r="H9" s="21"/>
      <c r="I9" s="21"/>
      <c r="J9" s="22"/>
    </row>
    <row r="10" spans="1:10" ht="150" customHeight="1">
      <c r="A10" s="501" t="s">
        <v>171</v>
      </c>
      <c r="B10" s="502"/>
      <c r="C10" s="502"/>
      <c r="D10" s="502"/>
      <c r="E10" s="502"/>
      <c r="F10" s="502"/>
      <c r="G10" s="502"/>
      <c r="H10" s="502"/>
      <c r="I10" s="502"/>
      <c r="J10" s="503"/>
    </row>
    <row r="11" spans="1:10">
      <c r="A11" s="18"/>
      <c r="B11" s="19"/>
      <c r="C11" s="19"/>
      <c r="D11" s="19"/>
      <c r="E11" s="19"/>
      <c r="F11" s="19"/>
      <c r="G11" s="20"/>
      <c r="H11" s="21"/>
      <c r="I11" s="21"/>
      <c r="J11" s="22"/>
    </row>
    <row r="12" spans="1:10" ht="24.75" customHeight="1">
      <c r="A12" s="504" t="s">
        <v>13</v>
      </c>
      <c r="B12" s="505"/>
      <c r="C12" s="505"/>
      <c r="D12" s="506" t="s">
        <v>172</v>
      </c>
      <c r="E12" s="506"/>
      <c r="F12" s="506"/>
      <c r="G12" s="506"/>
      <c r="H12" s="26"/>
      <c r="I12" s="27"/>
      <c r="J12" s="22"/>
    </row>
    <row r="13" spans="1:10">
      <c r="A13" s="18"/>
      <c r="B13" s="19"/>
      <c r="C13" s="19"/>
      <c r="D13" s="19"/>
      <c r="E13" s="19"/>
      <c r="F13" s="19"/>
      <c r="G13" s="20"/>
      <c r="H13" s="21"/>
      <c r="I13" s="21"/>
      <c r="J13" s="22"/>
    </row>
    <row r="14" spans="1:10" ht="24">
      <c r="A14" s="28" t="s">
        <v>173</v>
      </c>
      <c r="B14" s="507" t="s">
        <v>15</v>
      </c>
      <c r="C14" s="507"/>
      <c r="D14" s="507"/>
      <c r="E14" s="507"/>
      <c r="F14" s="507"/>
      <c r="G14" s="29" t="s">
        <v>16</v>
      </c>
      <c r="H14" s="30" t="s">
        <v>174</v>
      </c>
      <c r="I14" s="31" t="s">
        <v>17</v>
      </c>
      <c r="J14" s="32" t="s">
        <v>18</v>
      </c>
    </row>
    <row r="15" spans="1:10" ht="28.2" customHeight="1">
      <c r="A15" s="33">
        <v>1</v>
      </c>
      <c r="B15" s="500" t="s">
        <v>175</v>
      </c>
      <c r="C15" s="500"/>
      <c r="D15" s="500"/>
      <c r="E15" s="500"/>
      <c r="F15" s="500"/>
      <c r="G15" s="34" t="s">
        <v>19</v>
      </c>
      <c r="H15" s="35">
        <v>5500</v>
      </c>
      <c r="I15" s="36">
        <f t="shared" ref="I15:I78" si="0">H15*0.19</f>
        <v>1045</v>
      </c>
      <c r="J15" s="37">
        <f t="shared" ref="J15:J78" si="1">I15+H15</f>
        <v>6545</v>
      </c>
    </row>
    <row r="16" spans="1:10" ht="14.4" customHeight="1">
      <c r="A16" s="33">
        <v>2</v>
      </c>
      <c r="B16" s="500" t="s">
        <v>20</v>
      </c>
      <c r="C16" s="500"/>
      <c r="D16" s="500"/>
      <c r="E16" s="500"/>
      <c r="F16" s="500"/>
      <c r="G16" s="34" t="s">
        <v>19</v>
      </c>
      <c r="H16" s="35">
        <v>8900</v>
      </c>
      <c r="I16" s="36">
        <f t="shared" si="0"/>
        <v>1691</v>
      </c>
      <c r="J16" s="37">
        <f t="shared" si="1"/>
        <v>10591</v>
      </c>
    </row>
    <row r="17" spans="1:10" ht="14.4" customHeight="1">
      <c r="A17" s="33">
        <v>3</v>
      </c>
      <c r="B17" s="500" t="s">
        <v>21</v>
      </c>
      <c r="C17" s="500"/>
      <c r="D17" s="500"/>
      <c r="E17" s="500"/>
      <c r="F17" s="500"/>
      <c r="G17" s="34" t="s">
        <v>19</v>
      </c>
      <c r="H17" s="35">
        <v>9980</v>
      </c>
      <c r="I17" s="36">
        <f t="shared" si="0"/>
        <v>1896.2</v>
      </c>
      <c r="J17" s="37">
        <f t="shared" si="1"/>
        <v>11876.2</v>
      </c>
    </row>
    <row r="18" spans="1:10" ht="14.4" customHeight="1">
      <c r="A18" s="33">
        <v>4</v>
      </c>
      <c r="B18" s="500" t="s">
        <v>22</v>
      </c>
      <c r="C18" s="500"/>
      <c r="D18" s="500"/>
      <c r="E18" s="500"/>
      <c r="F18" s="500"/>
      <c r="G18" s="34" t="s">
        <v>23</v>
      </c>
      <c r="H18" s="35">
        <v>5800</v>
      </c>
      <c r="I18" s="36">
        <f t="shared" si="0"/>
        <v>1102</v>
      </c>
      <c r="J18" s="37">
        <f t="shared" si="1"/>
        <v>6902</v>
      </c>
    </row>
    <row r="19" spans="1:10" ht="22.2" customHeight="1">
      <c r="A19" s="33">
        <v>5</v>
      </c>
      <c r="B19" s="500" t="s">
        <v>176</v>
      </c>
      <c r="C19" s="500"/>
      <c r="D19" s="500"/>
      <c r="E19" s="500"/>
      <c r="F19" s="500"/>
      <c r="G19" s="34" t="s">
        <v>24</v>
      </c>
      <c r="H19" s="35">
        <v>14500</v>
      </c>
      <c r="I19" s="36">
        <f t="shared" si="0"/>
        <v>2755</v>
      </c>
      <c r="J19" s="37">
        <f t="shared" si="1"/>
        <v>17255</v>
      </c>
    </row>
    <row r="20" spans="1:10" ht="14.4" customHeight="1">
      <c r="A20" s="33">
        <v>6</v>
      </c>
      <c r="B20" s="500" t="s">
        <v>25</v>
      </c>
      <c r="C20" s="500"/>
      <c r="D20" s="500"/>
      <c r="E20" s="500"/>
      <c r="F20" s="500"/>
      <c r="G20" s="34" t="s">
        <v>19</v>
      </c>
      <c r="H20" s="35">
        <v>6900</v>
      </c>
      <c r="I20" s="36">
        <f t="shared" si="0"/>
        <v>1311</v>
      </c>
      <c r="J20" s="37">
        <f t="shared" si="1"/>
        <v>8211</v>
      </c>
    </row>
    <row r="21" spans="1:10" ht="14.4" customHeight="1">
      <c r="A21" s="33">
        <v>7</v>
      </c>
      <c r="B21" s="500" t="s">
        <v>26</v>
      </c>
      <c r="C21" s="500"/>
      <c r="D21" s="500"/>
      <c r="E21" s="500"/>
      <c r="F21" s="500"/>
      <c r="G21" s="34" t="s">
        <v>19</v>
      </c>
      <c r="H21" s="35">
        <v>6850</v>
      </c>
      <c r="I21" s="36">
        <f t="shared" si="0"/>
        <v>1301.5</v>
      </c>
      <c r="J21" s="37">
        <f t="shared" si="1"/>
        <v>8151.5</v>
      </c>
    </row>
    <row r="22" spans="1:10" ht="14.4" customHeight="1">
      <c r="A22" s="33">
        <v>8</v>
      </c>
      <c r="B22" s="500" t="s">
        <v>27</v>
      </c>
      <c r="C22" s="500"/>
      <c r="D22" s="500"/>
      <c r="E22" s="500"/>
      <c r="F22" s="500"/>
      <c r="G22" s="34" t="s">
        <v>19</v>
      </c>
      <c r="H22" s="35">
        <v>6950</v>
      </c>
      <c r="I22" s="36">
        <f t="shared" si="0"/>
        <v>1320.5</v>
      </c>
      <c r="J22" s="37">
        <f t="shared" si="1"/>
        <v>8270.5</v>
      </c>
    </row>
    <row r="23" spans="1:10" ht="14.4" customHeight="1">
      <c r="A23" s="33">
        <v>9</v>
      </c>
      <c r="B23" s="500" t="s">
        <v>28</v>
      </c>
      <c r="C23" s="500"/>
      <c r="D23" s="500"/>
      <c r="E23" s="500"/>
      <c r="F23" s="500"/>
      <c r="G23" s="34" t="s">
        <v>19</v>
      </c>
      <c r="H23" s="35">
        <v>5970</v>
      </c>
      <c r="I23" s="36">
        <f t="shared" si="0"/>
        <v>1134.3</v>
      </c>
      <c r="J23" s="37">
        <f t="shared" si="1"/>
        <v>7104.3</v>
      </c>
    </row>
    <row r="24" spans="1:10" ht="14.4" customHeight="1">
      <c r="A24" s="33">
        <v>10</v>
      </c>
      <c r="B24" s="500" t="s">
        <v>29</v>
      </c>
      <c r="C24" s="500"/>
      <c r="D24" s="500"/>
      <c r="E24" s="500"/>
      <c r="F24" s="500"/>
      <c r="G24" s="34" t="s">
        <v>19</v>
      </c>
      <c r="H24" s="35">
        <v>7850</v>
      </c>
      <c r="I24" s="36">
        <f t="shared" si="0"/>
        <v>1491.5</v>
      </c>
      <c r="J24" s="37">
        <f t="shared" si="1"/>
        <v>9341.5</v>
      </c>
    </row>
    <row r="25" spans="1:10" ht="14.4" customHeight="1">
      <c r="A25" s="33">
        <v>11</v>
      </c>
      <c r="B25" s="500" t="s">
        <v>30</v>
      </c>
      <c r="C25" s="500"/>
      <c r="D25" s="500"/>
      <c r="E25" s="500"/>
      <c r="F25" s="500"/>
      <c r="G25" s="34" t="s">
        <v>31</v>
      </c>
      <c r="H25" s="35">
        <v>1250</v>
      </c>
      <c r="I25" s="36">
        <f t="shared" si="0"/>
        <v>237.5</v>
      </c>
      <c r="J25" s="37">
        <f t="shared" si="1"/>
        <v>1487.5</v>
      </c>
    </row>
    <row r="26" spans="1:10" ht="25.95" customHeight="1">
      <c r="A26" s="33">
        <v>12</v>
      </c>
      <c r="B26" s="500" t="s">
        <v>177</v>
      </c>
      <c r="C26" s="500"/>
      <c r="D26" s="500"/>
      <c r="E26" s="500"/>
      <c r="F26" s="500"/>
      <c r="G26" s="34" t="s">
        <v>19</v>
      </c>
      <c r="H26" s="35">
        <v>6850</v>
      </c>
      <c r="I26" s="36">
        <f t="shared" si="0"/>
        <v>1301.5</v>
      </c>
      <c r="J26" s="37">
        <f t="shared" si="1"/>
        <v>8151.5</v>
      </c>
    </row>
    <row r="27" spans="1:10" ht="14.4" customHeight="1">
      <c r="A27" s="33">
        <v>13</v>
      </c>
      <c r="B27" s="500" t="s">
        <v>32</v>
      </c>
      <c r="C27" s="500"/>
      <c r="D27" s="500"/>
      <c r="E27" s="500"/>
      <c r="F27" s="500"/>
      <c r="G27" s="34" t="s">
        <v>33</v>
      </c>
      <c r="H27" s="35">
        <v>4800</v>
      </c>
      <c r="I27" s="36">
        <f t="shared" si="0"/>
        <v>912</v>
      </c>
      <c r="J27" s="37">
        <f t="shared" si="1"/>
        <v>5712</v>
      </c>
    </row>
    <row r="28" spans="1:10" ht="14.4" customHeight="1">
      <c r="A28" s="33">
        <v>14</v>
      </c>
      <c r="B28" s="500" t="s">
        <v>34</v>
      </c>
      <c r="C28" s="500"/>
      <c r="D28" s="500"/>
      <c r="E28" s="500"/>
      <c r="F28" s="500"/>
      <c r="G28" s="34" t="s">
        <v>19</v>
      </c>
      <c r="H28" s="35">
        <v>16800</v>
      </c>
      <c r="I28" s="36">
        <f t="shared" si="0"/>
        <v>3192</v>
      </c>
      <c r="J28" s="37">
        <f t="shared" si="1"/>
        <v>19992</v>
      </c>
    </row>
    <row r="29" spans="1:10" ht="14.4" customHeight="1">
      <c r="A29" s="33">
        <v>15</v>
      </c>
      <c r="B29" s="500" t="s">
        <v>178</v>
      </c>
      <c r="C29" s="500"/>
      <c r="D29" s="500"/>
      <c r="E29" s="500"/>
      <c r="F29" s="500"/>
      <c r="G29" s="34" t="s">
        <v>19</v>
      </c>
      <c r="H29" s="35">
        <v>19850</v>
      </c>
      <c r="I29" s="36">
        <f t="shared" si="0"/>
        <v>3771.5</v>
      </c>
      <c r="J29" s="37">
        <f t="shared" si="1"/>
        <v>23621.5</v>
      </c>
    </row>
    <row r="30" spans="1:10" ht="22.95" customHeight="1">
      <c r="A30" s="33">
        <v>16</v>
      </c>
      <c r="B30" s="500" t="s">
        <v>179</v>
      </c>
      <c r="C30" s="500"/>
      <c r="D30" s="500"/>
      <c r="E30" s="500"/>
      <c r="F30" s="500"/>
      <c r="G30" s="34" t="s">
        <v>19</v>
      </c>
      <c r="H30" s="35">
        <v>12900</v>
      </c>
      <c r="I30" s="36">
        <f t="shared" si="0"/>
        <v>2451</v>
      </c>
      <c r="J30" s="37">
        <f t="shared" si="1"/>
        <v>15351</v>
      </c>
    </row>
    <row r="31" spans="1:10" ht="23.4" customHeight="1">
      <c r="A31" s="33">
        <v>17</v>
      </c>
      <c r="B31" s="500" t="s">
        <v>180</v>
      </c>
      <c r="C31" s="500"/>
      <c r="D31" s="500"/>
      <c r="E31" s="500"/>
      <c r="F31" s="500"/>
      <c r="G31" s="34" t="s">
        <v>19</v>
      </c>
      <c r="H31" s="35">
        <v>16000</v>
      </c>
      <c r="I31" s="36">
        <f t="shared" si="0"/>
        <v>3040</v>
      </c>
      <c r="J31" s="37">
        <f t="shared" si="1"/>
        <v>19040</v>
      </c>
    </row>
    <row r="32" spans="1:10" ht="21.75" customHeight="1">
      <c r="A32" s="33">
        <v>18</v>
      </c>
      <c r="B32" s="500" t="s">
        <v>181</v>
      </c>
      <c r="C32" s="500"/>
      <c r="D32" s="500"/>
      <c r="E32" s="500"/>
      <c r="F32" s="500"/>
      <c r="G32" s="34" t="s">
        <v>19</v>
      </c>
      <c r="H32" s="35">
        <v>19500</v>
      </c>
      <c r="I32" s="36">
        <f t="shared" si="0"/>
        <v>3705</v>
      </c>
      <c r="J32" s="37">
        <f t="shared" si="1"/>
        <v>23205</v>
      </c>
    </row>
    <row r="33" spans="1:10" ht="21" customHeight="1">
      <c r="A33" s="33">
        <v>19</v>
      </c>
      <c r="B33" s="500" t="s">
        <v>182</v>
      </c>
      <c r="C33" s="500"/>
      <c r="D33" s="500"/>
      <c r="E33" s="500"/>
      <c r="F33" s="500"/>
      <c r="G33" s="34" t="s">
        <v>19</v>
      </c>
      <c r="H33" s="35">
        <v>22500</v>
      </c>
      <c r="I33" s="36">
        <f t="shared" si="0"/>
        <v>4275</v>
      </c>
      <c r="J33" s="37">
        <f t="shared" si="1"/>
        <v>26775</v>
      </c>
    </row>
    <row r="34" spans="1:10" ht="14.4" customHeight="1">
      <c r="A34" s="33">
        <v>20</v>
      </c>
      <c r="B34" s="500" t="s">
        <v>36</v>
      </c>
      <c r="C34" s="500"/>
      <c r="D34" s="500"/>
      <c r="E34" s="500"/>
      <c r="F34" s="500"/>
      <c r="G34" s="34" t="s">
        <v>19</v>
      </c>
      <c r="H34" s="35">
        <v>1095000</v>
      </c>
      <c r="I34" s="36">
        <f t="shared" si="0"/>
        <v>208050</v>
      </c>
      <c r="J34" s="37">
        <f t="shared" si="1"/>
        <v>1303050</v>
      </c>
    </row>
    <row r="35" spans="1:10" ht="14.4" customHeight="1">
      <c r="A35" s="33">
        <v>21</v>
      </c>
      <c r="B35" s="500" t="s">
        <v>37</v>
      </c>
      <c r="C35" s="500"/>
      <c r="D35" s="500"/>
      <c r="E35" s="500"/>
      <c r="F35" s="500"/>
      <c r="G35" s="34" t="s">
        <v>19</v>
      </c>
      <c r="H35" s="35">
        <v>21500</v>
      </c>
      <c r="I35" s="36">
        <f t="shared" si="0"/>
        <v>4085</v>
      </c>
      <c r="J35" s="37">
        <f t="shared" si="1"/>
        <v>25585</v>
      </c>
    </row>
    <row r="36" spans="1:10" ht="14.4" customHeight="1">
      <c r="A36" s="33">
        <v>22</v>
      </c>
      <c r="B36" s="500" t="s">
        <v>38</v>
      </c>
      <c r="C36" s="500"/>
      <c r="D36" s="500"/>
      <c r="E36" s="500"/>
      <c r="F36" s="500"/>
      <c r="G36" s="34" t="s">
        <v>39</v>
      </c>
      <c r="H36" s="35">
        <v>2500</v>
      </c>
      <c r="I36" s="36">
        <f t="shared" si="0"/>
        <v>475</v>
      </c>
      <c r="J36" s="37">
        <f t="shared" si="1"/>
        <v>2975</v>
      </c>
    </row>
    <row r="37" spans="1:10" ht="14.4" customHeight="1">
      <c r="A37" s="33">
        <v>23</v>
      </c>
      <c r="B37" s="500" t="s">
        <v>40</v>
      </c>
      <c r="C37" s="500"/>
      <c r="D37" s="500"/>
      <c r="E37" s="500"/>
      <c r="F37" s="500"/>
      <c r="G37" s="34" t="s">
        <v>39</v>
      </c>
      <c r="H37" s="35">
        <v>4500</v>
      </c>
      <c r="I37" s="36">
        <f t="shared" si="0"/>
        <v>855</v>
      </c>
      <c r="J37" s="37">
        <f t="shared" si="1"/>
        <v>5355</v>
      </c>
    </row>
    <row r="38" spans="1:10" ht="14.4" customHeight="1">
      <c r="A38" s="33">
        <v>24</v>
      </c>
      <c r="B38" s="500" t="s">
        <v>41</v>
      </c>
      <c r="C38" s="500"/>
      <c r="D38" s="500"/>
      <c r="E38" s="500"/>
      <c r="F38" s="500"/>
      <c r="G38" s="34" t="s">
        <v>19</v>
      </c>
      <c r="H38" s="35">
        <v>45000</v>
      </c>
      <c r="I38" s="36">
        <f t="shared" si="0"/>
        <v>8550</v>
      </c>
      <c r="J38" s="37">
        <f t="shared" si="1"/>
        <v>53550</v>
      </c>
    </row>
    <row r="39" spans="1:10" ht="14.4" customHeight="1">
      <c r="A39" s="33">
        <v>25</v>
      </c>
      <c r="B39" s="500" t="s">
        <v>42</v>
      </c>
      <c r="C39" s="500"/>
      <c r="D39" s="500"/>
      <c r="E39" s="500"/>
      <c r="F39" s="500"/>
      <c r="G39" s="34" t="s">
        <v>43</v>
      </c>
      <c r="H39" s="35">
        <v>155000</v>
      </c>
      <c r="I39" s="36">
        <f t="shared" si="0"/>
        <v>29450</v>
      </c>
      <c r="J39" s="37">
        <f t="shared" si="1"/>
        <v>184450</v>
      </c>
    </row>
    <row r="40" spans="1:10" ht="14.4" customHeight="1">
      <c r="A40" s="33">
        <v>26</v>
      </c>
      <c r="B40" s="500" t="s">
        <v>44</v>
      </c>
      <c r="C40" s="500"/>
      <c r="D40" s="500"/>
      <c r="E40" s="500"/>
      <c r="F40" s="500"/>
      <c r="G40" s="34" t="s">
        <v>45</v>
      </c>
      <c r="H40" s="35">
        <v>90000</v>
      </c>
      <c r="I40" s="36">
        <f t="shared" si="0"/>
        <v>17100</v>
      </c>
      <c r="J40" s="37">
        <f t="shared" si="1"/>
        <v>107100</v>
      </c>
    </row>
    <row r="41" spans="1:10" ht="28.2" customHeight="1">
      <c r="A41" s="33">
        <v>27</v>
      </c>
      <c r="B41" s="500" t="s">
        <v>183</v>
      </c>
      <c r="C41" s="500"/>
      <c r="D41" s="500"/>
      <c r="E41" s="500"/>
      <c r="F41" s="500"/>
      <c r="G41" s="34" t="s">
        <v>19</v>
      </c>
      <c r="H41" s="35">
        <v>10310</v>
      </c>
      <c r="I41" s="36">
        <f t="shared" si="0"/>
        <v>1958.9</v>
      </c>
      <c r="J41" s="37">
        <f t="shared" si="1"/>
        <v>12268.9</v>
      </c>
    </row>
    <row r="42" spans="1:10" ht="14.4" customHeight="1">
      <c r="A42" s="33">
        <v>28</v>
      </c>
      <c r="B42" s="500" t="s">
        <v>46</v>
      </c>
      <c r="C42" s="500"/>
      <c r="D42" s="500"/>
      <c r="E42" s="500"/>
      <c r="F42" s="500"/>
      <c r="G42" s="34" t="s">
        <v>19</v>
      </c>
      <c r="H42" s="35">
        <v>13000</v>
      </c>
      <c r="I42" s="36">
        <f t="shared" si="0"/>
        <v>2470</v>
      </c>
      <c r="J42" s="37">
        <f t="shared" si="1"/>
        <v>15470</v>
      </c>
    </row>
    <row r="43" spans="1:10" ht="14.4" customHeight="1">
      <c r="A43" s="33">
        <v>29</v>
      </c>
      <c r="B43" s="500" t="s">
        <v>47</v>
      </c>
      <c r="C43" s="500"/>
      <c r="D43" s="500"/>
      <c r="E43" s="500"/>
      <c r="F43" s="500"/>
      <c r="G43" s="34" t="s">
        <v>48</v>
      </c>
      <c r="H43" s="35">
        <v>5500</v>
      </c>
      <c r="I43" s="36">
        <f t="shared" si="0"/>
        <v>1045</v>
      </c>
      <c r="J43" s="37">
        <f t="shared" si="1"/>
        <v>6545</v>
      </c>
    </row>
    <row r="44" spans="1:10" ht="14.4" customHeight="1">
      <c r="A44" s="33">
        <v>30</v>
      </c>
      <c r="B44" s="500" t="s">
        <v>49</v>
      </c>
      <c r="C44" s="500"/>
      <c r="D44" s="500"/>
      <c r="E44" s="500"/>
      <c r="F44" s="500"/>
      <c r="G44" s="34" t="s">
        <v>48</v>
      </c>
      <c r="H44" s="35">
        <v>7800</v>
      </c>
      <c r="I44" s="36">
        <f t="shared" si="0"/>
        <v>1482</v>
      </c>
      <c r="J44" s="37">
        <f t="shared" si="1"/>
        <v>9282</v>
      </c>
    </row>
    <row r="45" spans="1:10" ht="14.4" customHeight="1">
      <c r="A45" s="33">
        <v>31</v>
      </c>
      <c r="B45" s="500" t="s">
        <v>50</v>
      </c>
      <c r="C45" s="500"/>
      <c r="D45" s="500"/>
      <c r="E45" s="500"/>
      <c r="F45" s="500"/>
      <c r="G45" s="34" t="s">
        <v>48</v>
      </c>
      <c r="H45" s="35">
        <v>9800</v>
      </c>
      <c r="I45" s="36">
        <f t="shared" si="0"/>
        <v>1862</v>
      </c>
      <c r="J45" s="37">
        <f t="shared" si="1"/>
        <v>11662</v>
      </c>
    </row>
    <row r="46" spans="1:10" ht="14.4" customHeight="1">
      <c r="A46" s="33">
        <v>32</v>
      </c>
      <c r="B46" s="500" t="s">
        <v>51</v>
      </c>
      <c r="C46" s="500"/>
      <c r="D46" s="500"/>
      <c r="E46" s="500"/>
      <c r="F46" s="500"/>
      <c r="G46" s="34" t="s">
        <v>48</v>
      </c>
      <c r="H46" s="35">
        <v>2650</v>
      </c>
      <c r="I46" s="36">
        <f t="shared" si="0"/>
        <v>503.5</v>
      </c>
      <c r="J46" s="37">
        <f t="shared" si="1"/>
        <v>3153.5</v>
      </c>
    </row>
    <row r="47" spans="1:10" ht="14.4" customHeight="1">
      <c r="A47" s="33">
        <v>33</v>
      </c>
      <c r="B47" s="500" t="s">
        <v>52</v>
      </c>
      <c r="C47" s="500"/>
      <c r="D47" s="500"/>
      <c r="E47" s="500"/>
      <c r="F47" s="500"/>
      <c r="G47" s="34" t="s">
        <v>48</v>
      </c>
      <c r="H47" s="35">
        <v>30000</v>
      </c>
      <c r="I47" s="36">
        <f t="shared" si="0"/>
        <v>5700</v>
      </c>
      <c r="J47" s="37">
        <f t="shared" si="1"/>
        <v>35700</v>
      </c>
    </row>
    <row r="48" spans="1:10" ht="30" customHeight="1">
      <c r="A48" s="33">
        <v>34</v>
      </c>
      <c r="B48" s="500" t="s">
        <v>184</v>
      </c>
      <c r="C48" s="500"/>
      <c r="D48" s="500"/>
      <c r="E48" s="500"/>
      <c r="F48" s="500"/>
      <c r="G48" s="34" t="s">
        <v>19</v>
      </c>
      <c r="H48" s="35">
        <v>398000</v>
      </c>
      <c r="I48" s="36">
        <f t="shared" si="0"/>
        <v>75620</v>
      </c>
      <c r="J48" s="37">
        <f t="shared" si="1"/>
        <v>473620</v>
      </c>
    </row>
    <row r="49" spans="1:10" ht="14.4" customHeight="1">
      <c r="A49" s="33">
        <v>35</v>
      </c>
      <c r="B49" s="500" t="s">
        <v>53</v>
      </c>
      <c r="C49" s="500"/>
      <c r="D49" s="500"/>
      <c r="E49" s="500"/>
      <c r="F49" s="500"/>
      <c r="G49" s="34" t="s">
        <v>54</v>
      </c>
      <c r="H49" s="35">
        <v>3800</v>
      </c>
      <c r="I49" s="36">
        <f t="shared" si="0"/>
        <v>722</v>
      </c>
      <c r="J49" s="37">
        <f t="shared" si="1"/>
        <v>4522</v>
      </c>
    </row>
    <row r="50" spans="1:10" ht="14.4" customHeight="1">
      <c r="A50" s="33">
        <v>36</v>
      </c>
      <c r="B50" s="500" t="s">
        <v>55</v>
      </c>
      <c r="C50" s="500"/>
      <c r="D50" s="500"/>
      <c r="E50" s="500"/>
      <c r="F50" s="500"/>
      <c r="G50" s="34" t="s">
        <v>56</v>
      </c>
      <c r="H50" s="35">
        <v>4800</v>
      </c>
      <c r="I50" s="36">
        <f t="shared" si="0"/>
        <v>912</v>
      </c>
      <c r="J50" s="37">
        <f t="shared" si="1"/>
        <v>5712</v>
      </c>
    </row>
    <row r="51" spans="1:10" ht="14.4" customHeight="1">
      <c r="A51" s="33">
        <v>37</v>
      </c>
      <c r="B51" s="500" t="s">
        <v>57</v>
      </c>
      <c r="C51" s="500"/>
      <c r="D51" s="500"/>
      <c r="E51" s="500"/>
      <c r="F51" s="500"/>
      <c r="G51" s="34" t="s">
        <v>33</v>
      </c>
      <c r="H51" s="35">
        <v>5800</v>
      </c>
      <c r="I51" s="36">
        <f t="shared" si="0"/>
        <v>1102</v>
      </c>
      <c r="J51" s="37">
        <f t="shared" si="1"/>
        <v>6902</v>
      </c>
    </row>
    <row r="52" spans="1:10" ht="14.4" customHeight="1">
      <c r="A52" s="33">
        <v>38</v>
      </c>
      <c r="B52" s="500" t="s">
        <v>58</v>
      </c>
      <c r="C52" s="500"/>
      <c r="D52" s="500"/>
      <c r="E52" s="500"/>
      <c r="F52" s="500"/>
      <c r="G52" s="34" t="s">
        <v>19</v>
      </c>
      <c r="H52" s="35">
        <v>6800</v>
      </c>
      <c r="I52" s="36">
        <f t="shared" si="0"/>
        <v>1292</v>
      </c>
      <c r="J52" s="37">
        <f t="shared" si="1"/>
        <v>8092</v>
      </c>
    </row>
    <row r="53" spans="1:10" ht="14.4" customHeight="1">
      <c r="A53" s="33">
        <v>39</v>
      </c>
      <c r="B53" s="500" t="s">
        <v>59</v>
      </c>
      <c r="C53" s="500"/>
      <c r="D53" s="500"/>
      <c r="E53" s="500"/>
      <c r="F53" s="500"/>
      <c r="G53" s="34" t="s">
        <v>56</v>
      </c>
      <c r="H53" s="35">
        <v>5800</v>
      </c>
      <c r="I53" s="36">
        <f t="shared" si="0"/>
        <v>1102</v>
      </c>
      <c r="J53" s="37">
        <f t="shared" si="1"/>
        <v>6902</v>
      </c>
    </row>
    <row r="54" spans="1:10" ht="24" customHeight="1">
      <c r="A54" s="33">
        <v>40</v>
      </c>
      <c r="B54" s="500" t="s">
        <v>185</v>
      </c>
      <c r="C54" s="500"/>
      <c r="D54" s="500"/>
      <c r="E54" s="500"/>
      <c r="F54" s="500"/>
      <c r="G54" s="34" t="s">
        <v>19</v>
      </c>
      <c r="H54" s="35">
        <v>46000</v>
      </c>
      <c r="I54" s="36">
        <f t="shared" si="0"/>
        <v>8740</v>
      </c>
      <c r="J54" s="37">
        <f t="shared" si="1"/>
        <v>54740</v>
      </c>
    </row>
    <row r="55" spans="1:10" ht="23.4" customHeight="1">
      <c r="A55" s="33">
        <v>41</v>
      </c>
      <c r="B55" s="500" t="s">
        <v>186</v>
      </c>
      <c r="C55" s="500"/>
      <c r="D55" s="500"/>
      <c r="E55" s="500"/>
      <c r="F55" s="500"/>
      <c r="G55" s="34" t="s">
        <v>19</v>
      </c>
      <c r="H55" s="35">
        <v>688000</v>
      </c>
      <c r="I55" s="36">
        <f t="shared" si="0"/>
        <v>130720</v>
      </c>
      <c r="J55" s="37">
        <f t="shared" si="1"/>
        <v>818720</v>
      </c>
    </row>
    <row r="56" spans="1:10" ht="14.4" customHeight="1">
      <c r="A56" s="33">
        <v>42</v>
      </c>
      <c r="B56" s="500" t="s">
        <v>60</v>
      </c>
      <c r="C56" s="500"/>
      <c r="D56" s="500"/>
      <c r="E56" s="500"/>
      <c r="F56" s="500"/>
      <c r="G56" s="34" t="s">
        <v>19</v>
      </c>
      <c r="H56" s="35">
        <v>179900</v>
      </c>
      <c r="I56" s="36">
        <f t="shared" si="0"/>
        <v>34181</v>
      </c>
      <c r="J56" s="37">
        <f t="shared" si="1"/>
        <v>214081</v>
      </c>
    </row>
    <row r="57" spans="1:10" ht="14.4" customHeight="1">
      <c r="A57" s="33">
        <v>43</v>
      </c>
      <c r="B57" s="500" t="s">
        <v>61</v>
      </c>
      <c r="C57" s="500"/>
      <c r="D57" s="500"/>
      <c r="E57" s="500"/>
      <c r="F57" s="500"/>
      <c r="G57" s="34" t="s">
        <v>19</v>
      </c>
      <c r="H57" s="35">
        <v>390000</v>
      </c>
      <c r="I57" s="36">
        <f t="shared" si="0"/>
        <v>74100</v>
      </c>
      <c r="J57" s="37">
        <f t="shared" si="1"/>
        <v>464100</v>
      </c>
    </row>
    <row r="58" spans="1:10" ht="24.6" customHeight="1">
      <c r="A58" s="33">
        <v>44</v>
      </c>
      <c r="B58" s="500" t="s">
        <v>62</v>
      </c>
      <c r="C58" s="500"/>
      <c r="D58" s="500"/>
      <c r="E58" s="500"/>
      <c r="F58" s="500"/>
      <c r="G58" s="34" t="s">
        <v>63</v>
      </c>
      <c r="H58" s="35">
        <v>185000</v>
      </c>
      <c r="I58" s="36">
        <f t="shared" si="0"/>
        <v>35150</v>
      </c>
      <c r="J58" s="37">
        <f t="shared" si="1"/>
        <v>220150</v>
      </c>
    </row>
    <row r="59" spans="1:10" ht="14.4" customHeight="1">
      <c r="A59" s="33">
        <v>45</v>
      </c>
      <c r="B59" s="500" t="s">
        <v>64</v>
      </c>
      <c r="C59" s="500"/>
      <c r="D59" s="500"/>
      <c r="E59" s="500"/>
      <c r="F59" s="500"/>
      <c r="G59" s="34" t="s">
        <v>39</v>
      </c>
      <c r="H59" s="35">
        <v>4800</v>
      </c>
      <c r="I59" s="36">
        <f t="shared" si="0"/>
        <v>912</v>
      </c>
      <c r="J59" s="37">
        <f t="shared" si="1"/>
        <v>5712</v>
      </c>
    </row>
    <row r="60" spans="1:10" ht="14.4" customHeight="1">
      <c r="A60" s="33">
        <v>46</v>
      </c>
      <c r="B60" s="500" t="s">
        <v>65</v>
      </c>
      <c r="C60" s="500"/>
      <c r="D60" s="500"/>
      <c r="E60" s="500"/>
      <c r="F60" s="500"/>
      <c r="G60" s="34" t="s">
        <v>43</v>
      </c>
      <c r="H60" s="35">
        <v>49500</v>
      </c>
      <c r="I60" s="36">
        <f t="shared" si="0"/>
        <v>9405</v>
      </c>
      <c r="J60" s="37">
        <f t="shared" si="1"/>
        <v>58905</v>
      </c>
    </row>
    <row r="61" spans="1:10" ht="14.4" customHeight="1">
      <c r="A61" s="33">
        <v>47</v>
      </c>
      <c r="B61" s="500" t="s">
        <v>66</v>
      </c>
      <c r="C61" s="500"/>
      <c r="D61" s="500"/>
      <c r="E61" s="500"/>
      <c r="F61" s="500"/>
      <c r="G61" s="34" t="s">
        <v>39</v>
      </c>
      <c r="H61" s="35">
        <v>158000</v>
      </c>
      <c r="I61" s="36">
        <f t="shared" si="0"/>
        <v>30020</v>
      </c>
      <c r="J61" s="37">
        <f t="shared" si="1"/>
        <v>188020</v>
      </c>
    </row>
    <row r="62" spans="1:10" ht="14.4" customHeight="1">
      <c r="A62" s="33">
        <v>48</v>
      </c>
      <c r="B62" s="500" t="s">
        <v>67</v>
      </c>
      <c r="C62" s="500"/>
      <c r="D62" s="500"/>
      <c r="E62" s="500"/>
      <c r="F62" s="500"/>
      <c r="G62" s="34" t="s">
        <v>39</v>
      </c>
      <c r="H62" s="35">
        <v>178000</v>
      </c>
      <c r="I62" s="36">
        <f t="shared" si="0"/>
        <v>33820</v>
      </c>
      <c r="J62" s="37">
        <f t="shared" si="1"/>
        <v>211820</v>
      </c>
    </row>
    <row r="63" spans="1:10" ht="26.4" customHeight="1">
      <c r="A63" s="33">
        <v>49</v>
      </c>
      <c r="B63" s="500" t="s">
        <v>187</v>
      </c>
      <c r="C63" s="500"/>
      <c r="D63" s="500"/>
      <c r="E63" s="500"/>
      <c r="F63" s="500"/>
      <c r="G63" s="34" t="s">
        <v>68</v>
      </c>
      <c r="H63" s="35">
        <v>9600</v>
      </c>
      <c r="I63" s="36">
        <f t="shared" si="0"/>
        <v>1824</v>
      </c>
      <c r="J63" s="37">
        <f t="shared" si="1"/>
        <v>11424</v>
      </c>
    </row>
    <row r="64" spans="1:10" ht="14.4" customHeight="1">
      <c r="A64" s="33">
        <v>50</v>
      </c>
      <c r="B64" s="500" t="s">
        <v>69</v>
      </c>
      <c r="C64" s="500"/>
      <c r="D64" s="500"/>
      <c r="E64" s="500"/>
      <c r="F64" s="500"/>
      <c r="G64" s="34" t="s">
        <v>70</v>
      </c>
      <c r="H64" s="35">
        <v>5800</v>
      </c>
      <c r="I64" s="36">
        <f t="shared" si="0"/>
        <v>1102</v>
      </c>
      <c r="J64" s="37">
        <f t="shared" si="1"/>
        <v>6902</v>
      </c>
    </row>
    <row r="65" spans="1:10" ht="14.4" customHeight="1">
      <c r="A65" s="33">
        <v>51</v>
      </c>
      <c r="B65" s="500" t="s">
        <v>71</v>
      </c>
      <c r="C65" s="500"/>
      <c r="D65" s="500"/>
      <c r="E65" s="500"/>
      <c r="F65" s="500"/>
      <c r="G65" s="34" t="s">
        <v>54</v>
      </c>
      <c r="H65" s="35">
        <v>29600</v>
      </c>
      <c r="I65" s="36">
        <f t="shared" si="0"/>
        <v>5624</v>
      </c>
      <c r="J65" s="37">
        <f t="shared" si="1"/>
        <v>35224</v>
      </c>
    </row>
    <row r="66" spans="1:10" ht="24" customHeight="1">
      <c r="A66" s="33">
        <v>52</v>
      </c>
      <c r="B66" s="500" t="s">
        <v>188</v>
      </c>
      <c r="C66" s="500"/>
      <c r="D66" s="500"/>
      <c r="E66" s="500"/>
      <c r="F66" s="500"/>
      <c r="G66" s="34" t="s">
        <v>72</v>
      </c>
      <c r="H66" s="35">
        <v>3800</v>
      </c>
      <c r="I66" s="36">
        <f t="shared" si="0"/>
        <v>722</v>
      </c>
      <c r="J66" s="37">
        <f t="shared" si="1"/>
        <v>4522</v>
      </c>
    </row>
    <row r="67" spans="1:10" ht="19.95" customHeight="1">
      <c r="A67" s="33">
        <v>53</v>
      </c>
      <c r="B67" s="500" t="s">
        <v>73</v>
      </c>
      <c r="C67" s="500"/>
      <c r="D67" s="500"/>
      <c r="E67" s="500"/>
      <c r="F67" s="500"/>
      <c r="G67" s="34" t="s">
        <v>19</v>
      </c>
      <c r="H67" s="35">
        <v>79000</v>
      </c>
      <c r="I67" s="36">
        <f t="shared" si="0"/>
        <v>15010</v>
      </c>
      <c r="J67" s="37">
        <f t="shared" si="1"/>
        <v>94010</v>
      </c>
    </row>
    <row r="68" spans="1:10" ht="48.75" customHeight="1">
      <c r="A68" s="33">
        <v>54</v>
      </c>
      <c r="B68" s="500" t="s">
        <v>74</v>
      </c>
      <c r="C68" s="500"/>
      <c r="D68" s="500"/>
      <c r="E68" s="500"/>
      <c r="F68" s="500"/>
      <c r="G68" s="34" t="s">
        <v>56</v>
      </c>
      <c r="H68" s="35">
        <v>35000</v>
      </c>
      <c r="I68" s="36">
        <f t="shared" si="0"/>
        <v>6650</v>
      </c>
      <c r="J68" s="37">
        <f t="shared" si="1"/>
        <v>41650</v>
      </c>
    </row>
    <row r="69" spans="1:10" ht="51" customHeight="1">
      <c r="A69" s="33">
        <v>55</v>
      </c>
      <c r="B69" s="500" t="s">
        <v>75</v>
      </c>
      <c r="C69" s="500"/>
      <c r="D69" s="500"/>
      <c r="E69" s="500"/>
      <c r="F69" s="500"/>
      <c r="G69" s="34" t="s">
        <v>56</v>
      </c>
      <c r="H69" s="35">
        <v>30000</v>
      </c>
      <c r="I69" s="36">
        <f t="shared" si="0"/>
        <v>5700</v>
      </c>
      <c r="J69" s="37">
        <f t="shared" si="1"/>
        <v>35700</v>
      </c>
    </row>
    <row r="70" spans="1:10" ht="14.4" customHeight="1">
      <c r="A70" s="33">
        <v>56</v>
      </c>
      <c r="B70" s="500" t="s">
        <v>76</v>
      </c>
      <c r="C70" s="500"/>
      <c r="D70" s="500"/>
      <c r="E70" s="500"/>
      <c r="F70" s="500"/>
      <c r="G70" s="34" t="s">
        <v>77</v>
      </c>
      <c r="H70" s="35">
        <v>34200</v>
      </c>
      <c r="I70" s="36">
        <f t="shared" si="0"/>
        <v>6498</v>
      </c>
      <c r="J70" s="37">
        <f t="shared" si="1"/>
        <v>40698</v>
      </c>
    </row>
    <row r="71" spans="1:10" ht="14.4" customHeight="1">
      <c r="A71" s="33">
        <v>57</v>
      </c>
      <c r="B71" s="500" t="s">
        <v>78</v>
      </c>
      <c r="C71" s="500"/>
      <c r="D71" s="500"/>
      <c r="E71" s="500"/>
      <c r="F71" s="500"/>
      <c r="G71" s="34" t="s">
        <v>77</v>
      </c>
      <c r="H71" s="35">
        <v>38600</v>
      </c>
      <c r="I71" s="36">
        <f t="shared" si="0"/>
        <v>7334</v>
      </c>
      <c r="J71" s="37">
        <f t="shared" si="1"/>
        <v>45934</v>
      </c>
    </row>
    <row r="72" spans="1:10" ht="14.4" customHeight="1">
      <c r="A72" s="33">
        <v>58</v>
      </c>
      <c r="B72" s="500" t="s">
        <v>79</v>
      </c>
      <c r="C72" s="500"/>
      <c r="D72" s="500"/>
      <c r="E72" s="500"/>
      <c r="F72" s="500"/>
      <c r="G72" s="34" t="s">
        <v>77</v>
      </c>
      <c r="H72" s="35">
        <v>48500</v>
      </c>
      <c r="I72" s="36">
        <f t="shared" si="0"/>
        <v>9215</v>
      </c>
      <c r="J72" s="37">
        <f t="shared" si="1"/>
        <v>57715</v>
      </c>
    </row>
    <row r="73" spans="1:10" ht="14.4" customHeight="1">
      <c r="A73" s="33">
        <v>59</v>
      </c>
      <c r="B73" s="500" t="s">
        <v>80</v>
      </c>
      <c r="C73" s="500"/>
      <c r="D73" s="500"/>
      <c r="E73" s="500"/>
      <c r="F73" s="500"/>
      <c r="G73" s="34" t="s">
        <v>77</v>
      </c>
      <c r="H73" s="35">
        <v>53900</v>
      </c>
      <c r="I73" s="36">
        <f t="shared" si="0"/>
        <v>10241</v>
      </c>
      <c r="J73" s="37">
        <f t="shared" si="1"/>
        <v>64141</v>
      </c>
    </row>
    <row r="74" spans="1:10" ht="60.75" customHeight="1">
      <c r="A74" s="33">
        <v>60</v>
      </c>
      <c r="B74" s="500" t="s">
        <v>189</v>
      </c>
      <c r="C74" s="500"/>
      <c r="D74" s="500"/>
      <c r="E74" s="500"/>
      <c r="F74" s="500"/>
      <c r="G74" s="34" t="s">
        <v>77</v>
      </c>
      <c r="H74" s="35">
        <v>32200</v>
      </c>
      <c r="I74" s="36">
        <f t="shared" si="0"/>
        <v>6118</v>
      </c>
      <c r="J74" s="37">
        <f t="shared" si="1"/>
        <v>38318</v>
      </c>
    </row>
    <row r="75" spans="1:10" ht="14.4" customHeight="1">
      <c r="A75" s="33">
        <v>61</v>
      </c>
      <c r="B75" s="500" t="s">
        <v>82</v>
      </c>
      <c r="C75" s="500"/>
      <c r="D75" s="500"/>
      <c r="E75" s="500"/>
      <c r="F75" s="500"/>
      <c r="G75" s="34" t="s">
        <v>19</v>
      </c>
      <c r="H75" s="35">
        <v>32000</v>
      </c>
      <c r="I75" s="36">
        <f t="shared" si="0"/>
        <v>6080</v>
      </c>
      <c r="J75" s="37">
        <f t="shared" si="1"/>
        <v>38080</v>
      </c>
    </row>
    <row r="76" spans="1:10" ht="14.4" customHeight="1">
      <c r="A76" s="33">
        <v>62</v>
      </c>
      <c r="B76" s="500" t="s">
        <v>83</v>
      </c>
      <c r="C76" s="500"/>
      <c r="D76" s="500"/>
      <c r="E76" s="500"/>
      <c r="F76" s="500"/>
      <c r="G76" s="34" t="s">
        <v>19</v>
      </c>
      <c r="H76" s="35">
        <v>42000</v>
      </c>
      <c r="I76" s="36">
        <f t="shared" si="0"/>
        <v>7980</v>
      </c>
      <c r="J76" s="37">
        <f t="shared" si="1"/>
        <v>49980</v>
      </c>
    </row>
    <row r="77" spans="1:10" ht="14.4" customHeight="1">
      <c r="A77" s="33">
        <v>63</v>
      </c>
      <c r="B77" s="500" t="s">
        <v>84</v>
      </c>
      <c r="C77" s="500"/>
      <c r="D77" s="500"/>
      <c r="E77" s="500"/>
      <c r="F77" s="500"/>
      <c r="G77" s="34" t="s">
        <v>19</v>
      </c>
      <c r="H77" s="35">
        <v>52000</v>
      </c>
      <c r="I77" s="36">
        <f t="shared" si="0"/>
        <v>9880</v>
      </c>
      <c r="J77" s="37">
        <f t="shared" si="1"/>
        <v>61880</v>
      </c>
    </row>
    <row r="78" spans="1:10" ht="22.5" customHeight="1">
      <c r="A78" s="33">
        <v>64</v>
      </c>
      <c r="B78" s="500" t="s">
        <v>190</v>
      </c>
      <c r="C78" s="500"/>
      <c r="D78" s="500"/>
      <c r="E78" s="500"/>
      <c r="F78" s="500"/>
      <c r="G78" s="34" t="s">
        <v>77</v>
      </c>
      <c r="H78" s="35">
        <v>5000</v>
      </c>
      <c r="I78" s="36">
        <f t="shared" si="0"/>
        <v>950</v>
      </c>
      <c r="J78" s="37">
        <f t="shared" si="1"/>
        <v>5950</v>
      </c>
    </row>
    <row r="79" spans="1:10" ht="14.4" customHeight="1">
      <c r="A79" s="33">
        <v>65</v>
      </c>
      <c r="B79" s="500" t="s">
        <v>85</v>
      </c>
      <c r="C79" s="500"/>
      <c r="D79" s="500"/>
      <c r="E79" s="500"/>
      <c r="F79" s="500"/>
      <c r="G79" s="34" t="s">
        <v>77</v>
      </c>
      <c r="H79" s="35">
        <v>49000</v>
      </c>
      <c r="I79" s="36">
        <f t="shared" ref="I79:I136" si="2">H79*0.19</f>
        <v>9310</v>
      </c>
      <c r="J79" s="37">
        <f t="shared" ref="J79:J136" si="3">I79+H79</f>
        <v>58310</v>
      </c>
    </row>
    <row r="80" spans="1:10" ht="14.4" customHeight="1">
      <c r="A80" s="33">
        <v>66</v>
      </c>
      <c r="B80" s="500" t="s">
        <v>86</v>
      </c>
      <c r="C80" s="500"/>
      <c r="D80" s="500"/>
      <c r="E80" s="500"/>
      <c r="F80" s="500"/>
      <c r="G80" s="34" t="s">
        <v>19</v>
      </c>
      <c r="H80" s="35">
        <v>4500</v>
      </c>
      <c r="I80" s="36">
        <f t="shared" si="2"/>
        <v>855</v>
      </c>
      <c r="J80" s="37">
        <f t="shared" si="3"/>
        <v>5355</v>
      </c>
    </row>
    <row r="81" spans="1:10" ht="27" customHeight="1">
      <c r="A81" s="33">
        <v>67</v>
      </c>
      <c r="B81" s="500" t="s">
        <v>191</v>
      </c>
      <c r="C81" s="500"/>
      <c r="D81" s="500"/>
      <c r="E81" s="500"/>
      <c r="F81" s="500"/>
      <c r="G81" s="34" t="s">
        <v>19</v>
      </c>
      <c r="H81" s="35">
        <v>7800</v>
      </c>
      <c r="I81" s="36">
        <f t="shared" si="2"/>
        <v>1482</v>
      </c>
      <c r="J81" s="37">
        <f t="shared" si="3"/>
        <v>9282</v>
      </c>
    </row>
    <row r="82" spans="1:10" ht="29.25" customHeight="1">
      <c r="A82" s="33">
        <v>68</v>
      </c>
      <c r="B82" s="500" t="s">
        <v>192</v>
      </c>
      <c r="C82" s="500"/>
      <c r="D82" s="500"/>
      <c r="E82" s="500"/>
      <c r="F82" s="500"/>
      <c r="G82" s="34" t="s">
        <v>19</v>
      </c>
      <c r="H82" s="35">
        <v>7200</v>
      </c>
      <c r="I82" s="36">
        <f t="shared" si="2"/>
        <v>1368</v>
      </c>
      <c r="J82" s="37">
        <f t="shared" si="3"/>
        <v>8568</v>
      </c>
    </row>
    <row r="83" spans="1:10" ht="30" customHeight="1">
      <c r="A83" s="33">
        <v>69</v>
      </c>
      <c r="B83" s="500" t="s">
        <v>193</v>
      </c>
      <c r="C83" s="500"/>
      <c r="D83" s="500"/>
      <c r="E83" s="500"/>
      <c r="F83" s="500"/>
      <c r="G83" s="34" t="s">
        <v>87</v>
      </c>
      <c r="H83" s="35">
        <v>6500</v>
      </c>
      <c r="I83" s="36">
        <f t="shared" si="2"/>
        <v>1235</v>
      </c>
      <c r="J83" s="37">
        <f t="shared" si="3"/>
        <v>7735</v>
      </c>
    </row>
    <row r="84" spans="1:10" ht="23.25" customHeight="1">
      <c r="A84" s="33">
        <v>70</v>
      </c>
      <c r="B84" s="500" t="s">
        <v>88</v>
      </c>
      <c r="C84" s="500"/>
      <c r="D84" s="500"/>
      <c r="E84" s="500"/>
      <c r="F84" s="500"/>
      <c r="G84" s="34" t="s">
        <v>87</v>
      </c>
      <c r="H84" s="35">
        <v>6500</v>
      </c>
      <c r="I84" s="36">
        <f t="shared" si="2"/>
        <v>1235</v>
      </c>
      <c r="J84" s="37">
        <f t="shared" si="3"/>
        <v>7735</v>
      </c>
    </row>
    <row r="85" spans="1:10" ht="14.4" customHeight="1">
      <c r="A85" s="33">
        <v>71</v>
      </c>
      <c r="B85" s="508" t="s">
        <v>194</v>
      </c>
      <c r="C85" s="508"/>
      <c r="D85" s="508"/>
      <c r="E85" s="508"/>
      <c r="F85" s="508"/>
      <c r="G85" s="34" t="s">
        <v>19</v>
      </c>
      <c r="H85" s="35">
        <v>34385</v>
      </c>
      <c r="I85" s="36">
        <f t="shared" si="2"/>
        <v>6533.15</v>
      </c>
      <c r="J85" s="37">
        <f t="shared" si="3"/>
        <v>40918.15</v>
      </c>
    </row>
    <row r="86" spans="1:10" ht="24" customHeight="1">
      <c r="A86" s="33">
        <v>72</v>
      </c>
      <c r="B86" s="500" t="s">
        <v>195</v>
      </c>
      <c r="C86" s="500"/>
      <c r="D86" s="500"/>
      <c r="E86" s="500"/>
      <c r="F86" s="500"/>
      <c r="G86" s="34" t="s">
        <v>89</v>
      </c>
      <c r="H86" s="35">
        <v>340000</v>
      </c>
      <c r="I86" s="36">
        <f t="shared" si="2"/>
        <v>64600</v>
      </c>
      <c r="J86" s="37">
        <f t="shared" si="3"/>
        <v>404600</v>
      </c>
    </row>
    <row r="87" spans="1:10" ht="24" customHeight="1">
      <c r="A87" s="33">
        <v>73</v>
      </c>
      <c r="B87" s="500" t="s">
        <v>196</v>
      </c>
      <c r="C87" s="500"/>
      <c r="D87" s="500"/>
      <c r="E87" s="500"/>
      <c r="F87" s="500"/>
      <c r="G87" s="34" t="s">
        <v>89</v>
      </c>
      <c r="H87" s="35">
        <v>248000</v>
      </c>
      <c r="I87" s="36">
        <f t="shared" si="2"/>
        <v>47120</v>
      </c>
      <c r="J87" s="37">
        <f t="shared" si="3"/>
        <v>295120</v>
      </c>
    </row>
    <row r="88" spans="1:10" ht="27.6" customHeight="1">
      <c r="A88" s="33">
        <v>74</v>
      </c>
      <c r="B88" s="500" t="s">
        <v>197</v>
      </c>
      <c r="C88" s="500"/>
      <c r="D88" s="500"/>
      <c r="E88" s="500"/>
      <c r="F88" s="500"/>
      <c r="G88" s="34" t="s">
        <v>90</v>
      </c>
      <c r="H88" s="35">
        <v>90000</v>
      </c>
      <c r="I88" s="36">
        <f t="shared" si="2"/>
        <v>17100</v>
      </c>
      <c r="J88" s="37">
        <f t="shared" si="3"/>
        <v>107100</v>
      </c>
    </row>
    <row r="89" spans="1:10" ht="14.4" customHeight="1">
      <c r="A89" s="33">
        <v>75</v>
      </c>
      <c r="B89" s="500" t="s">
        <v>198</v>
      </c>
      <c r="C89" s="500"/>
      <c r="D89" s="500"/>
      <c r="E89" s="500"/>
      <c r="F89" s="500"/>
      <c r="G89" s="34" t="s">
        <v>39</v>
      </c>
      <c r="H89" s="35">
        <v>69900</v>
      </c>
      <c r="I89" s="36">
        <f t="shared" si="2"/>
        <v>13281</v>
      </c>
      <c r="J89" s="37">
        <f t="shared" si="3"/>
        <v>83181</v>
      </c>
    </row>
    <row r="90" spans="1:10" ht="19.5" customHeight="1">
      <c r="A90" s="33">
        <v>76</v>
      </c>
      <c r="B90" s="500" t="s">
        <v>92</v>
      </c>
      <c r="C90" s="500"/>
      <c r="D90" s="500"/>
      <c r="E90" s="500"/>
      <c r="F90" s="500"/>
      <c r="G90" s="34" t="s">
        <v>93</v>
      </c>
      <c r="H90" s="35">
        <v>85900</v>
      </c>
      <c r="I90" s="36">
        <f t="shared" si="2"/>
        <v>16321</v>
      </c>
      <c r="J90" s="37">
        <f t="shared" si="3"/>
        <v>102221</v>
      </c>
    </row>
    <row r="91" spans="1:10" ht="21" customHeight="1">
      <c r="A91" s="33">
        <v>77</v>
      </c>
      <c r="B91" s="500" t="s">
        <v>199</v>
      </c>
      <c r="C91" s="500"/>
      <c r="D91" s="500"/>
      <c r="E91" s="500"/>
      <c r="F91" s="500"/>
      <c r="G91" s="34" t="s">
        <v>48</v>
      </c>
      <c r="H91" s="35">
        <v>165000</v>
      </c>
      <c r="I91" s="36">
        <f t="shared" si="2"/>
        <v>31350</v>
      </c>
      <c r="J91" s="37">
        <f t="shared" si="3"/>
        <v>196350</v>
      </c>
    </row>
    <row r="92" spans="1:10" ht="22.2" customHeight="1">
      <c r="A92" s="33">
        <v>78</v>
      </c>
      <c r="B92" s="500" t="s">
        <v>94</v>
      </c>
      <c r="C92" s="500"/>
      <c r="D92" s="500"/>
      <c r="E92" s="500"/>
      <c r="F92" s="500"/>
      <c r="G92" s="34" t="s">
        <v>95</v>
      </c>
      <c r="H92" s="35">
        <v>47700</v>
      </c>
      <c r="I92" s="36">
        <f t="shared" si="2"/>
        <v>9063</v>
      </c>
      <c r="J92" s="37">
        <f t="shared" si="3"/>
        <v>56763</v>
      </c>
    </row>
    <row r="93" spans="1:10" ht="27" customHeight="1">
      <c r="A93" s="33">
        <v>79</v>
      </c>
      <c r="B93" s="500" t="s">
        <v>96</v>
      </c>
      <c r="C93" s="500"/>
      <c r="D93" s="500"/>
      <c r="E93" s="500"/>
      <c r="F93" s="500"/>
      <c r="G93" s="34" t="s">
        <v>19</v>
      </c>
      <c r="H93" s="35">
        <v>5800</v>
      </c>
      <c r="I93" s="36">
        <f t="shared" si="2"/>
        <v>1102</v>
      </c>
      <c r="J93" s="37">
        <f t="shared" si="3"/>
        <v>6902</v>
      </c>
    </row>
    <row r="94" spans="1:10" ht="36" customHeight="1">
      <c r="A94" s="33">
        <v>80</v>
      </c>
      <c r="B94" s="500" t="s">
        <v>97</v>
      </c>
      <c r="C94" s="500"/>
      <c r="D94" s="500"/>
      <c r="E94" s="500"/>
      <c r="F94" s="500"/>
      <c r="G94" s="34" t="s">
        <v>19</v>
      </c>
      <c r="H94" s="35">
        <v>10900</v>
      </c>
      <c r="I94" s="36">
        <f t="shared" si="2"/>
        <v>2071</v>
      </c>
      <c r="J94" s="37">
        <f t="shared" si="3"/>
        <v>12971</v>
      </c>
    </row>
    <row r="95" spans="1:10" ht="30" customHeight="1">
      <c r="A95" s="33">
        <v>81</v>
      </c>
      <c r="B95" s="500" t="s">
        <v>98</v>
      </c>
      <c r="C95" s="500"/>
      <c r="D95" s="500"/>
      <c r="E95" s="500"/>
      <c r="F95" s="500"/>
      <c r="G95" s="34" t="s">
        <v>19</v>
      </c>
      <c r="H95" s="35">
        <v>28900</v>
      </c>
      <c r="I95" s="36">
        <f t="shared" si="2"/>
        <v>5491</v>
      </c>
      <c r="J95" s="37">
        <f t="shared" si="3"/>
        <v>34391</v>
      </c>
    </row>
    <row r="96" spans="1:10" ht="30" customHeight="1">
      <c r="A96" s="33">
        <v>82</v>
      </c>
      <c r="B96" s="500" t="s">
        <v>99</v>
      </c>
      <c r="C96" s="500"/>
      <c r="D96" s="500"/>
      <c r="E96" s="500"/>
      <c r="F96" s="500"/>
      <c r="G96" s="34" t="s">
        <v>19</v>
      </c>
      <c r="H96" s="35">
        <v>429000</v>
      </c>
      <c r="I96" s="36">
        <f t="shared" si="2"/>
        <v>81510</v>
      </c>
      <c r="J96" s="37">
        <f t="shared" si="3"/>
        <v>510510</v>
      </c>
    </row>
    <row r="97" spans="1:10" ht="14.4" customHeight="1">
      <c r="A97" s="33">
        <v>83</v>
      </c>
      <c r="B97" s="500" t="s">
        <v>100</v>
      </c>
      <c r="C97" s="500"/>
      <c r="D97" s="500"/>
      <c r="E97" s="500"/>
      <c r="F97" s="500"/>
      <c r="G97" s="34" t="s">
        <v>19</v>
      </c>
      <c r="H97" s="35">
        <v>55000</v>
      </c>
      <c r="I97" s="36">
        <f t="shared" si="2"/>
        <v>10450</v>
      </c>
      <c r="J97" s="37">
        <f t="shared" si="3"/>
        <v>65450</v>
      </c>
    </row>
    <row r="98" spans="1:10" ht="14.4" customHeight="1">
      <c r="A98" s="33">
        <v>84</v>
      </c>
      <c r="B98" s="500" t="s">
        <v>101</v>
      </c>
      <c r="C98" s="500"/>
      <c r="D98" s="500"/>
      <c r="E98" s="500"/>
      <c r="F98" s="500"/>
      <c r="G98" s="34" t="s">
        <v>102</v>
      </c>
      <c r="H98" s="35">
        <v>18000</v>
      </c>
      <c r="I98" s="36">
        <f t="shared" si="2"/>
        <v>3420</v>
      </c>
      <c r="J98" s="37">
        <f t="shared" si="3"/>
        <v>21420</v>
      </c>
    </row>
    <row r="99" spans="1:10" ht="14.4" customHeight="1">
      <c r="A99" s="33">
        <v>85</v>
      </c>
      <c r="B99" s="500" t="s">
        <v>103</v>
      </c>
      <c r="C99" s="500"/>
      <c r="D99" s="500"/>
      <c r="E99" s="500"/>
      <c r="F99" s="500"/>
      <c r="G99" s="34" t="s">
        <v>102</v>
      </c>
      <c r="H99" s="35">
        <v>25000</v>
      </c>
      <c r="I99" s="36">
        <f t="shared" si="2"/>
        <v>4750</v>
      </c>
      <c r="J99" s="37">
        <f t="shared" si="3"/>
        <v>29750</v>
      </c>
    </row>
    <row r="100" spans="1:10" ht="14.4" customHeight="1">
      <c r="A100" s="33">
        <v>86</v>
      </c>
      <c r="B100" s="500" t="s">
        <v>104</v>
      </c>
      <c r="C100" s="500"/>
      <c r="D100" s="500"/>
      <c r="E100" s="500"/>
      <c r="F100" s="500"/>
      <c r="G100" s="34" t="s">
        <v>102</v>
      </c>
      <c r="H100" s="35">
        <v>28000</v>
      </c>
      <c r="I100" s="36">
        <f t="shared" si="2"/>
        <v>5320</v>
      </c>
      <c r="J100" s="37">
        <f t="shared" si="3"/>
        <v>33320</v>
      </c>
    </row>
    <row r="101" spans="1:10" ht="14.4" customHeight="1">
      <c r="A101" s="33">
        <v>87</v>
      </c>
      <c r="B101" s="500" t="s">
        <v>105</v>
      </c>
      <c r="C101" s="500"/>
      <c r="D101" s="500"/>
      <c r="E101" s="500"/>
      <c r="F101" s="500"/>
      <c r="G101" s="34" t="s">
        <v>102</v>
      </c>
      <c r="H101" s="35">
        <v>38000</v>
      </c>
      <c r="I101" s="36">
        <f t="shared" si="2"/>
        <v>7220</v>
      </c>
      <c r="J101" s="37">
        <f t="shared" si="3"/>
        <v>45220</v>
      </c>
    </row>
    <row r="102" spans="1:10" ht="14.4" customHeight="1">
      <c r="A102" s="33">
        <v>88</v>
      </c>
      <c r="B102" s="500" t="s">
        <v>106</v>
      </c>
      <c r="C102" s="500"/>
      <c r="D102" s="500"/>
      <c r="E102" s="500"/>
      <c r="F102" s="500"/>
      <c r="G102" s="34" t="s">
        <v>102</v>
      </c>
      <c r="H102" s="35">
        <v>38950</v>
      </c>
      <c r="I102" s="36">
        <f t="shared" si="2"/>
        <v>7400.5</v>
      </c>
      <c r="J102" s="37">
        <f t="shared" si="3"/>
        <v>46350.5</v>
      </c>
    </row>
    <row r="103" spans="1:10" ht="14.4" customHeight="1">
      <c r="A103" s="33">
        <v>89</v>
      </c>
      <c r="B103" s="500" t="s">
        <v>107</v>
      </c>
      <c r="C103" s="500"/>
      <c r="D103" s="500"/>
      <c r="E103" s="500"/>
      <c r="F103" s="500"/>
      <c r="G103" s="34" t="s">
        <v>19</v>
      </c>
      <c r="H103" s="35">
        <v>750</v>
      </c>
      <c r="I103" s="36">
        <f t="shared" si="2"/>
        <v>142.5</v>
      </c>
      <c r="J103" s="37">
        <f t="shared" si="3"/>
        <v>892.5</v>
      </c>
    </row>
    <row r="104" spans="1:10" ht="33" customHeight="1">
      <c r="A104" s="33">
        <v>90</v>
      </c>
      <c r="B104" s="500" t="s">
        <v>108</v>
      </c>
      <c r="C104" s="500"/>
      <c r="D104" s="500"/>
      <c r="E104" s="500"/>
      <c r="F104" s="500"/>
      <c r="G104" s="34" t="s">
        <v>19</v>
      </c>
      <c r="H104" s="35">
        <v>9900</v>
      </c>
      <c r="I104" s="36">
        <f t="shared" si="2"/>
        <v>1881</v>
      </c>
      <c r="J104" s="37">
        <f t="shared" si="3"/>
        <v>11781</v>
      </c>
    </row>
    <row r="105" spans="1:10" ht="29.4" customHeight="1">
      <c r="A105" s="33">
        <v>91</v>
      </c>
      <c r="B105" s="500" t="s">
        <v>200</v>
      </c>
      <c r="C105" s="500"/>
      <c r="D105" s="500"/>
      <c r="E105" s="500"/>
      <c r="F105" s="500"/>
      <c r="G105" s="34" t="s">
        <v>19</v>
      </c>
      <c r="H105" s="35">
        <v>10500</v>
      </c>
      <c r="I105" s="36">
        <f t="shared" si="2"/>
        <v>1995</v>
      </c>
      <c r="J105" s="37">
        <f t="shared" si="3"/>
        <v>12495</v>
      </c>
    </row>
    <row r="106" spans="1:10" ht="31.95" customHeight="1">
      <c r="A106" s="33">
        <v>92</v>
      </c>
      <c r="B106" s="500" t="s">
        <v>109</v>
      </c>
      <c r="C106" s="500"/>
      <c r="D106" s="500"/>
      <c r="E106" s="500"/>
      <c r="F106" s="500"/>
      <c r="G106" s="34" t="s">
        <v>19</v>
      </c>
      <c r="H106" s="35">
        <v>5600</v>
      </c>
      <c r="I106" s="36">
        <f t="shared" si="2"/>
        <v>1064</v>
      </c>
      <c r="J106" s="37">
        <f t="shared" si="3"/>
        <v>6664</v>
      </c>
    </row>
    <row r="107" spans="1:10" ht="14.4" customHeight="1">
      <c r="A107" s="33">
        <v>93</v>
      </c>
      <c r="B107" s="500" t="s">
        <v>110</v>
      </c>
      <c r="C107" s="500"/>
      <c r="D107" s="500"/>
      <c r="E107" s="500"/>
      <c r="F107" s="500"/>
      <c r="G107" s="34" t="s">
        <v>77</v>
      </c>
      <c r="H107" s="35">
        <v>20400</v>
      </c>
      <c r="I107" s="36">
        <f t="shared" si="2"/>
        <v>3876</v>
      </c>
      <c r="J107" s="37">
        <f t="shared" si="3"/>
        <v>24276</v>
      </c>
    </row>
    <row r="108" spans="1:10" ht="14.4" customHeight="1">
      <c r="A108" s="33">
        <v>94</v>
      </c>
      <c r="B108" s="500" t="s">
        <v>111</v>
      </c>
      <c r="C108" s="500"/>
      <c r="D108" s="500"/>
      <c r="E108" s="500"/>
      <c r="F108" s="500"/>
      <c r="G108" s="34" t="s">
        <v>19</v>
      </c>
      <c r="H108" s="35">
        <v>39900</v>
      </c>
      <c r="I108" s="36">
        <f t="shared" si="2"/>
        <v>7581</v>
      </c>
      <c r="J108" s="37">
        <f t="shared" si="3"/>
        <v>47481</v>
      </c>
    </row>
    <row r="109" spans="1:10" ht="27" customHeight="1">
      <c r="A109" s="33">
        <v>95</v>
      </c>
      <c r="B109" s="500" t="s">
        <v>201</v>
      </c>
      <c r="C109" s="500"/>
      <c r="D109" s="500"/>
      <c r="E109" s="500"/>
      <c r="F109" s="500"/>
      <c r="G109" s="34" t="s">
        <v>19</v>
      </c>
      <c r="H109" s="35">
        <v>2950</v>
      </c>
      <c r="I109" s="36">
        <f t="shared" si="2"/>
        <v>560.5</v>
      </c>
      <c r="J109" s="37">
        <f t="shared" si="3"/>
        <v>3510.5</v>
      </c>
    </row>
    <row r="110" spans="1:10" ht="14.4" customHeight="1">
      <c r="A110" s="33">
        <v>96</v>
      </c>
      <c r="B110" s="500" t="s">
        <v>112</v>
      </c>
      <c r="C110" s="500"/>
      <c r="D110" s="500"/>
      <c r="E110" s="500"/>
      <c r="F110" s="500"/>
      <c r="G110" s="34" t="s">
        <v>43</v>
      </c>
      <c r="H110" s="35">
        <v>25000</v>
      </c>
      <c r="I110" s="36">
        <f t="shared" si="2"/>
        <v>4750</v>
      </c>
      <c r="J110" s="37">
        <f t="shared" si="3"/>
        <v>29750</v>
      </c>
    </row>
    <row r="111" spans="1:10" ht="29.4" customHeight="1">
      <c r="A111" s="33">
        <v>97</v>
      </c>
      <c r="B111" s="500" t="s">
        <v>202</v>
      </c>
      <c r="C111" s="500"/>
      <c r="D111" s="500"/>
      <c r="E111" s="500"/>
      <c r="F111" s="500"/>
      <c r="G111" s="34" t="s">
        <v>43</v>
      </c>
      <c r="H111" s="35">
        <v>27000</v>
      </c>
      <c r="I111" s="36">
        <f t="shared" si="2"/>
        <v>5130</v>
      </c>
      <c r="J111" s="37">
        <f t="shared" si="3"/>
        <v>32130</v>
      </c>
    </row>
    <row r="112" spans="1:10" ht="14.4" customHeight="1">
      <c r="A112" s="33">
        <v>98</v>
      </c>
      <c r="B112" s="500" t="s">
        <v>113</v>
      </c>
      <c r="C112" s="500"/>
      <c r="D112" s="500"/>
      <c r="E112" s="500"/>
      <c r="F112" s="500"/>
      <c r="G112" s="34" t="s">
        <v>43</v>
      </c>
      <c r="H112" s="35">
        <v>30500</v>
      </c>
      <c r="I112" s="36">
        <f t="shared" si="2"/>
        <v>5795</v>
      </c>
      <c r="J112" s="37">
        <f t="shared" si="3"/>
        <v>36295</v>
      </c>
    </row>
    <row r="113" spans="1:10" ht="14.4" customHeight="1">
      <c r="A113" s="33">
        <v>99</v>
      </c>
      <c r="B113" s="500" t="s">
        <v>114</v>
      </c>
      <c r="C113" s="500"/>
      <c r="D113" s="500"/>
      <c r="E113" s="500"/>
      <c r="F113" s="500"/>
      <c r="G113" s="34" t="s">
        <v>115</v>
      </c>
      <c r="H113" s="35">
        <v>19500</v>
      </c>
      <c r="I113" s="36">
        <f t="shared" si="2"/>
        <v>3705</v>
      </c>
      <c r="J113" s="37">
        <f t="shared" si="3"/>
        <v>23205</v>
      </c>
    </row>
    <row r="114" spans="1:10" ht="14.4" customHeight="1">
      <c r="A114" s="33">
        <v>100</v>
      </c>
      <c r="B114" s="500" t="s">
        <v>116</v>
      </c>
      <c r="C114" s="500"/>
      <c r="D114" s="500"/>
      <c r="E114" s="500"/>
      <c r="F114" s="500"/>
      <c r="G114" s="34" t="s">
        <v>115</v>
      </c>
      <c r="H114" s="35">
        <v>21500</v>
      </c>
      <c r="I114" s="36">
        <f t="shared" si="2"/>
        <v>4085</v>
      </c>
      <c r="J114" s="37">
        <f t="shared" si="3"/>
        <v>25585</v>
      </c>
    </row>
    <row r="115" spans="1:10" ht="14.4" customHeight="1">
      <c r="A115" s="33">
        <v>101</v>
      </c>
      <c r="B115" s="500" t="s">
        <v>117</v>
      </c>
      <c r="C115" s="500"/>
      <c r="D115" s="500"/>
      <c r="E115" s="500"/>
      <c r="F115" s="500"/>
      <c r="G115" s="34" t="s">
        <v>43</v>
      </c>
      <c r="H115" s="35">
        <v>40500</v>
      </c>
      <c r="I115" s="36">
        <f t="shared" si="2"/>
        <v>7695</v>
      </c>
      <c r="J115" s="37">
        <f t="shared" si="3"/>
        <v>48195</v>
      </c>
    </row>
    <row r="116" spans="1:10" ht="28.95" customHeight="1">
      <c r="A116" s="33">
        <v>102</v>
      </c>
      <c r="B116" s="500" t="s">
        <v>118</v>
      </c>
      <c r="C116" s="500"/>
      <c r="D116" s="500"/>
      <c r="E116" s="500"/>
      <c r="F116" s="500"/>
      <c r="G116" s="34" t="s">
        <v>19</v>
      </c>
      <c r="H116" s="35">
        <v>7500</v>
      </c>
      <c r="I116" s="36">
        <f t="shared" si="2"/>
        <v>1425</v>
      </c>
      <c r="J116" s="37">
        <f t="shared" si="3"/>
        <v>8925</v>
      </c>
    </row>
    <row r="117" spans="1:10" ht="14.4" customHeight="1">
      <c r="A117" s="33">
        <v>103</v>
      </c>
      <c r="B117" s="500" t="s">
        <v>119</v>
      </c>
      <c r="C117" s="500"/>
      <c r="D117" s="500"/>
      <c r="E117" s="500"/>
      <c r="F117" s="500"/>
      <c r="G117" s="34" t="s">
        <v>19</v>
      </c>
      <c r="H117" s="35">
        <v>139000</v>
      </c>
      <c r="I117" s="36">
        <f t="shared" si="2"/>
        <v>26410</v>
      </c>
      <c r="J117" s="37">
        <f t="shared" si="3"/>
        <v>165410</v>
      </c>
    </row>
    <row r="118" spans="1:10" ht="24.75" customHeight="1">
      <c r="A118" s="33">
        <v>104</v>
      </c>
      <c r="B118" s="500" t="s">
        <v>203</v>
      </c>
      <c r="C118" s="500"/>
      <c r="D118" s="500"/>
      <c r="E118" s="500"/>
      <c r="F118" s="500"/>
      <c r="G118" s="34" t="s">
        <v>19</v>
      </c>
      <c r="H118" s="35">
        <v>395000</v>
      </c>
      <c r="I118" s="36">
        <f t="shared" si="2"/>
        <v>75050</v>
      </c>
      <c r="J118" s="37">
        <f t="shared" si="3"/>
        <v>470050</v>
      </c>
    </row>
    <row r="119" spans="1:10" ht="21" customHeight="1">
      <c r="A119" s="33">
        <v>105</v>
      </c>
      <c r="B119" s="500" t="s">
        <v>204</v>
      </c>
      <c r="C119" s="500"/>
      <c r="D119" s="500"/>
      <c r="E119" s="500"/>
      <c r="F119" s="500"/>
      <c r="G119" s="34" t="s">
        <v>19</v>
      </c>
      <c r="H119" s="35">
        <v>105000</v>
      </c>
      <c r="I119" s="36">
        <f t="shared" si="2"/>
        <v>19950</v>
      </c>
      <c r="J119" s="37">
        <f t="shared" si="3"/>
        <v>124950</v>
      </c>
    </row>
    <row r="120" spans="1:10" ht="14.4" customHeight="1">
      <c r="A120" s="33">
        <v>106</v>
      </c>
      <c r="B120" s="500" t="s">
        <v>120</v>
      </c>
      <c r="C120" s="500"/>
      <c r="D120" s="500"/>
      <c r="E120" s="500"/>
      <c r="F120" s="500"/>
      <c r="G120" s="34" t="s">
        <v>19</v>
      </c>
      <c r="H120" s="35">
        <v>140000</v>
      </c>
      <c r="I120" s="36">
        <f t="shared" si="2"/>
        <v>26600</v>
      </c>
      <c r="J120" s="37">
        <f t="shared" si="3"/>
        <v>166600</v>
      </c>
    </row>
    <row r="121" spans="1:10" ht="30.6" customHeight="1">
      <c r="A121" s="33">
        <v>107</v>
      </c>
      <c r="B121" s="500" t="s">
        <v>205</v>
      </c>
      <c r="C121" s="500"/>
      <c r="D121" s="500"/>
      <c r="E121" s="500"/>
      <c r="F121" s="500"/>
      <c r="G121" s="34" t="s">
        <v>31</v>
      </c>
      <c r="H121" s="35">
        <v>38000</v>
      </c>
      <c r="I121" s="36">
        <f t="shared" si="2"/>
        <v>7220</v>
      </c>
      <c r="J121" s="37">
        <f t="shared" si="3"/>
        <v>45220</v>
      </c>
    </row>
    <row r="122" spans="1:10" ht="14.4" customHeight="1">
      <c r="A122" s="33">
        <v>108</v>
      </c>
      <c r="B122" s="500" t="s">
        <v>121</v>
      </c>
      <c r="C122" s="500"/>
      <c r="D122" s="500"/>
      <c r="E122" s="500"/>
      <c r="F122" s="500"/>
      <c r="G122" s="34" t="s">
        <v>33</v>
      </c>
      <c r="H122" s="35">
        <v>25900</v>
      </c>
      <c r="I122" s="36">
        <f t="shared" si="2"/>
        <v>4921</v>
      </c>
      <c r="J122" s="37">
        <f t="shared" si="3"/>
        <v>30821</v>
      </c>
    </row>
    <row r="123" spans="1:10" ht="26.25" customHeight="1">
      <c r="A123" s="33">
        <v>109</v>
      </c>
      <c r="B123" s="500" t="s">
        <v>206</v>
      </c>
      <c r="C123" s="500"/>
      <c r="D123" s="500"/>
      <c r="E123" s="500"/>
      <c r="F123" s="500"/>
      <c r="G123" s="34" t="s">
        <v>43</v>
      </c>
      <c r="H123" s="35">
        <v>75000</v>
      </c>
      <c r="I123" s="36">
        <f t="shared" si="2"/>
        <v>14250</v>
      </c>
      <c r="J123" s="37">
        <f t="shared" si="3"/>
        <v>89250</v>
      </c>
    </row>
    <row r="124" spans="1:10" ht="14.4" customHeight="1">
      <c r="A124" s="33">
        <v>110</v>
      </c>
      <c r="B124" s="500" t="s">
        <v>122</v>
      </c>
      <c r="C124" s="500"/>
      <c r="D124" s="500"/>
      <c r="E124" s="500"/>
      <c r="F124" s="500"/>
      <c r="G124" s="34" t="s">
        <v>19</v>
      </c>
      <c r="H124" s="35">
        <v>9400</v>
      </c>
      <c r="I124" s="36">
        <f t="shared" si="2"/>
        <v>1786</v>
      </c>
      <c r="J124" s="37">
        <f t="shared" si="3"/>
        <v>11186</v>
      </c>
    </row>
    <row r="125" spans="1:10" ht="14.4" customHeight="1">
      <c r="A125" s="33">
        <v>111</v>
      </c>
      <c r="B125" s="500" t="s">
        <v>123</v>
      </c>
      <c r="C125" s="500"/>
      <c r="D125" s="500"/>
      <c r="E125" s="500"/>
      <c r="F125" s="500"/>
      <c r="G125" s="34" t="s">
        <v>19</v>
      </c>
      <c r="H125" s="35">
        <v>4500</v>
      </c>
      <c r="I125" s="36">
        <f t="shared" si="2"/>
        <v>855</v>
      </c>
      <c r="J125" s="37">
        <f t="shared" si="3"/>
        <v>5355</v>
      </c>
    </row>
    <row r="126" spans="1:10" ht="14.4" customHeight="1">
      <c r="A126" s="33">
        <v>112</v>
      </c>
      <c r="B126" s="500" t="s">
        <v>124</v>
      </c>
      <c r="C126" s="500"/>
      <c r="D126" s="500"/>
      <c r="E126" s="500"/>
      <c r="F126" s="500"/>
      <c r="G126" s="34" t="s">
        <v>19</v>
      </c>
      <c r="H126" s="35">
        <v>453000</v>
      </c>
      <c r="I126" s="36">
        <f t="shared" si="2"/>
        <v>86070</v>
      </c>
      <c r="J126" s="37">
        <f t="shared" si="3"/>
        <v>539070</v>
      </c>
    </row>
    <row r="127" spans="1:10" ht="14.4" customHeight="1">
      <c r="A127" s="33">
        <v>113</v>
      </c>
      <c r="B127" s="500" t="s">
        <v>125</v>
      </c>
      <c r="C127" s="500"/>
      <c r="D127" s="500"/>
      <c r="E127" s="500"/>
      <c r="F127" s="500"/>
      <c r="G127" s="34" t="s">
        <v>19</v>
      </c>
      <c r="H127" s="35">
        <v>1427000</v>
      </c>
      <c r="I127" s="36">
        <f t="shared" si="2"/>
        <v>271130</v>
      </c>
      <c r="J127" s="37">
        <f t="shared" si="3"/>
        <v>1698130</v>
      </c>
    </row>
    <row r="128" spans="1:10" ht="14.4" customHeight="1">
      <c r="A128" s="33">
        <v>114</v>
      </c>
      <c r="B128" s="500" t="s">
        <v>126</v>
      </c>
      <c r="C128" s="500"/>
      <c r="D128" s="500"/>
      <c r="E128" s="500"/>
      <c r="F128" s="500"/>
      <c r="G128" s="34" t="s">
        <v>19</v>
      </c>
      <c r="H128" s="35">
        <v>750000</v>
      </c>
      <c r="I128" s="36">
        <f t="shared" si="2"/>
        <v>142500</v>
      </c>
      <c r="J128" s="37">
        <f t="shared" si="3"/>
        <v>892500</v>
      </c>
    </row>
    <row r="129" spans="1:12" ht="14.4" customHeight="1">
      <c r="A129" s="33">
        <v>115</v>
      </c>
      <c r="B129" s="500" t="s">
        <v>127</v>
      </c>
      <c r="C129" s="500"/>
      <c r="D129" s="500"/>
      <c r="E129" s="500"/>
      <c r="F129" s="500"/>
      <c r="G129" s="34" t="s">
        <v>19</v>
      </c>
      <c r="H129" s="35">
        <v>750000</v>
      </c>
      <c r="I129" s="36">
        <f t="shared" si="2"/>
        <v>142500</v>
      </c>
      <c r="J129" s="37">
        <f t="shared" si="3"/>
        <v>892500</v>
      </c>
    </row>
    <row r="130" spans="1:12" ht="14.4" customHeight="1">
      <c r="A130" s="33">
        <v>116</v>
      </c>
      <c r="B130" s="500" t="s">
        <v>128</v>
      </c>
      <c r="C130" s="500"/>
      <c r="D130" s="500"/>
      <c r="E130" s="500"/>
      <c r="F130" s="500"/>
      <c r="G130" s="34" t="s">
        <v>19</v>
      </c>
      <c r="H130" s="35">
        <v>750000</v>
      </c>
      <c r="I130" s="36">
        <f t="shared" si="2"/>
        <v>142500</v>
      </c>
      <c r="J130" s="37">
        <f t="shared" si="3"/>
        <v>892500</v>
      </c>
    </row>
    <row r="131" spans="1:12" ht="14.4" customHeight="1">
      <c r="A131" s="33">
        <v>117</v>
      </c>
      <c r="B131" s="500" t="s">
        <v>129</v>
      </c>
      <c r="C131" s="500"/>
      <c r="D131" s="500"/>
      <c r="E131" s="500"/>
      <c r="F131" s="500"/>
      <c r="G131" s="34" t="s">
        <v>19</v>
      </c>
      <c r="H131" s="35">
        <v>750000</v>
      </c>
      <c r="I131" s="36">
        <f t="shared" si="2"/>
        <v>142500</v>
      </c>
      <c r="J131" s="37">
        <f t="shared" si="3"/>
        <v>892500</v>
      </c>
    </row>
    <row r="132" spans="1:12" ht="14.4" customHeight="1">
      <c r="A132" s="33">
        <v>118</v>
      </c>
      <c r="B132" s="500" t="s">
        <v>130</v>
      </c>
      <c r="C132" s="500"/>
      <c r="D132" s="500"/>
      <c r="E132" s="500"/>
      <c r="F132" s="500"/>
      <c r="G132" s="34" t="s">
        <v>19</v>
      </c>
      <c r="H132" s="35">
        <v>8900</v>
      </c>
      <c r="I132" s="36">
        <f t="shared" si="2"/>
        <v>1691</v>
      </c>
      <c r="J132" s="37">
        <f t="shared" si="3"/>
        <v>10591</v>
      </c>
    </row>
    <row r="133" spans="1:12" ht="14.4" customHeight="1">
      <c r="A133" s="33">
        <v>119</v>
      </c>
      <c r="B133" s="500" t="s">
        <v>131</v>
      </c>
      <c r="C133" s="500"/>
      <c r="D133" s="500"/>
      <c r="E133" s="500"/>
      <c r="F133" s="500"/>
      <c r="G133" s="34" t="s">
        <v>19</v>
      </c>
      <c r="H133" s="35">
        <v>8900</v>
      </c>
      <c r="I133" s="36">
        <f t="shared" si="2"/>
        <v>1691</v>
      </c>
      <c r="J133" s="37">
        <f t="shared" si="3"/>
        <v>10591</v>
      </c>
    </row>
    <row r="134" spans="1:12" ht="14.4" customHeight="1">
      <c r="A134" s="33">
        <v>120</v>
      </c>
      <c r="B134" s="500" t="s">
        <v>132</v>
      </c>
      <c r="C134" s="500"/>
      <c r="D134" s="500"/>
      <c r="E134" s="500"/>
      <c r="F134" s="500"/>
      <c r="G134" s="34" t="s">
        <v>48</v>
      </c>
      <c r="H134" s="35">
        <v>49500</v>
      </c>
      <c r="I134" s="36">
        <f t="shared" si="2"/>
        <v>9405</v>
      </c>
      <c r="J134" s="37">
        <f t="shared" si="3"/>
        <v>58905</v>
      </c>
    </row>
    <row r="135" spans="1:12" ht="14.4" customHeight="1">
      <c r="A135" s="33">
        <v>121</v>
      </c>
      <c r="B135" s="500" t="s">
        <v>133</v>
      </c>
      <c r="C135" s="500"/>
      <c r="D135" s="500"/>
      <c r="E135" s="500"/>
      <c r="F135" s="500"/>
      <c r="G135" s="34" t="s">
        <v>19</v>
      </c>
      <c r="H135" s="35">
        <v>659000</v>
      </c>
      <c r="I135" s="36">
        <f t="shared" si="2"/>
        <v>125210</v>
      </c>
      <c r="J135" s="37">
        <f t="shared" si="3"/>
        <v>784210</v>
      </c>
    </row>
    <row r="136" spans="1:12" s="45" customFormat="1" ht="22.5" customHeight="1">
      <c r="A136" s="81">
        <v>122</v>
      </c>
      <c r="B136" s="524" t="s">
        <v>207</v>
      </c>
      <c r="C136" s="524"/>
      <c r="D136" s="524"/>
      <c r="E136" s="524"/>
      <c r="F136" s="524"/>
      <c r="G136" s="82" t="s">
        <v>19</v>
      </c>
      <c r="H136" s="83">
        <v>7500</v>
      </c>
      <c r="I136" s="84">
        <f t="shared" si="2"/>
        <v>1425</v>
      </c>
      <c r="J136" s="85">
        <f t="shared" si="3"/>
        <v>8925</v>
      </c>
    </row>
    <row r="137" spans="1:12" s="45" customFormat="1" ht="22.5" customHeight="1">
      <c r="A137" s="81">
        <v>123</v>
      </c>
      <c r="B137" s="524" t="s">
        <v>208</v>
      </c>
      <c r="C137" s="524"/>
      <c r="D137" s="524"/>
      <c r="E137" s="524"/>
      <c r="F137" s="524"/>
      <c r="G137" s="86" t="s">
        <v>209</v>
      </c>
      <c r="H137" s="131"/>
      <c r="I137" s="132">
        <f>H137*0.19</f>
        <v>0</v>
      </c>
      <c r="J137" s="133">
        <f>I137+H137</f>
        <v>0</v>
      </c>
      <c r="K137" s="134"/>
      <c r="L137" s="134"/>
    </row>
    <row r="138" spans="1:12" ht="15.6">
      <c r="A138" s="525" t="s">
        <v>135</v>
      </c>
      <c r="B138" s="526"/>
      <c r="C138" s="526"/>
      <c r="D138" s="526"/>
      <c r="E138" s="526"/>
      <c r="F138" s="526"/>
      <c r="G138" s="526"/>
      <c r="H138" s="526"/>
      <c r="I138" s="526"/>
      <c r="J138" s="38">
        <f>SUM(J15:J137)</f>
        <v>15677827.550000001</v>
      </c>
    </row>
    <row r="139" spans="1:12">
      <c r="A139" s="509"/>
      <c r="B139" s="510"/>
      <c r="C139" s="510"/>
      <c r="D139" s="510"/>
      <c r="E139" s="510"/>
      <c r="F139" s="510"/>
      <c r="G139" s="510"/>
      <c r="H139" s="510"/>
      <c r="I139" s="510"/>
      <c r="J139" s="511"/>
    </row>
    <row r="140" spans="1:12" ht="90" customHeight="1">
      <c r="A140" s="512" t="s">
        <v>210</v>
      </c>
      <c r="B140" s="513"/>
      <c r="C140" s="513"/>
      <c r="D140" s="513"/>
      <c r="E140" s="513"/>
      <c r="F140" s="513"/>
      <c r="G140" s="513"/>
      <c r="H140" s="513"/>
      <c r="I140" s="513"/>
      <c r="J140" s="514"/>
    </row>
    <row r="141" spans="1:12">
      <c r="A141" s="515"/>
      <c r="B141" s="516"/>
      <c r="C141" s="516"/>
      <c r="D141" s="516"/>
      <c r="E141" s="516"/>
      <c r="F141" s="516"/>
      <c r="G141" s="516"/>
      <c r="H141" s="516"/>
      <c r="I141" s="516"/>
      <c r="J141" s="517"/>
    </row>
    <row r="142" spans="1:12">
      <c r="A142" s="518"/>
      <c r="B142" s="519"/>
      <c r="C142" s="519"/>
      <c r="D142" s="519"/>
      <c r="E142" s="519"/>
      <c r="F142" s="519"/>
      <c r="G142" s="519"/>
      <c r="H142" s="519"/>
      <c r="I142" s="519"/>
      <c r="J142" s="520"/>
    </row>
    <row r="143" spans="1:12">
      <c r="A143" s="518"/>
      <c r="B143" s="519"/>
      <c r="C143" s="519"/>
      <c r="D143" s="519"/>
      <c r="E143" s="519"/>
      <c r="F143" s="519"/>
      <c r="G143" s="519"/>
      <c r="H143" s="519"/>
      <c r="I143" s="519"/>
      <c r="J143" s="520"/>
    </row>
    <row r="144" spans="1:12">
      <c r="A144" s="518"/>
      <c r="B144" s="519"/>
      <c r="C144" s="519"/>
      <c r="D144" s="519"/>
      <c r="E144" s="519"/>
      <c r="F144" s="519"/>
      <c r="G144" s="519"/>
      <c r="H144" s="519"/>
      <c r="I144" s="519"/>
      <c r="J144" s="520"/>
    </row>
    <row r="145" spans="1:10" ht="15" thickBot="1">
      <c r="A145" s="521"/>
      <c r="B145" s="522"/>
      <c r="C145" s="522"/>
      <c r="D145" s="522"/>
      <c r="E145" s="522"/>
      <c r="F145" s="522"/>
      <c r="G145" s="522"/>
      <c r="H145" s="522"/>
      <c r="I145" s="522"/>
      <c r="J145" s="523"/>
    </row>
    <row r="146" spans="1:10"/>
    <row r="147" spans="1:10"/>
    <row r="148" spans="1:10"/>
  </sheetData>
  <autoFilter ref="A14:J138" xr:uid="{969641EE-EBC6-4CAD-92CE-7F2EA7381ABF}">
    <filterColumn colId="1" showButton="0"/>
    <filterColumn colId="2" showButton="0"/>
    <filterColumn colId="3" showButton="0"/>
    <filterColumn colId="4" showButton="0"/>
  </autoFilter>
  <mergeCells count="144">
    <mergeCell ref="A139:J139"/>
    <mergeCell ref="A140:J140"/>
    <mergeCell ref="A141:J145"/>
    <mergeCell ref="B137:F137"/>
    <mergeCell ref="A138:I138"/>
    <mergeCell ref="B131:F131"/>
    <mergeCell ref="B132:F132"/>
    <mergeCell ref="B133:F133"/>
    <mergeCell ref="B134:F134"/>
    <mergeCell ref="B135:F135"/>
    <mergeCell ref="B136:F136"/>
    <mergeCell ref="B125:F125"/>
    <mergeCell ref="B126:F126"/>
    <mergeCell ref="B127:F127"/>
    <mergeCell ref="B128:F128"/>
    <mergeCell ref="B129:F129"/>
    <mergeCell ref="B130:F130"/>
    <mergeCell ref="B119:F119"/>
    <mergeCell ref="B120:F120"/>
    <mergeCell ref="B121:F121"/>
    <mergeCell ref="B122:F122"/>
    <mergeCell ref="B123:F123"/>
    <mergeCell ref="B124:F124"/>
    <mergeCell ref="B113:F113"/>
    <mergeCell ref="B114:F114"/>
    <mergeCell ref="B115:F115"/>
    <mergeCell ref="B116:F116"/>
    <mergeCell ref="B117:F117"/>
    <mergeCell ref="B118:F118"/>
    <mergeCell ref="B107:F107"/>
    <mergeCell ref="B108:F108"/>
    <mergeCell ref="B109:F109"/>
    <mergeCell ref="B110:F110"/>
    <mergeCell ref="B111:F111"/>
    <mergeCell ref="B112:F112"/>
    <mergeCell ref="B101:F101"/>
    <mergeCell ref="B102:F102"/>
    <mergeCell ref="B103:F103"/>
    <mergeCell ref="B104:F104"/>
    <mergeCell ref="B105:F105"/>
    <mergeCell ref="B106:F106"/>
    <mergeCell ref="B95:F95"/>
    <mergeCell ref="B96:F96"/>
    <mergeCell ref="B97:F97"/>
    <mergeCell ref="B98:F98"/>
    <mergeCell ref="B99:F99"/>
    <mergeCell ref="B100:F100"/>
    <mergeCell ref="B89:F89"/>
    <mergeCell ref="B90:F90"/>
    <mergeCell ref="B91:F91"/>
    <mergeCell ref="B92:F92"/>
    <mergeCell ref="B93:F93"/>
    <mergeCell ref="B94:F94"/>
    <mergeCell ref="B83:F83"/>
    <mergeCell ref="B84:F84"/>
    <mergeCell ref="B85:F85"/>
    <mergeCell ref="B86:F86"/>
    <mergeCell ref="B87:F87"/>
    <mergeCell ref="B88:F88"/>
    <mergeCell ref="B77:F77"/>
    <mergeCell ref="B78:F78"/>
    <mergeCell ref="B79:F79"/>
    <mergeCell ref="B80:F80"/>
    <mergeCell ref="B81:F81"/>
    <mergeCell ref="B82:F82"/>
    <mergeCell ref="B71:F71"/>
    <mergeCell ref="B72:F72"/>
    <mergeCell ref="B73:F73"/>
    <mergeCell ref="B74:F74"/>
    <mergeCell ref="B75:F75"/>
    <mergeCell ref="B76:F76"/>
    <mergeCell ref="B65:F65"/>
    <mergeCell ref="B66:F66"/>
    <mergeCell ref="B67:F67"/>
    <mergeCell ref="B68:F68"/>
    <mergeCell ref="B69:F69"/>
    <mergeCell ref="B70:F70"/>
    <mergeCell ref="B59:F59"/>
    <mergeCell ref="B60:F60"/>
    <mergeCell ref="B61:F61"/>
    <mergeCell ref="B62:F62"/>
    <mergeCell ref="B63:F63"/>
    <mergeCell ref="B64:F64"/>
    <mergeCell ref="B53:F53"/>
    <mergeCell ref="B54:F54"/>
    <mergeCell ref="B55:F55"/>
    <mergeCell ref="B56:F56"/>
    <mergeCell ref="B57:F57"/>
    <mergeCell ref="B58:F58"/>
    <mergeCell ref="B47:F47"/>
    <mergeCell ref="B48:F48"/>
    <mergeCell ref="B49:F49"/>
    <mergeCell ref="B50:F50"/>
    <mergeCell ref="B51:F51"/>
    <mergeCell ref="B52:F52"/>
    <mergeCell ref="B41:F41"/>
    <mergeCell ref="B42:F42"/>
    <mergeCell ref="B43:F43"/>
    <mergeCell ref="B44:F44"/>
    <mergeCell ref="B45:F45"/>
    <mergeCell ref="B46:F46"/>
    <mergeCell ref="B35:F35"/>
    <mergeCell ref="B36:F36"/>
    <mergeCell ref="B37:F37"/>
    <mergeCell ref="B38:F38"/>
    <mergeCell ref="B39:F39"/>
    <mergeCell ref="B40:F40"/>
    <mergeCell ref="B29:F29"/>
    <mergeCell ref="B30:F30"/>
    <mergeCell ref="B31:F31"/>
    <mergeCell ref="B32:F32"/>
    <mergeCell ref="B33:F33"/>
    <mergeCell ref="B34:F34"/>
    <mergeCell ref="B23:F23"/>
    <mergeCell ref="B24:F24"/>
    <mergeCell ref="B25:F25"/>
    <mergeCell ref="B26:F26"/>
    <mergeCell ref="B27:F27"/>
    <mergeCell ref="B28:F28"/>
    <mergeCell ref="B17:F17"/>
    <mergeCell ref="B18:F18"/>
    <mergeCell ref="B19:F19"/>
    <mergeCell ref="B20:F20"/>
    <mergeCell ref="B21:F21"/>
    <mergeCell ref="B22:F22"/>
    <mergeCell ref="A10:J10"/>
    <mergeCell ref="A12:C12"/>
    <mergeCell ref="D12:G12"/>
    <mergeCell ref="B14:F14"/>
    <mergeCell ref="B15:F15"/>
    <mergeCell ref="B16:F16"/>
    <mergeCell ref="B7:D7"/>
    <mergeCell ref="F7:G7"/>
    <mergeCell ref="I7:J7"/>
    <mergeCell ref="B8:D8"/>
    <mergeCell ref="F8:G8"/>
    <mergeCell ref="I8:J8"/>
    <mergeCell ref="A1:J1"/>
    <mergeCell ref="A2:J2"/>
    <mergeCell ref="A4:C4"/>
    <mergeCell ref="D4:J4"/>
    <mergeCell ref="B6:D6"/>
    <mergeCell ref="F6:G6"/>
    <mergeCell ref="I6:J6"/>
  </mergeCells>
  <hyperlinks>
    <hyperlink ref="F8" r:id="rId1" xr:uid="{70CD68BC-E8DD-40C6-90A6-F7BF833EB2D9}"/>
  </hyperlinks>
  <pageMargins left="0.7" right="0.7" top="0.75" bottom="0.75" header="0.3" footer="0.3"/>
  <ignoredErrors>
    <ignoredError sqref="I137" unlockedFormula="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2A52D-7542-4BF4-AF4A-74C4D062006D}">
  <sheetPr>
    <tabColor rgb="FFFF0000"/>
  </sheetPr>
  <dimension ref="A1:L148"/>
  <sheetViews>
    <sheetView showGridLines="0" topLeftCell="A129" workbookViewId="0">
      <selection activeCell="I136" sqref="I136"/>
    </sheetView>
  </sheetViews>
  <sheetFormatPr baseColWidth="10" defaultColWidth="11.44140625" defaultRowHeight="14.4" zeroHeight="1"/>
  <cols>
    <col min="1" max="6" width="11.44140625" style="17" customWidth="1"/>
    <col min="7" max="7" width="15" style="17" customWidth="1"/>
    <col min="8" max="8" width="14.33203125" style="17" customWidth="1"/>
    <col min="9" max="9" width="13.109375" style="17" customWidth="1"/>
    <col min="10" max="10" width="16.33203125" style="17" customWidth="1"/>
    <col min="11" max="16383" width="11.44140625" style="17" customWidth="1"/>
    <col min="16384" max="16384" width="11.44140625" style="17"/>
  </cols>
  <sheetData>
    <row r="1" spans="1:12" ht="43.5" customHeight="1">
      <c r="A1" s="485" t="s">
        <v>2</v>
      </c>
      <c r="B1" s="486"/>
      <c r="C1" s="486"/>
      <c r="D1" s="486"/>
      <c r="E1" s="486"/>
      <c r="F1" s="486"/>
      <c r="G1" s="486"/>
      <c r="H1" s="486"/>
      <c r="I1" s="486"/>
      <c r="J1" s="487"/>
      <c r="L1" s="299" t="s">
        <v>794</v>
      </c>
    </row>
    <row r="2" spans="1:12" ht="27.75" customHeight="1">
      <c r="A2" s="488" t="s">
        <v>162</v>
      </c>
      <c r="B2" s="489"/>
      <c r="C2" s="489"/>
      <c r="D2" s="489"/>
      <c r="E2" s="489"/>
      <c r="F2" s="489"/>
      <c r="G2" s="489"/>
      <c r="H2" s="489"/>
      <c r="I2" s="489"/>
      <c r="J2" s="490"/>
    </row>
    <row r="3" spans="1:12">
      <c r="A3" s="18"/>
      <c r="B3" s="19"/>
      <c r="C3" s="19"/>
      <c r="D3" s="19"/>
      <c r="E3" s="19"/>
      <c r="F3" s="19"/>
      <c r="G3" s="20"/>
      <c r="H3" s="21"/>
      <c r="I3" s="21"/>
      <c r="J3" s="22"/>
    </row>
    <row r="4" spans="1:12" ht="40.950000000000003" customHeight="1">
      <c r="A4" s="491" t="s">
        <v>163</v>
      </c>
      <c r="B4" s="492"/>
      <c r="C4" s="492"/>
      <c r="D4" s="493" t="s">
        <v>164</v>
      </c>
      <c r="E4" s="494"/>
      <c r="F4" s="494"/>
      <c r="G4" s="494"/>
      <c r="H4" s="494"/>
      <c r="I4" s="494"/>
      <c r="J4" s="495"/>
    </row>
    <row r="5" spans="1:12">
      <c r="A5" s="18"/>
      <c r="B5" s="19"/>
      <c r="C5" s="19"/>
      <c r="D5" s="19"/>
      <c r="E5" s="19"/>
      <c r="F5" s="19"/>
      <c r="G5" s="20"/>
      <c r="H5" s="21"/>
      <c r="I5" s="21"/>
      <c r="J5" s="22"/>
    </row>
    <row r="6" spans="1:12" ht="21" customHeight="1">
      <c r="A6" s="23" t="s">
        <v>4</v>
      </c>
      <c r="B6" s="496" t="s">
        <v>225</v>
      </c>
      <c r="C6" s="496"/>
      <c r="D6" s="496"/>
      <c r="E6" s="24" t="s">
        <v>5</v>
      </c>
      <c r="F6" s="497" t="s">
        <v>226</v>
      </c>
      <c r="G6" s="497"/>
      <c r="H6" s="25" t="s">
        <v>6</v>
      </c>
      <c r="I6" s="498" t="s">
        <v>227</v>
      </c>
      <c r="J6" s="499"/>
    </row>
    <row r="7" spans="1:12" ht="21" customHeight="1">
      <c r="A7" s="23" t="s">
        <v>7</v>
      </c>
      <c r="B7" s="479" t="s">
        <v>228</v>
      </c>
      <c r="C7" s="479"/>
      <c r="D7" s="479"/>
      <c r="E7" s="24" t="s">
        <v>8</v>
      </c>
      <c r="F7" s="480" t="s">
        <v>229</v>
      </c>
      <c r="G7" s="480"/>
      <c r="H7" s="25" t="s">
        <v>9</v>
      </c>
      <c r="I7" s="589">
        <v>3103184935</v>
      </c>
      <c r="J7" s="590"/>
    </row>
    <row r="8" spans="1:12" ht="21" customHeight="1">
      <c r="A8" s="23" t="s">
        <v>10</v>
      </c>
      <c r="B8" s="483">
        <v>46108</v>
      </c>
      <c r="C8" s="483"/>
      <c r="D8" s="483"/>
      <c r="E8" s="24" t="s">
        <v>11</v>
      </c>
      <c r="F8" s="484" t="s">
        <v>230</v>
      </c>
      <c r="G8" s="480"/>
      <c r="H8" s="25" t="s">
        <v>12</v>
      </c>
      <c r="I8" s="589">
        <v>3103184935</v>
      </c>
      <c r="J8" s="590"/>
    </row>
    <row r="9" spans="1:12">
      <c r="A9" s="18"/>
      <c r="B9" s="19"/>
      <c r="C9" s="19"/>
      <c r="D9" s="19"/>
      <c r="E9" s="19"/>
      <c r="F9" s="19"/>
      <c r="G9" s="20"/>
      <c r="H9" s="21"/>
      <c r="I9" s="21"/>
      <c r="J9" s="22"/>
    </row>
    <row r="10" spans="1:12" ht="150" customHeight="1">
      <c r="A10" s="501" t="s">
        <v>171</v>
      </c>
      <c r="B10" s="502"/>
      <c r="C10" s="502"/>
      <c r="D10" s="502"/>
      <c r="E10" s="502"/>
      <c r="F10" s="502"/>
      <c r="G10" s="502"/>
      <c r="H10" s="502"/>
      <c r="I10" s="502"/>
      <c r="J10" s="503"/>
    </row>
    <row r="11" spans="1:12">
      <c r="A11" s="18"/>
      <c r="B11" s="19"/>
      <c r="C11" s="19"/>
      <c r="D11" s="19"/>
      <c r="E11" s="19"/>
      <c r="F11" s="19"/>
      <c r="G11" s="20"/>
      <c r="H11" s="21"/>
      <c r="I11" s="21"/>
      <c r="J11" s="22"/>
    </row>
    <row r="12" spans="1:12" ht="24.75" customHeight="1">
      <c r="A12" s="504" t="s">
        <v>13</v>
      </c>
      <c r="B12" s="505"/>
      <c r="C12" s="505"/>
      <c r="D12" s="506" t="s">
        <v>172</v>
      </c>
      <c r="E12" s="506"/>
      <c r="F12" s="506"/>
      <c r="G12" s="506"/>
      <c r="H12" s="26"/>
      <c r="I12" s="27"/>
      <c r="J12" s="22"/>
    </row>
    <row r="13" spans="1:12">
      <c r="A13" s="18"/>
      <c r="B13" s="19"/>
      <c r="C13" s="19"/>
      <c r="D13" s="19"/>
      <c r="E13" s="19"/>
      <c r="F13" s="19"/>
      <c r="G13" s="20"/>
      <c r="H13" s="21"/>
      <c r="I13" s="21"/>
      <c r="J13" s="22"/>
    </row>
    <row r="14" spans="1:12" ht="24">
      <c r="A14" s="28" t="s">
        <v>173</v>
      </c>
      <c r="B14" s="507" t="s">
        <v>15</v>
      </c>
      <c r="C14" s="507"/>
      <c r="D14" s="507"/>
      <c r="E14" s="507"/>
      <c r="F14" s="507"/>
      <c r="G14" s="29" t="s">
        <v>16</v>
      </c>
      <c r="H14" s="30" t="s">
        <v>174</v>
      </c>
      <c r="I14" s="31" t="s">
        <v>17</v>
      </c>
      <c r="J14" s="32" t="s">
        <v>18</v>
      </c>
    </row>
    <row r="15" spans="1:12" ht="28.2" customHeight="1">
      <c r="A15" s="33">
        <v>1</v>
      </c>
      <c r="B15" s="500" t="s">
        <v>175</v>
      </c>
      <c r="C15" s="500"/>
      <c r="D15" s="500"/>
      <c r="E15" s="500"/>
      <c r="F15" s="500"/>
      <c r="G15" s="34" t="s">
        <v>19</v>
      </c>
      <c r="H15" s="35">
        <v>22580</v>
      </c>
      <c r="I15" s="36">
        <f t="shared" ref="I15:I78" si="0">H15*0.19</f>
        <v>4290.2</v>
      </c>
      <c r="J15" s="37">
        <f t="shared" ref="J15:J78" si="1">I15+H15</f>
        <v>26870.2</v>
      </c>
    </row>
    <row r="16" spans="1:12" ht="14.4" customHeight="1">
      <c r="A16" s="33">
        <v>2</v>
      </c>
      <c r="B16" s="500" t="s">
        <v>20</v>
      </c>
      <c r="C16" s="500"/>
      <c r="D16" s="500"/>
      <c r="E16" s="500"/>
      <c r="F16" s="500"/>
      <c r="G16" s="34" t="s">
        <v>19</v>
      </c>
      <c r="H16" s="35">
        <v>2701</v>
      </c>
      <c r="I16" s="36">
        <f t="shared" si="0"/>
        <v>513.19000000000005</v>
      </c>
      <c r="J16" s="37">
        <f t="shared" si="1"/>
        <v>3214.19</v>
      </c>
    </row>
    <row r="17" spans="1:10" ht="14.4" customHeight="1">
      <c r="A17" s="33">
        <v>3</v>
      </c>
      <c r="B17" s="500" t="s">
        <v>21</v>
      </c>
      <c r="C17" s="500"/>
      <c r="D17" s="500"/>
      <c r="E17" s="500"/>
      <c r="F17" s="500"/>
      <c r="G17" s="34" t="s">
        <v>19</v>
      </c>
      <c r="H17" s="35">
        <v>2896</v>
      </c>
      <c r="I17" s="36">
        <f t="shared" si="0"/>
        <v>550.24</v>
      </c>
      <c r="J17" s="37">
        <f t="shared" si="1"/>
        <v>3446.24</v>
      </c>
    </row>
    <row r="18" spans="1:10" ht="14.4" customHeight="1">
      <c r="A18" s="33">
        <v>4</v>
      </c>
      <c r="B18" s="500" t="s">
        <v>22</v>
      </c>
      <c r="C18" s="500"/>
      <c r="D18" s="500"/>
      <c r="E18" s="500"/>
      <c r="F18" s="500"/>
      <c r="G18" s="34" t="s">
        <v>23</v>
      </c>
      <c r="H18" s="35">
        <v>2070</v>
      </c>
      <c r="I18" s="36">
        <f t="shared" si="0"/>
        <v>393.3</v>
      </c>
      <c r="J18" s="37">
        <f t="shared" si="1"/>
        <v>2463.3000000000002</v>
      </c>
    </row>
    <row r="19" spans="1:10" ht="22.2" customHeight="1">
      <c r="A19" s="33">
        <v>5</v>
      </c>
      <c r="B19" s="500" t="s">
        <v>176</v>
      </c>
      <c r="C19" s="500"/>
      <c r="D19" s="500"/>
      <c r="E19" s="500"/>
      <c r="F19" s="500"/>
      <c r="G19" s="34" t="s">
        <v>24</v>
      </c>
      <c r="H19" s="35">
        <v>1360</v>
      </c>
      <c r="I19" s="36">
        <f t="shared" si="0"/>
        <v>258.39999999999998</v>
      </c>
      <c r="J19" s="37">
        <f t="shared" si="1"/>
        <v>1618.4</v>
      </c>
    </row>
    <row r="20" spans="1:10" ht="14.4" customHeight="1">
      <c r="A20" s="33">
        <v>6</v>
      </c>
      <c r="B20" s="500" t="s">
        <v>25</v>
      </c>
      <c r="C20" s="500"/>
      <c r="D20" s="500"/>
      <c r="E20" s="500"/>
      <c r="F20" s="500"/>
      <c r="G20" s="34" t="s">
        <v>19</v>
      </c>
      <c r="H20" s="35">
        <v>582</v>
      </c>
      <c r="I20" s="36">
        <f t="shared" si="0"/>
        <v>110.58</v>
      </c>
      <c r="J20" s="37">
        <f t="shared" si="1"/>
        <v>692.58</v>
      </c>
    </row>
    <row r="21" spans="1:10" ht="14.4" customHeight="1">
      <c r="A21" s="33">
        <v>7</v>
      </c>
      <c r="B21" s="500" t="s">
        <v>26</v>
      </c>
      <c r="C21" s="500"/>
      <c r="D21" s="500"/>
      <c r="E21" s="500"/>
      <c r="F21" s="500"/>
      <c r="G21" s="34" t="s">
        <v>19</v>
      </c>
      <c r="H21" s="35">
        <v>5783</v>
      </c>
      <c r="I21" s="36">
        <f t="shared" si="0"/>
        <v>1098.77</v>
      </c>
      <c r="J21" s="37">
        <f t="shared" si="1"/>
        <v>6881.77</v>
      </c>
    </row>
    <row r="22" spans="1:10" ht="14.4" customHeight="1">
      <c r="A22" s="33">
        <v>8</v>
      </c>
      <c r="B22" s="500" t="s">
        <v>27</v>
      </c>
      <c r="C22" s="500"/>
      <c r="D22" s="500"/>
      <c r="E22" s="500"/>
      <c r="F22" s="500"/>
      <c r="G22" s="34" t="s">
        <v>19</v>
      </c>
      <c r="H22" s="35">
        <v>2667</v>
      </c>
      <c r="I22" s="36">
        <f t="shared" si="0"/>
        <v>506.73</v>
      </c>
      <c r="J22" s="37">
        <f t="shared" si="1"/>
        <v>3173.73</v>
      </c>
    </row>
    <row r="23" spans="1:10" ht="14.4" customHeight="1">
      <c r="A23" s="33">
        <v>9</v>
      </c>
      <c r="B23" s="500" t="s">
        <v>28</v>
      </c>
      <c r="C23" s="500"/>
      <c r="D23" s="500"/>
      <c r="E23" s="500"/>
      <c r="F23" s="500"/>
      <c r="G23" s="34" t="s">
        <v>19</v>
      </c>
      <c r="H23" s="35">
        <v>2139</v>
      </c>
      <c r="I23" s="36">
        <f t="shared" si="0"/>
        <v>406.41</v>
      </c>
      <c r="J23" s="37">
        <f t="shared" si="1"/>
        <v>2545.41</v>
      </c>
    </row>
    <row r="24" spans="1:10" ht="14.4" customHeight="1">
      <c r="A24" s="33">
        <v>10</v>
      </c>
      <c r="B24" s="500" t="s">
        <v>29</v>
      </c>
      <c r="C24" s="500"/>
      <c r="D24" s="500"/>
      <c r="E24" s="500"/>
      <c r="F24" s="500"/>
      <c r="G24" s="34" t="s">
        <v>19</v>
      </c>
      <c r="H24" s="35">
        <v>2996</v>
      </c>
      <c r="I24" s="36">
        <f t="shared" si="0"/>
        <v>569.24</v>
      </c>
      <c r="J24" s="37">
        <f t="shared" si="1"/>
        <v>3565.24</v>
      </c>
    </row>
    <row r="25" spans="1:10" ht="14.4" customHeight="1">
      <c r="A25" s="33">
        <v>11</v>
      </c>
      <c r="B25" s="500" t="s">
        <v>30</v>
      </c>
      <c r="C25" s="500"/>
      <c r="D25" s="500"/>
      <c r="E25" s="500"/>
      <c r="F25" s="500"/>
      <c r="G25" s="34" t="s">
        <v>31</v>
      </c>
      <c r="H25" s="35">
        <v>388</v>
      </c>
      <c r="I25" s="36">
        <f t="shared" si="0"/>
        <v>73.72</v>
      </c>
      <c r="J25" s="37">
        <f t="shared" si="1"/>
        <v>461.72</v>
      </c>
    </row>
    <row r="26" spans="1:10" ht="25.95" customHeight="1">
      <c r="A26" s="33">
        <v>12</v>
      </c>
      <c r="B26" s="500" t="s">
        <v>177</v>
      </c>
      <c r="C26" s="500"/>
      <c r="D26" s="500"/>
      <c r="E26" s="500"/>
      <c r="F26" s="500"/>
      <c r="G26" s="34" t="s">
        <v>19</v>
      </c>
      <c r="H26" s="35">
        <v>2370</v>
      </c>
      <c r="I26" s="36">
        <f t="shared" si="0"/>
        <v>450.3</v>
      </c>
      <c r="J26" s="37">
        <f t="shared" si="1"/>
        <v>2820.3</v>
      </c>
    </row>
    <row r="27" spans="1:10" ht="14.4" customHeight="1">
      <c r="A27" s="33">
        <v>13</v>
      </c>
      <c r="B27" s="500" t="s">
        <v>32</v>
      </c>
      <c r="C27" s="500"/>
      <c r="D27" s="500"/>
      <c r="E27" s="500"/>
      <c r="F27" s="500"/>
      <c r="G27" s="34" t="s">
        <v>33</v>
      </c>
      <c r="H27" s="35">
        <v>956</v>
      </c>
      <c r="I27" s="36">
        <f t="shared" si="0"/>
        <v>181.64000000000001</v>
      </c>
      <c r="J27" s="37">
        <f t="shared" si="1"/>
        <v>1137.6400000000001</v>
      </c>
    </row>
    <row r="28" spans="1:10" ht="14.4" customHeight="1">
      <c r="A28" s="33">
        <v>14</v>
      </c>
      <c r="B28" s="500" t="s">
        <v>34</v>
      </c>
      <c r="C28" s="500"/>
      <c r="D28" s="500"/>
      <c r="E28" s="500"/>
      <c r="F28" s="500"/>
      <c r="G28" s="34" t="s">
        <v>19</v>
      </c>
      <c r="H28" s="35">
        <v>47317</v>
      </c>
      <c r="I28" s="36">
        <f t="shared" si="0"/>
        <v>8990.23</v>
      </c>
      <c r="J28" s="37">
        <f t="shared" si="1"/>
        <v>56307.229999999996</v>
      </c>
    </row>
    <row r="29" spans="1:10" ht="14.4" customHeight="1">
      <c r="A29" s="33">
        <v>15</v>
      </c>
      <c r="B29" s="500" t="s">
        <v>178</v>
      </c>
      <c r="C29" s="500"/>
      <c r="D29" s="500"/>
      <c r="E29" s="500"/>
      <c r="F29" s="500"/>
      <c r="G29" s="34" t="s">
        <v>19</v>
      </c>
      <c r="H29" s="35">
        <v>47317</v>
      </c>
      <c r="I29" s="36">
        <f t="shared" si="0"/>
        <v>8990.23</v>
      </c>
      <c r="J29" s="37">
        <f t="shared" si="1"/>
        <v>56307.229999999996</v>
      </c>
    </row>
    <row r="30" spans="1:10" ht="22.95" customHeight="1">
      <c r="A30" s="33">
        <v>16</v>
      </c>
      <c r="B30" s="500" t="s">
        <v>179</v>
      </c>
      <c r="C30" s="500"/>
      <c r="D30" s="500"/>
      <c r="E30" s="500"/>
      <c r="F30" s="500"/>
      <c r="G30" s="34" t="s">
        <v>19</v>
      </c>
      <c r="H30" s="35">
        <v>9053</v>
      </c>
      <c r="I30" s="36">
        <f t="shared" si="0"/>
        <v>1720.07</v>
      </c>
      <c r="J30" s="37">
        <f t="shared" si="1"/>
        <v>10773.07</v>
      </c>
    </row>
    <row r="31" spans="1:10" ht="23.4" customHeight="1">
      <c r="A31" s="33">
        <v>17</v>
      </c>
      <c r="B31" s="500" t="s">
        <v>180</v>
      </c>
      <c r="C31" s="500"/>
      <c r="D31" s="500"/>
      <c r="E31" s="500"/>
      <c r="F31" s="500"/>
      <c r="G31" s="34" t="s">
        <v>19</v>
      </c>
      <c r="H31" s="35">
        <v>8684</v>
      </c>
      <c r="I31" s="36">
        <f t="shared" si="0"/>
        <v>1649.96</v>
      </c>
      <c r="J31" s="37">
        <f t="shared" si="1"/>
        <v>10333.959999999999</v>
      </c>
    </row>
    <row r="32" spans="1:10" ht="21.75" customHeight="1">
      <c r="A32" s="33">
        <v>18</v>
      </c>
      <c r="B32" s="500" t="s">
        <v>181</v>
      </c>
      <c r="C32" s="500"/>
      <c r="D32" s="500"/>
      <c r="E32" s="500"/>
      <c r="F32" s="500"/>
      <c r="G32" s="34" t="s">
        <v>19</v>
      </c>
      <c r="H32" s="35">
        <v>13138</v>
      </c>
      <c r="I32" s="36">
        <f t="shared" si="0"/>
        <v>2496.2200000000003</v>
      </c>
      <c r="J32" s="37">
        <f t="shared" si="1"/>
        <v>15634.220000000001</v>
      </c>
    </row>
    <row r="33" spans="1:12" ht="21" customHeight="1">
      <c r="A33" s="33">
        <v>19</v>
      </c>
      <c r="B33" s="500" t="s">
        <v>182</v>
      </c>
      <c r="C33" s="500"/>
      <c r="D33" s="500"/>
      <c r="E33" s="500"/>
      <c r="F33" s="500"/>
      <c r="G33" s="34" t="s">
        <v>19</v>
      </c>
      <c r="H33" s="35">
        <v>18885</v>
      </c>
      <c r="I33" s="36">
        <f t="shared" si="0"/>
        <v>3588.15</v>
      </c>
      <c r="J33" s="37">
        <f t="shared" si="1"/>
        <v>22473.15</v>
      </c>
    </row>
    <row r="34" spans="1:12" ht="14.4" customHeight="1">
      <c r="A34" s="33">
        <v>20</v>
      </c>
      <c r="B34" s="500" t="s">
        <v>36</v>
      </c>
      <c r="C34" s="500"/>
      <c r="D34" s="500"/>
      <c r="E34" s="500"/>
      <c r="F34" s="500"/>
      <c r="G34" s="34" t="s">
        <v>19</v>
      </c>
      <c r="H34" s="208"/>
      <c r="I34" s="209">
        <f t="shared" si="0"/>
        <v>0</v>
      </c>
      <c r="J34" s="210">
        <f t="shared" si="1"/>
        <v>0</v>
      </c>
      <c r="L34" s="300"/>
    </row>
    <row r="35" spans="1:12" ht="14.4" customHeight="1">
      <c r="A35" s="33">
        <v>21</v>
      </c>
      <c r="B35" s="500" t="s">
        <v>231</v>
      </c>
      <c r="C35" s="500"/>
      <c r="D35" s="500"/>
      <c r="E35" s="500"/>
      <c r="F35" s="500"/>
      <c r="G35" s="34" t="s">
        <v>232</v>
      </c>
      <c r="H35" s="35">
        <v>19877</v>
      </c>
      <c r="I35" s="36">
        <f t="shared" si="0"/>
        <v>3776.63</v>
      </c>
      <c r="J35" s="37">
        <f t="shared" si="1"/>
        <v>23653.63</v>
      </c>
    </row>
    <row r="36" spans="1:12" ht="14.4" customHeight="1">
      <c r="A36" s="33">
        <v>22</v>
      </c>
      <c r="B36" s="500" t="s">
        <v>38</v>
      </c>
      <c r="C36" s="500"/>
      <c r="D36" s="500"/>
      <c r="E36" s="500"/>
      <c r="F36" s="500"/>
      <c r="G36" s="34" t="s">
        <v>39</v>
      </c>
      <c r="H36" s="35">
        <v>14792</v>
      </c>
      <c r="I36" s="36">
        <f t="shared" si="0"/>
        <v>2810.48</v>
      </c>
      <c r="J36" s="37">
        <f t="shared" si="1"/>
        <v>17602.48</v>
      </c>
    </row>
    <row r="37" spans="1:12" ht="14.4" customHeight="1">
      <c r="A37" s="33">
        <v>23</v>
      </c>
      <c r="B37" s="500" t="s">
        <v>40</v>
      </c>
      <c r="C37" s="500"/>
      <c r="D37" s="500"/>
      <c r="E37" s="500"/>
      <c r="F37" s="500"/>
      <c r="G37" s="34" t="s">
        <v>39</v>
      </c>
      <c r="H37" s="35">
        <v>20664</v>
      </c>
      <c r="I37" s="36">
        <f t="shared" si="0"/>
        <v>3926.16</v>
      </c>
      <c r="J37" s="37">
        <f t="shared" si="1"/>
        <v>24590.16</v>
      </c>
    </row>
    <row r="38" spans="1:12" ht="14.4" customHeight="1">
      <c r="A38" s="33">
        <v>24</v>
      </c>
      <c r="B38" s="500" t="s">
        <v>41</v>
      </c>
      <c r="C38" s="500"/>
      <c r="D38" s="500"/>
      <c r="E38" s="500"/>
      <c r="F38" s="500"/>
      <c r="G38" s="34" t="s">
        <v>19</v>
      </c>
      <c r="H38" s="35">
        <v>136850</v>
      </c>
      <c r="I38" s="36">
        <f t="shared" si="0"/>
        <v>26001.5</v>
      </c>
      <c r="J38" s="37">
        <f t="shared" si="1"/>
        <v>162851.5</v>
      </c>
    </row>
    <row r="39" spans="1:12" ht="14.4" customHeight="1">
      <c r="A39" s="33">
        <v>25</v>
      </c>
      <c r="B39" s="500" t="s">
        <v>42</v>
      </c>
      <c r="C39" s="500"/>
      <c r="D39" s="500"/>
      <c r="E39" s="500"/>
      <c r="F39" s="500"/>
      <c r="G39" s="34" t="s">
        <v>43</v>
      </c>
      <c r="H39" s="35">
        <v>112240</v>
      </c>
      <c r="I39" s="36">
        <f t="shared" si="0"/>
        <v>21325.599999999999</v>
      </c>
      <c r="J39" s="37">
        <f t="shared" si="1"/>
        <v>133565.6</v>
      </c>
    </row>
    <row r="40" spans="1:12" ht="14.4" customHeight="1">
      <c r="A40" s="33">
        <v>26</v>
      </c>
      <c r="B40" s="500" t="s">
        <v>44</v>
      </c>
      <c r="C40" s="500"/>
      <c r="D40" s="500"/>
      <c r="E40" s="500"/>
      <c r="F40" s="500"/>
      <c r="G40" s="34" t="s">
        <v>45</v>
      </c>
      <c r="H40" s="35">
        <v>24156</v>
      </c>
      <c r="I40" s="36">
        <f t="shared" si="0"/>
        <v>4589.6400000000003</v>
      </c>
      <c r="J40" s="37">
        <f t="shared" si="1"/>
        <v>28745.64</v>
      </c>
    </row>
    <row r="41" spans="1:12" ht="28.2" customHeight="1">
      <c r="A41" s="33">
        <v>27</v>
      </c>
      <c r="B41" s="500" t="s">
        <v>183</v>
      </c>
      <c r="C41" s="500"/>
      <c r="D41" s="500"/>
      <c r="E41" s="500"/>
      <c r="F41" s="500"/>
      <c r="G41" s="34" t="s">
        <v>19</v>
      </c>
      <c r="H41" s="35">
        <v>3694</v>
      </c>
      <c r="I41" s="36">
        <f t="shared" si="0"/>
        <v>701.86</v>
      </c>
      <c r="J41" s="37">
        <f t="shared" si="1"/>
        <v>4395.8599999999997</v>
      </c>
    </row>
    <row r="42" spans="1:12" ht="14.4" customHeight="1">
      <c r="A42" s="33">
        <v>28</v>
      </c>
      <c r="B42" s="500" t="s">
        <v>46</v>
      </c>
      <c r="C42" s="500"/>
      <c r="D42" s="500"/>
      <c r="E42" s="500"/>
      <c r="F42" s="500"/>
      <c r="G42" s="34" t="s">
        <v>19</v>
      </c>
      <c r="H42" s="35">
        <v>6297</v>
      </c>
      <c r="I42" s="36">
        <f t="shared" si="0"/>
        <v>1196.43</v>
      </c>
      <c r="J42" s="37">
        <f t="shared" si="1"/>
        <v>7493.43</v>
      </c>
    </row>
    <row r="43" spans="1:12" ht="14.4" customHeight="1">
      <c r="A43" s="33">
        <v>29</v>
      </c>
      <c r="B43" s="500" t="s">
        <v>233</v>
      </c>
      <c r="C43" s="500"/>
      <c r="D43" s="500"/>
      <c r="E43" s="500"/>
      <c r="F43" s="500"/>
      <c r="G43" s="34" t="s">
        <v>48</v>
      </c>
      <c r="H43" s="35">
        <v>2174</v>
      </c>
      <c r="I43" s="36">
        <f t="shared" si="0"/>
        <v>413.06</v>
      </c>
      <c r="J43" s="37">
        <f t="shared" si="1"/>
        <v>2587.06</v>
      </c>
    </row>
    <row r="44" spans="1:12" ht="14.4" customHeight="1">
      <c r="A44" s="33">
        <v>30</v>
      </c>
      <c r="B44" s="500" t="s">
        <v>49</v>
      </c>
      <c r="C44" s="500"/>
      <c r="D44" s="500"/>
      <c r="E44" s="500"/>
      <c r="F44" s="500"/>
      <c r="G44" s="34" t="s">
        <v>48</v>
      </c>
      <c r="H44" s="35">
        <v>3416</v>
      </c>
      <c r="I44" s="36">
        <f t="shared" si="0"/>
        <v>649.04</v>
      </c>
      <c r="J44" s="37">
        <f t="shared" si="1"/>
        <v>4065.04</v>
      </c>
    </row>
    <row r="45" spans="1:12" ht="14.4" customHeight="1">
      <c r="A45" s="33">
        <v>31</v>
      </c>
      <c r="B45" s="500" t="s">
        <v>50</v>
      </c>
      <c r="C45" s="500"/>
      <c r="D45" s="500"/>
      <c r="E45" s="500"/>
      <c r="F45" s="500"/>
      <c r="G45" s="34" t="s">
        <v>48</v>
      </c>
      <c r="H45" s="35">
        <v>12959</v>
      </c>
      <c r="I45" s="36">
        <f t="shared" si="0"/>
        <v>2462.21</v>
      </c>
      <c r="J45" s="37">
        <f t="shared" si="1"/>
        <v>15421.21</v>
      </c>
    </row>
    <row r="46" spans="1:12" ht="14.4" customHeight="1">
      <c r="A46" s="33">
        <v>32</v>
      </c>
      <c r="B46" s="500" t="s">
        <v>51</v>
      </c>
      <c r="C46" s="500"/>
      <c r="D46" s="500"/>
      <c r="E46" s="500"/>
      <c r="F46" s="500"/>
      <c r="G46" s="34" t="s">
        <v>48</v>
      </c>
      <c r="H46" s="35">
        <v>1498</v>
      </c>
      <c r="I46" s="36">
        <f t="shared" si="0"/>
        <v>284.62</v>
      </c>
      <c r="J46" s="37">
        <f t="shared" si="1"/>
        <v>1782.62</v>
      </c>
    </row>
    <row r="47" spans="1:12" ht="14.4" customHeight="1">
      <c r="A47" s="33">
        <v>33</v>
      </c>
      <c r="B47" s="500" t="s">
        <v>52</v>
      </c>
      <c r="C47" s="500"/>
      <c r="D47" s="500"/>
      <c r="E47" s="500"/>
      <c r="F47" s="500"/>
      <c r="G47" s="34" t="s">
        <v>48</v>
      </c>
      <c r="H47" s="35">
        <v>37577</v>
      </c>
      <c r="I47" s="36">
        <f t="shared" si="0"/>
        <v>7139.63</v>
      </c>
      <c r="J47" s="37">
        <f t="shared" si="1"/>
        <v>44716.63</v>
      </c>
    </row>
    <row r="48" spans="1:12" ht="30" customHeight="1">
      <c r="A48" s="33">
        <v>34</v>
      </c>
      <c r="B48" s="500" t="s">
        <v>184</v>
      </c>
      <c r="C48" s="500"/>
      <c r="D48" s="500"/>
      <c r="E48" s="500"/>
      <c r="F48" s="500"/>
      <c r="G48" s="34" t="s">
        <v>19</v>
      </c>
      <c r="H48" s="35">
        <v>814258</v>
      </c>
      <c r="I48" s="36">
        <f t="shared" si="0"/>
        <v>154709.01999999999</v>
      </c>
      <c r="J48" s="37">
        <f t="shared" si="1"/>
        <v>968967.02</v>
      </c>
    </row>
    <row r="49" spans="1:10" ht="14.4" customHeight="1">
      <c r="A49" s="33">
        <v>35</v>
      </c>
      <c r="B49" s="500" t="s">
        <v>53</v>
      </c>
      <c r="C49" s="500"/>
      <c r="D49" s="500"/>
      <c r="E49" s="500"/>
      <c r="F49" s="500"/>
      <c r="G49" s="34" t="s">
        <v>54</v>
      </c>
      <c r="H49" s="35">
        <v>973</v>
      </c>
      <c r="I49" s="36">
        <f t="shared" si="0"/>
        <v>184.87</v>
      </c>
      <c r="J49" s="37">
        <f t="shared" si="1"/>
        <v>1157.8699999999999</v>
      </c>
    </row>
    <row r="50" spans="1:10" ht="14.4" customHeight="1">
      <c r="A50" s="33">
        <v>36</v>
      </c>
      <c r="B50" s="500" t="s">
        <v>55</v>
      </c>
      <c r="C50" s="500"/>
      <c r="D50" s="500"/>
      <c r="E50" s="500"/>
      <c r="F50" s="500"/>
      <c r="G50" s="34" t="s">
        <v>56</v>
      </c>
      <c r="H50" s="35">
        <v>2547</v>
      </c>
      <c r="I50" s="36">
        <f t="shared" si="0"/>
        <v>483.93</v>
      </c>
      <c r="J50" s="37">
        <f t="shared" si="1"/>
        <v>3030.93</v>
      </c>
    </row>
    <row r="51" spans="1:10" ht="14.4" customHeight="1">
      <c r="A51" s="33">
        <v>37</v>
      </c>
      <c r="B51" s="500" t="s">
        <v>57</v>
      </c>
      <c r="C51" s="500"/>
      <c r="D51" s="500"/>
      <c r="E51" s="500"/>
      <c r="F51" s="500"/>
      <c r="G51" s="34" t="s">
        <v>33</v>
      </c>
      <c r="H51" s="35">
        <v>2846</v>
      </c>
      <c r="I51" s="36">
        <f t="shared" si="0"/>
        <v>540.74</v>
      </c>
      <c r="J51" s="37">
        <f t="shared" si="1"/>
        <v>3386.74</v>
      </c>
    </row>
    <row r="52" spans="1:10" ht="14.4" customHeight="1">
      <c r="A52" s="33">
        <v>38</v>
      </c>
      <c r="B52" s="500" t="s">
        <v>234</v>
      </c>
      <c r="C52" s="500"/>
      <c r="D52" s="500"/>
      <c r="E52" s="500"/>
      <c r="F52" s="500"/>
      <c r="G52" s="34" t="s">
        <v>19</v>
      </c>
      <c r="H52" s="35">
        <v>6017</v>
      </c>
      <c r="I52" s="36">
        <f t="shared" si="0"/>
        <v>1143.23</v>
      </c>
      <c r="J52" s="37">
        <f t="shared" si="1"/>
        <v>7160.23</v>
      </c>
    </row>
    <row r="53" spans="1:10" ht="14.4" customHeight="1">
      <c r="A53" s="33">
        <v>39</v>
      </c>
      <c r="B53" s="500" t="s">
        <v>59</v>
      </c>
      <c r="C53" s="500"/>
      <c r="D53" s="500"/>
      <c r="E53" s="500"/>
      <c r="F53" s="500"/>
      <c r="G53" s="34" t="s">
        <v>56</v>
      </c>
      <c r="H53" s="35">
        <v>797</v>
      </c>
      <c r="I53" s="36">
        <f t="shared" si="0"/>
        <v>151.43</v>
      </c>
      <c r="J53" s="37">
        <f t="shared" si="1"/>
        <v>948.43000000000006</v>
      </c>
    </row>
    <row r="54" spans="1:10" ht="24" customHeight="1">
      <c r="A54" s="33">
        <v>40</v>
      </c>
      <c r="B54" s="500" t="s">
        <v>185</v>
      </c>
      <c r="C54" s="500"/>
      <c r="D54" s="500"/>
      <c r="E54" s="500"/>
      <c r="F54" s="500"/>
      <c r="G54" s="34" t="s">
        <v>19</v>
      </c>
      <c r="H54" s="35">
        <v>31987</v>
      </c>
      <c r="I54" s="36">
        <f t="shared" si="0"/>
        <v>6077.53</v>
      </c>
      <c r="J54" s="37">
        <f t="shared" si="1"/>
        <v>38064.53</v>
      </c>
    </row>
    <row r="55" spans="1:10" ht="23.4" customHeight="1">
      <c r="A55" s="33">
        <v>41</v>
      </c>
      <c r="B55" s="500" t="s">
        <v>186</v>
      </c>
      <c r="C55" s="500"/>
      <c r="D55" s="500"/>
      <c r="E55" s="500"/>
      <c r="F55" s="500"/>
      <c r="G55" s="34" t="s">
        <v>19</v>
      </c>
      <c r="H55" s="35">
        <v>372591</v>
      </c>
      <c r="I55" s="36">
        <f t="shared" si="0"/>
        <v>70792.289999999994</v>
      </c>
      <c r="J55" s="37">
        <f t="shared" si="1"/>
        <v>443383.29</v>
      </c>
    </row>
    <row r="56" spans="1:10" ht="14.4" customHeight="1">
      <c r="A56" s="33">
        <v>42</v>
      </c>
      <c r="B56" s="500" t="s">
        <v>60</v>
      </c>
      <c r="C56" s="500"/>
      <c r="D56" s="500"/>
      <c r="E56" s="500"/>
      <c r="F56" s="500"/>
      <c r="G56" s="34" t="s">
        <v>19</v>
      </c>
      <c r="H56" s="35">
        <v>31221</v>
      </c>
      <c r="I56" s="36">
        <f t="shared" si="0"/>
        <v>5931.99</v>
      </c>
      <c r="J56" s="37">
        <f t="shared" si="1"/>
        <v>37152.99</v>
      </c>
    </row>
    <row r="57" spans="1:10" ht="14.4" customHeight="1">
      <c r="A57" s="33">
        <v>43</v>
      </c>
      <c r="B57" s="500" t="s">
        <v>61</v>
      </c>
      <c r="C57" s="500"/>
      <c r="D57" s="500"/>
      <c r="E57" s="500"/>
      <c r="F57" s="500"/>
      <c r="G57" s="34" t="s">
        <v>19</v>
      </c>
      <c r="H57" s="35">
        <v>848470</v>
      </c>
      <c r="I57" s="36">
        <f t="shared" si="0"/>
        <v>161209.29999999999</v>
      </c>
      <c r="J57" s="37">
        <f t="shared" si="1"/>
        <v>1009679.3</v>
      </c>
    </row>
    <row r="58" spans="1:10" ht="24.6" customHeight="1">
      <c r="A58" s="33">
        <v>44</v>
      </c>
      <c r="B58" s="500" t="s">
        <v>62</v>
      </c>
      <c r="C58" s="500"/>
      <c r="D58" s="500"/>
      <c r="E58" s="500"/>
      <c r="F58" s="500"/>
      <c r="G58" s="34" t="s">
        <v>63</v>
      </c>
      <c r="H58" s="35">
        <v>157476</v>
      </c>
      <c r="I58" s="36">
        <f t="shared" si="0"/>
        <v>29920.44</v>
      </c>
      <c r="J58" s="37">
        <f t="shared" si="1"/>
        <v>187396.44</v>
      </c>
    </row>
    <row r="59" spans="1:10" ht="14.4" customHeight="1">
      <c r="A59" s="33">
        <v>45</v>
      </c>
      <c r="B59" s="500" t="s">
        <v>64</v>
      </c>
      <c r="C59" s="500"/>
      <c r="D59" s="500"/>
      <c r="E59" s="500"/>
      <c r="F59" s="500"/>
      <c r="G59" s="34" t="s">
        <v>39</v>
      </c>
      <c r="H59" s="35">
        <v>4370</v>
      </c>
      <c r="I59" s="36">
        <f t="shared" si="0"/>
        <v>830.3</v>
      </c>
      <c r="J59" s="37">
        <f t="shared" si="1"/>
        <v>5200.3</v>
      </c>
    </row>
    <row r="60" spans="1:10" ht="14.4" customHeight="1">
      <c r="A60" s="33">
        <v>46</v>
      </c>
      <c r="B60" s="500" t="s">
        <v>65</v>
      </c>
      <c r="C60" s="500"/>
      <c r="D60" s="500"/>
      <c r="E60" s="500"/>
      <c r="F60" s="500"/>
      <c r="G60" s="34" t="s">
        <v>43</v>
      </c>
      <c r="H60" s="35">
        <v>6432</v>
      </c>
      <c r="I60" s="36">
        <f t="shared" si="0"/>
        <v>1222.08</v>
      </c>
      <c r="J60" s="37">
        <f t="shared" si="1"/>
        <v>7654.08</v>
      </c>
    </row>
    <row r="61" spans="1:10" ht="14.4" customHeight="1">
      <c r="A61" s="33">
        <v>47</v>
      </c>
      <c r="B61" s="500" t="s">
        <v>66</v>
      </c>
      <c r="C61" s="500"/>
      <c r="D61" s="500"/>
      <c r="E61" s="500"/>
      <c r="F61" s="500"/>
      <c r="G61" s="34" t="s">
        <v>39</v>
      </c>
      <c r="H61" s="35">
        <v>15601</v>
      </c>
      <c r="I61" s="36">
        <f t="shared" si="0"/>
        <v>2964.19</v>
      </c>
      <c r="J61" s="37">
        <f t="shared" si="1"/>
        <v>18565.189999999999</v>
      </c>
    </row>
    <row r="62" spans="1:10" ht="14.4" customHeight="1">
      <c r="A62" s="33">
        <v>48</v>
      </c>
      <c r="B62" s="500" t="s">
        <v>67</v>
      </c>
      <c r="C62" s="500"/>
      <c r="D62" s="500"/>
      <c r="E62" s="500"/>
      <c r="F62" s="500"/>
      <c r="G62" s="34" t="s">
        <v>39</v>
      </c>
      <c r="H62" s="35">
        <v>22991</v>
      </c>
      <c r="I62" s="36">
        <f t="shared" si="0"/>
        <v>4368.29</v>
      </c>
      <c r="J62" s="37">
        <f t="shared" si="1"/>
        <v>27359.29</v>
      </c>
    </row>
    <row r="63" spans="1:10" ht="26.4" customHeight="1">
      <c r="A63" s="33">
        <v>49</v>
      </c>
      <c r="B63" s="500" t="s">
        <v>187</v>
      </c>
      <c r="C63" s="500"/>
      <c r="D63" s="500"/>
      <c r="E63" s="500"/>
      <c r="F63" s="500"/>
      <c r="G63" s="34" t="s">
        <v>68</v>
      </c>
      <c r="H63" s="35">
        <v>2322</v>
      </c>
      <c r="I63" s="36">
        <f t="shared" si="0"/>
        <v>441.18</v>
      </c>
      <c r="J63" s="37">
        <f t="shared" si="1"/>
        <v>2763.18</v>
      </c>
    </row>
    <row r="64" spans="1:10" ht="14.4" customHeight="1">
      <c r="A64" s="33">
        <v>50</v>
      </c>
      <c r="B64" s="500" t="s">
        <v>69</v>
      </c>
      <c r="C64" s="500"/>
      <c r="D64" s="500"/>
      <c r="E64" s="500"/>
      <c r="F64" s="500"/>
      <c r="G64" s="34" t="s">
        <v>70</v>
      </c>
      <c r="H64" s="35">
        <v>2547</v>
      </c>
      <c r="I64" s="36">
        <f t="shared" si="0"/>
        <v>483.93</v>
      </c>
      <c r="J64" s="37">
        <f t="shared" si="1"/>
        <v>3030.93</v>
      </c>
    </row>
    <row r="65" spans="1:10" ht="14.4" customHeight="1">
      <c r="A65" s="33">
        <v>51</v>
      </c>
      <c r="B65" s="500" t="s">
        <v>71</v>
      </c>
      <c r="C65" s="500"/>
      <c r="D65" s="500"/>
      <c r="E65" s="500"/>
      <c r="F65" s="500"/>
      <c r="G65" s="34" t="s">
        <v>54</v>
      </c>
      <c r="H65" s="35">
        <v>18311</v>
      </c>
      <c r="I65" s="36">
        <f t="shared" si="0"/>
        <v>3479.09</v>
      </c>
      <c r="J65" s="37">
        <f t="shared" si="1"/>
        <v>21790.09</v>
      </c>
    </row>
    <row r="66" spans="1:10" ht="24" customHeight="1">
      <c r="A66" s="33">
        <v>52</v>
      </c>
      <c r="B66" s="500" t="s">
        <v>188</v>
      </c>
      <c r="C66" s="500"/>
      <c r="D66" s="500"/>
      <c r="E66" s="500"/>
      <c r="F66" s="500"/>
      <c r="G66" s="34" t="s">
        <v>72</v>
      </c>
      <c r="H66" s="35">
        <v>1150</v>
      </c>
      <c r="I66" s="36">
        <f t="shared" si="0"/>
        <v>218.5</v>
      </c>
      <c r="J66" s="37">
        <f t="shared" si="1"/>
        <v>1368.5</v>
      </c>
    </row>
    <row r="67" spans="1:10" ht="19.95" customHeight="1">
      <c r="A67" s="33">
        <v>53</v>
      </c>
      <c r="B67" s="500" t="s">
        <v>235</v>
      </c>
      <c r="C67" s="500"/>
      <c r="D67" s="500"/>
      <c r="E67" s="500"/>
      <c r="F67" s="500"/>
      <c r="G67" s="34" t="s">
        <v>19</v>
      </c>
      <c r="H67" s="35">
        <v>46251</v>
      </c>
      <c r="I67" s="36">
        <f t="shared" si="0"/>
        <v>8787.69</v>
      </c>
      <c r="J67" s="37">
        <f t="shared" si="1"/>
        <v>55038.69</v>
      </c>
    </row>
    <row r="68" spans="1:10" ht="48.75" customHeight="1">
      <c r="A68" s="33">
        <v>54</v>
      </c>
      <c r="B68" s="500" t="s">
        <v>74</v>
      </c>
      <c r="C68" s="500"/>
      <c r="D68" s="500"/>
      <c r="E68" s="500"/>
      <c r="F68" s="500"/>
      <c r="G68" s="34" t="s">
        <v>56</v>
      </c>
      <c r="H68" s="35">
        <v>7981</v>
      </c>
      <c r="I68" s="36">
        <f t="shared" si="0"/>
        <v>1516.39</v>
      </c>
      <c r="J68" s="37">
        <f t="shared" si="1"/>
        <v>9497.39</v>
      </c>
    </row>
    <row r="69" spans="1:10" ht="51" customHeight="1">
      <c r="A69" s="33">
        <v>55</v>
      </c>
      <c r="B69" s="500" t="s">
        <v>75</v>
      </c>
      <c r="C69" s="500"/>
      <c r="D69" s="500"/>
      <c r="E69" s="500"/>
      <c r="F69" s="500"/>
      <c r="G69" s="34" t="s">
        <v>56</v>
      </c>
      <c r="H69" s="35">
        <v>14353</v>
      </c>
      <c r="I69" s="36">
        <f t="shared" si="0"/>
        <v>2727.07</v>
      </c>
      <c r="J69" s="37">
        <f t="shared" si="1"/>
        <v>17080.07</v>
      </c>
    </row>
    <row r="70" spans="1:10" ht="14.4" customHeight="1">
      <c r="A70" s="33">
        <v>56</v>
      </c>
      <c r="B70" s="500" t="s">
        <v>76</v>
      </c>
      <c r="C70" s="500"/>
      <c r="D70" s="500"/>
      <c r="E70" s="500"/>
      <c r="F70" s="500"/>
      <c r="G70" s="34" t="s">
        <v>77</v>
      </c>
      <c r="H70" s="35">
        <v>11975</v>
      </c>
      <c r="I70" s="36">
        <f t="shared" si="0"/>
        <v>2275.25</v>
      </c>
      <c r="J70" s="37">
        <f t="shared" si="1"/>
        <v>14250.25</v>
      </c>
    </row>
    <row r="71" spans="1:10" ht="14.4" customHeight="1">
      <c r="A71" s="33">
        <v>57</v>
      </c>
      <c r="B71" s="500" t="s">
        <v>78</v>
      </c>
      <c r="C71" s="500"/>
      <c r="D71" s="500"/>
      <c r="E71" s="500"/>
      <c r="F71" s="500"/>
      <c r="G71" s="34" t="s">
        <v>236</v>
      </c>
      <c r="H71" s="35">
        <v>19072</v>
      </c>
      <c r="I71" s="36">
        <f t="shared" si="0"/>
        <v>3623.68</v>
      </c>
      <c r="J71" s="37">
        <f t="shared" si="1"/>
        <v>22695.68</v>
      </c>
    </row>
    <row r="72" spans="1:10" ht="14.4" customHeight="1">
      <c r="A72" s="33">
        <v>58</v>
      </c>
      <c r="B72" s="500" t="s">
        <v>79</v>
      </c>
      <c r="C72" s="500"/>
      <c r="D72" s="500"/>
      <c r="E72" s="500"/>
      <c r="F72" s="500"/>
      <c r="G72" s="34" t="s">
        <v>77</v>
      </c>
      <c r="H72" s="35">
        <v>31380</v>
      </c>
      <c r="I72" s="36">
        <f t="shared" si="0"/>
        <v>5962.2</v>
      </c>
      <c r="J72" s="37">
        <f t="shared" si="1"/>
        <v>37342.199999999997</v>
      </c>
    </row>
    <row r="73" spans="1:10" ht="14.4" customHeight="1">
      <c r="A73" s="33">
        <v>59</v>
      </c>
      <c r="B73" s="500" t="s">
        <v>80</v>
      </c>
      <c r="C73" s="500"/>
      <c r="D73" s="500"/>
      <c r="E73" s="500"/>
      <c r="F73" s="500"/>
      <c r="G73" s="34" t="s">
        <v>77</v>
      </c>
      <c r="H73" s="35">
        <v>36900</v>
      </c>
      <c r="I73" s="36">
        <f t="shared" si="0"/>
        <v>7011</v>
      </c>
      <c r="J73" s="37">
        <f t="shared" si="1"/>
        <v>43911</v>
      </c>
    </row>
    <row r="74" spans="1:10" ht="60.75" customHeight="1">
      <c r="A74" s="33">
        <v>60</v>
      </c>
      <c r="B74" s="500" t="s">
        <v>189</v>
      </c>
      <c r="C74" s="500"/>
      <c r="D74" s="500"/>
      <c r="E74" s="500"/>
      <c r="F74" s="500"/>
      <c r="G74" s="34" t="s">
        <v>77</v>
      </c>
      <c r="H74" s="35">
        <v>14520</v>
      </c>
      <c r="I74" s="36">
        <f t="shared" si="0"/>
        <v>2758.8</v>
      </c>
      <c r="J74" s="37">
        <f t="shared" si="1"/>
        <v>17278.8</v>
      </c>
    </row>
    <row r="75" spans="1:10" ht="14.4" customHeight="1">
      <c r="A75" s="33">
        <v>61</v>
      </c>
      <c r="B75" s="500" t="s">
        <v>82</v>
      </c>
      <c r="C75" s="500"/>
      <c r="D75" s="500"/>
      <c r="E75" s="500"/>
      <c r="F75" s="500"/>
      <c r="G75" s="34" t="s">
        <v>19</v>
      </c>
      <c r="H75" s="35">
        <v>25405</v>
      </c>
      <c r="I75" s="36">
        <f t="shared" si="0"/>
        <v>4826.95</v>
      </c>
      <c r="J75" s="37">
        <f t="shared" si="1"/>
        <v>30231.95</v>
      </c>
    </row>
    <row r="76" spans="1:10" ht="14.4" customHeight="1">
      <c r="A76" s="33">
        <v>62</v>
      </c>
      <c r="B76" s="500" t="s">
        <v>83</v>
      </c>
      <c r="C76" s="500"/>
      <c r="D76" s="500"/>
      <c r="E76" s="500"/>
      <c r="F76" s="500"/>
      <c r="G76" s="34" t="s">
        <v>19</v>
      </c>
      <c r="H76" s="35">
        <v>25805</v>
      </c>
      <c r="I76" s="36">
        <f t="shared" si="0"/>
        <v>4902.95</v>
      </c>
      <c r="J76" s="37">
        <f t="shared" si="1"/>
        <v>30707.95</v>
      </c>
    </row>
    <row r="77" spans="1:10" ht="14.4" customHeight="1">
      <c r="A77" s="33">
        <v>63</v>
      </c>
      <c r="B77" s="500" t="s">
        <v>84</v>
      </c>
      <c r="C77" s="500"/>
      <c r="D77" s="500"/>
      <c r="E77" s="500"/>
      <c r="F77" s="500"/>
      <c r="G77" s="34" t="s">
        <v>19</v>
      </c>
      <c r="H77" s="35">
        <v>43017</v>
      </c>
      <c r="I77" s="36">
        <f t="shared" si="0"/>
        <v>8173.2300000000005</v>
      </c>
      <c r="J77" s="37">
        <f t="shared" si="1"/>
        <v>51190.23</v>
      </c>
    </row>
    <row r="78" spans="1:10" ht="22.5" customHeight="1">
      <c r="A78" s="33">
        <v>64</v>
      </c>
      <c r="B78" s="500" t="s">
        <v>190</v>
      </c>
      <c r="C78" s="500"/>
      <c r="D78" s="500"/>
      <c r="E78" s="500"/>
      <c r="F78" s="500"/>
      <c r="G78" s="34" t="s">
        <v>77</v>
      </c>
      <c r="H78" s="35">
        <v>25317</v>
      </c>
      <c r="I78" s="36">
        <f t="shared" si="0"/>
        <v>4810.2300000000005</v>
      </c>
      <c r="J78" s="37">
        <f t="shared" si="1"/>
        <v>30127.23</v>
      </c>
    </row>
    <row r="79" spans="1:10" ht="14.4" customHeight="1">
      <c r="A79" s="33">
        <v>65</v>
      </c>
      <c r="B79" s="500" t="s">
        <v>85</v>
      </c>
      <c r="C79" s="500"/>
      <c r="D79" s="500"/>
      <c r="E79" s="500"/>
      <c r="F79" s="500"/>
      <c r="G79" s="34" t="s">
        <v>77</v>
      </c>
      <c r="H79" s="35">
        <v>28858</v>
      </c>
      <c r="I79" s="36">
        <f t="shared" ref="I79:I136" si="2">H79*0.19</f>
        <v>5483.02</v>
      </c>
      <c r="J79" s="37">
        <f t="shared" ref="J79:J136" si="3">I79+H79</f>
        <v>34341.020000000004</v>
      </c>
    </row>
    <row r="80" spans="1:10" ht="14.4" customHeight="1">
      <c r="A80" s="33">
        <v>66</v>
      </c>
      <c r="B80" s="500" t="s">
        <v>86</v>
      </c>
      <c r="C80" s="500"/>
      <c r="D80" s="500"/>
      <c r="E80" s="500"/>
      <c r="F80" s="500"/>
      <c r="G80" s="34" t="s">
        <v>19</v>
      </c>
      <c r="H80" s="35">
        <v>2140</v>
      </c>
      <c r="I80" s="36">
        <f t="shared" si="2"/>
        <v>406.6</v>
      </c>
      <c r="J80" s="37">
        <f t="shared" si="3"/>
        <v>2546.6</v>
      </c>
    </row>
    <row r="81" spans="1:10" ht="27" customHeight="1">
      <c r="A81" s="33">
        <v>67</v>
      </c>
      <c r="B81" s="500" t="s">
        <v>191</v>
      </c>
      <c r="C81" s="500"/>
      <c r="D81" s="500"/>
      <c r="E81" s="500"/>
      <c r="F81" s="500"/>
      <c r="G81" s="34" t="s">
        <v>237</v>
      </c>
      <c r="H81" s="35">
        <v>1081</v>
      </c>
      <c r="I81" s="36">
        <f t="shared" si="2"/>
        <v>205.39000000000001</v>
      </c>
      <c r="J81" s="37">
        <f t="shared" si="3"/>
        <v>1286.3900000000001</v>
      </c>
    </row>
    <row r="82" spans="1:10" ht="29.25" customHeight="1">
      <c r="A82" s="33">
        <v>68</v>
      </c>
      <c r="B82" s="500" t="s">
        <v>192</v>
      </c>
      <c r="C82" s="500"/>
      <c r="D82" s="500"/>
      <c r="E82" s="500"/>
      <c r="F82" s="500"/>
      <c r="G82" s="34" t="s">
        <v>237</v>
      </c>
      <c r="H82" s="35">
        <v>1359</v>
      </c>
      <c r="I82" s="36">
        <f t="shared" si="2"/>
        <v>258.20999999999998</v>
      </c>
      <c r="J82" s="37">
        <f t="shared" si="3"/>
        <v>1617.21</v>
      </c>
    </row>
    <row r="83" spans="1:10" ht="30" customHeight="1">
      <c r="A83" s="33">
        <v>69</v>
      </c>
      <c r="B83" s="500" t="s">
        <v>193</v>
      </c>
      <c r="C83" s="500"/>
      <c r="D83" s="500"/>
      <c r="E83" s="500"/>
      <c r="F83" s="500"/>
      <c r="G83" s="34" t="s">
        <v>238</v>
      </c>
      <c r="H83" s="35">
        <v>4925</v>
      </c>
      <c r="I83" s="36">
        <f t="shared" si="2"/>
        <v>935.75</v>
      </c>
      <c r="J83" s="37">
        <f t="shared" si="3"/>
        <v>5860.75</v>
      </c>
    </row>
    <row r="84" spans="1:10" ht="23.25" customHeight="1">
      <c r="A84" s="33">
        <v>70</v>
      </c>
      <c r="B84" s="500" t="s">
        <v>88</v>
      </c>
      <c r="C84" s="500"/>
      <c r="D84" s="500"/>
      <c r="E84" s="500"/>
      <c r="F84" s="500"/>
      <c r="G84" s="34" t="s">
        <v>87</v>
      </c>
      <c r="H84" s="35">
        <v>3353</v>
      </c>
      <c r="I84" s="36">
        <f t="shared" si="2"/>
        <v>637.07000000000005</v>
      </c>
      <c r="J84" s="37">
        <f t="shared" si="3"/>
        <v>3990.07</v>
      </c>
    </row>
    <row r="85" spans="1:10" ht="14.4" customHeight="1">
      <c r="A85" s="33">
        <v>71</v>
      </c>
      <c r="B85" s="508" t="s">
        <v>194</v>
      </c>
      <c r="C85" s="508"/>
      <c r="D85" s="508"/>
      <c r="E85" s="508"/>
      <c r="F85" s="508"/>
      <c r="G85" s="34" t="s">
        <v>19</v>
      </c>
      <c r="H85" s="35">
        <v>15738</v>
      </c>
      <c r="I85" s="36">
        <f t="shared" si="2"/>
        <v>2990.2200000000003</v>
      </c>
      <c r="J85" s="37">
        <f t="shared" si="3"/>
        <v>18728.22</v>
      </c>
    </row>
    <row r="86" spans="1:10" ht="24" customHeight="1">
      <c r="A86" s="33">
        <v>72</v>
      </c>
      <c r="B86" s="500" t="s">
        <v>195</v>
      </c>
      <c r="C86" s="500"/>
      <c r="D86" s="500"/>
      <c r="E86" s="500"/>
      <c r="F86" s="500"/>
      <c r="G86" s="34" t="s">
        <v>89</v>
      </c>
      <c r="H86" s="35">
        <v>164849</v>
      </c>
      <c r="I86" s="36">
        <f t="shared" si="2"/>
        <v>31321.31</v>
      </c>
      <c r="J86" s="37">
        <f t="shared" si="3"/>
        <v>196170.31</v>
      </c>
    </row>
    <row r="87" spans="1:10" ht="24" customHeight="1">
      <c r="A87" s="33">
        <v>73</v>
      </c>
      <c r="B87" s="500" t="s">
        <v>196</v>
      </c>
      <c r="C87" s="500"/>
      <c r="D87" s="500"/>
      <c r="E87" s="500"/>
      <c r="F87" s="500"/>
      <c r="G87" s="34" t="s">
        <v>89</v>
      </c>
      <c r="H87" s="35">
        <v>194109</v>
      </c>
      <c r="I87" s="36">
        <f t="shared" si="2"/>
        <v>36880.71</v>
      </c>
      <c r="J87" s="37">
        <f t="shared" si="3"/>
        <v>230989.71</v>
      </c>
    </row>
    <row r="88" spans="1:10" ht="27.6" customHeight="1">
      <c r="A88" s="33">
        <v>74</v>
      </c>
      <c r="B88" s="500" t="s">
        <v>239</v>
      </c>
      <c r="C88" s="500"/>
      <c r="D88" s="500"/>
      <c r="E88" s="500"/>
      <c r="F88" s="500"/>
      <c r="G88" s="34" t="s">
        <v>90</v>
      </c>
      <c r="H88" s="35">
        <v>42380</v>
      </c>
      <c r="I88" s="36">
        <f t="shared" si="2"/>
        <v>8052.2</v>
      </c>
      <c r="J88" s="37">
        <f t="shared" si="3"/>
        <v>50432.2</v>
      </c>
    </row>
    <row r="89" spans="1:10" ht="14.4" customHeight="1">
      <c r="A89" s="33">
        <v>75</v>
      </c>
      <c r="B89" s="500" t="s">
        <v>198</v>
      </c>
      <c r="C89" s="500"/>
      <c r="D89" s="500"/>
      <c r="E89" s="500"/>
      <c r="F89" s="500"/>
      <c r="G89" s="34" t="s">
        <v>240</v>
      </c>
      <c r="H89" s="35">
        <v>29531</v>
      </c>
      <c r="I89" s="36">
        <f t="shared" si="2"/>
        <v>5610.89</v>
      </c>
      <c r="J89" s="37">
        <f t="shared" si="3"/>
        <v>35141.89</v>
      </c>
    </row>
    <row r="90" spans="1:10" ht="19.5" customHeight="1">
      <c r="A90" s="33">
        <v>76</v>
      </c>
      <c r="B90" s="500" t="s">
        <v>241</v>
      </c>
      <c r="C90" s="500"/>
      <c r="D90" s="500"/>
      <c r="E90" s="500"/>
      <c r="F90" s="500"/>
      <c r="G90" s="34" t="s">
        <v>93</v>
      </c>
      <c r="H90" s="35">
        <v>21160</v>
      </c>
      <c r="I90" s="36">
        <f t="shared" si="2"/>
        <v>4020.4</v>
      </c>
      <c r="J90" s="37">
        <f t="shared" si="3"/>
        <v>25180.400000000001</v>
      </c>
    </row>
    <row r="91" spans="1:10" ht="21" customHeight="1">
      <c r="A91" s="33">
        <v>77</v>
      </c>
      <c r="B91" s="500" t="s">
        <v>199</v>
      </c>
      <c r="C91" s="500"/>
      <c r="D91" s="500"/>
      <c r="E91" s="500"/>
      <c r="F91" s="500"/>
      <c r="G91" s="34" t="s">
        <v>242</v>
      </c>
      <c r="H91" s="35">
        <v>78481</v>
      </c>
      <c r="I91" s="36">
        <f t="shared" si="2"/>
        <v>14911.39</v>
      </c>
      <c r="J91" s="37">
        <f t="shared" si="3"/>
        <v>93392.39</v>
      </c>
    </row>
    <row r="92" spans="1:10" ht="22.2" customHeight="1">
      <c r="A92" s="33">
        <v>78</v>
      </c>
      <c r="B92" s="500" t="s">
        <v>94</v>
      </c>
      <c r="C92" s="500"/>
      <c r="D92" s="500"/>
      <c r="E92" s="500"/>
      <c r="F92" s="500"/>
      <c r="G92" s="34" t="s">
        <v>95</v>
      </c>
      <c r="H92" s="35">
        <v>219</v>
      </c>
      <c r="I92" s="36">
        <f t="shared" si="2"/>
        <v>41.61</v>
      </c>
      <c r="J92" s="37">
        <f t="shared" si="3"/>
        <v>260.61</v>
      </c>
    </row>
    <row r="93" spans="1:10" ht="27" customHeight="1">
      <c r="A93" s="33">
        <v>79</v>
      </c>
      <c r="B93" s="500" t="s">
        <v>96</v>
      </c>
      <c r="C93" s="500"/>
      <c r="D93" s="500"/>
      <c r="E93" s="500"/>
      <c r="F93" s="500"/>
      <c r="G93" s="34" t="s">
        <v>19</v>
      </c>
      <c r="H93" s="35">
        <v>2555</v>
      </c>
      <c r="I93" s="36">
        <f t="shared" si="2"/>
        <v>485.45</v>
      </c>
      <c r="J93" s="37">
        <f t="shared" si="3"/>
        <v>3040.45</v>
      </c>
    </row>
    <row r="94" spans="1:10" ht="36" customHeight="1">
      <c r="A94" s="33">
        <v>80</v>
      </c>
      <c r="B94" s="500" t="s">
        <v>243</v>
      </c>
      <c r="C94" s="500"/>
      <c r="D94" s="500"/>
      <c r="E94" s="500"/>
      <c r="F94" s="500"/>
      <c r="G94" s="34" t="s">
        <v>19</v>
      </c>
      <c r="H94" s="35">
        <v>6693</v>
      </c>
      <c r="I94" s="36">
        <f t="shared" si="2"/>
        <v>1271.67</v>
      </c>
      <c r="J94" s="37">
        <f t="shared" si="3"/>
        <v>7964.67</v>
      </c>
    </row>
    <row r="95" spans="1:10" ht="30" customHeight="1">
      <c r="A95" s="33">
        <v>81</v>
      </c>
      <c r="B95" s="500" t="s">
        <v>98</v>
      </c>
      <c r="C95" s="500"/>
      <c r="D95" s="500"/>
      <c r="E95" s="500"/>
      <c r="F95" s="500"/>
      <c r="G95" s="34" t="s">
        <v>19</v>
      </c>
      <c r="H95" s="35">
        <v>11140</v>
      </c>
      <c r="I95" s="36">
        <f t="shared" si="2"/>
        <v>2116.6</v>
      </c>
      <c r="J95" s="37">
        <f t="shared" si="3"/>
        <v>13256.6</v>
      </c>
    </row>
    <row r="96" spans="1:10" ht="30" customHeight="1">
      <c r="A96" s="33">
        <v>82</v>
      </c>
      <c r="B96" s="500" t="s">
        <v>99</v>
      </c>
      <c r="C96" s="500"/>
      <c r="D96" s="500"/>
      <c r="E96" s="500"/>
      <c r="F96" s="500"/>
      <c r="G96" s="34" t="s">
        <v>19</v>
      </c>
      <c r="H96" s="35">
        <v>85020</v>
      </c>
      <c r="I96" s="36">
        <f t="shared" si="2"/>
        <v>16153.800000000001</v>
      </c>
      <c r="J96" s="37">
        <f t="shared" si="3"/>
        <v>101173.8</v>
      </c>
    </row>
    <row r="97" spans="1:10" ht="14.4" customHeight="1">
      <c r="A97" s="33">
        <v>83</v>
      </c>
      <c r="B97" s="500" t="s">
        <v>100</v>
      </c>
      <c r="C97" s="500"/>
      <c r="D97" s="500"/>
      <c r="E97" s="500"/>
      <c r="F97" s="500"/>
      <c r="G97" s="34" t="s">
        <v>19</v>
      </c>
      <c r="H97" s="35">
        <v>42054</v>
      </c>
      <c r="I97" s="36">
        <f t="shared" si="2"/>
        <v>7990.26</v>
      </c>
      <c r="J97" s="37">
        <f t="shared" si="3"/>
        <v>50044.26</v>
      </c>
    </row>
    <row r="98" spans="1:10" ht="14.4" customHeight="1">
      <c r="A98" s="33">
        <v>84</v>
      </c>
      <c r="B98" s="500" t="s">
        <v>101</v>
      </c>
      <c r="C98" s="500"/>
      <c r="D98" s="500"/>
      <c r="E98" s="500"/>
      <c r="F98" s="500"/>
      <c r="G98" s="34" t="s">
        <v>102</v>
      </c>
      <c r="H98" s="35">
        <v>4093</v>
      </c>
      <c r="I98" s="36">
        <f t="shared" si="2"/>
        <v>777.67</v>
      </c>
      <c r="J98" s="37">
        <f t="shared" si="3"/>
        <v>4870.67</v>
      </c>
    </row>
    <row r="99" spans="1:10" ht="14.4" customHeight="1">
      <c r="A99" s="33">
        <v>85</v>
      </c>
      <c r="B99" s="500" t="s">
        <v>103</v>
      </c>
      <c r="C99" s="500"/>
      <c r="D99" s="500"/>
      <c r="E99" s="500"/>
      <c r="F99" s="500"/>
      <c r="G99" s="34" t="s">
        <v>102</v>
      </c>
      <c r="H99" s="35">
        <v>4386</v>
      </c>
      <c r="I99" s="36">
        <f t="shared" si="2"/>
        <v>833.34</v>
      </c>
      <c r="J99" s="37">
        <f t="shared" si="3"/>
        <v>5219.34</v>
      </c>
    </row>
    <row r="100" spans="1:10" ht="14.4" customHeight="1">
      <c r="A100" s="33">
        <v>86</v>
      </c>
      <c r="B100" s="500" t="s">
        <v>104</v>
      </c>
      <c r="C100" s="500"/>
      <c r="D100" s="500"/>
      <c r="E100" s="500"/>
      <c r="F100" s="500"/>
      <c r="G100" s="34" t="s">
        <v>102</v>
      </c>
      <c r="H100" s="35">
        <v>20482</v>
      </c>
      <c r="I100" s="36">
        <f t="shared" si="2"/>
        <v>3891.58</v>
      </c>
      <c r="J100" s="37">
        <f t="shared" si="3"/>
        <v>24373.58</v>
      </c>
    </row>
    <row r="101" spans="1:10" ht="14.4" customHeight="1">
      <c r="A101" s="33">
        <v>87</v>
      </c>
      <c r="B101" s="500" t="s">
        <v>105</v>
      </c>
      <c r="C101" s="500"/>
      <c r="D101" s="500"/>
      <c r="E101" s="500"/>
      <c r="F101" s="500"/>
      <c r="G101" s="34" t="s">
        <v>102</v>
      </c>
      <c r="H101" s="35">
        <v>13378</v>
      </c>
      <c r="I101" s="36">
        <f t="shared" si="2"/>
        <v>2541.8200000000002</v>
      </c>
      <c r="J101" s="37">
        <f t="shared" si="3"/>
        <v>15919.82</v>
      </c>
    </row>
    <row r="102" spans="1:10" ht="14.4" customHeight="1">
      <c r="A102" s="33">
        <v>88</v>
      </c>
      <c r="B102" s="500" t="s">
        <v>106</v>
      </c>
      <c r="C102" s="500"/>
      <c r="D102" s="500"/>
      <c r="E102" s="500"/>
      <c r="F102" s="500"/>
      <c r="G102" s="34" t="s">
        <v>102</v>
      </c>
      <c r="H102" s="35">
        <v>16566</v>
      </c>
      <c r="I102" s="36">
        <f t="shared" si="2"/>
        <v>3147.54</v>
      </c>
      <c r="J102" s="37">
        <f t="shared" si="3"/>
        <v>19713.54</v>
      </c>
    </row>
    <row r="103" spans="1:10" ht="14.4" customHeight="1">
      <c r="A103" s="33">
        <v>89</v>
      </c>
      <c r="B103" s="500" t="s">
        <v>107</v>
      </c>
      <c r="C103" s="500"/>
      <c r="D103" s="500"/>
      <c r="E103" s="500"/>
      <c r="F103" s="500"/>
      <c r="G103" s="34" t="s">
        <v>19</v>
      </c>
      <c r="H103" s="35">
        <v>748</v>
      </c>
      <c r="I103" s="36">
        <f t="shared" si="2"/>
        <v>142.12</v>
      </c>
      <c r="J103" s="37">
        <f t="shared" si="3"/>
        <v>890.12</v>
      </c>
    </row>
    <row r="104" spans="1:10" ht="33" customHeight="1">
      <c r="A104" s="33">
        <v>90</v>
      </c>
      <c r="B104" s="500" t="s">
        <v>108</v>
      </c>
      <c r="C104" s="500"/>
      <c r="D104" s="500"/>
      <c r="E104" s="500"/>
      <c r="F104" s="500"/>
      <c r="G104" s="34" t="s">
        <v>19</v>
      </c>
      <c r="H104" s="35">
        <v>3426</v>
      </c>
      <c r="I104" s="36">
        <f t="shared" si="2"/>
        <v>650.94000000000005</v>
      </c>
      <c r="J104" s="37">
        <f t="shared" si="3"/>
        <v>4076.94</v>
      </c>
    </row>
    <row r="105" spans="1:10" ht="29.4" customHeight="1">
      <c r="A105" s="33">
        <v>91</v>
      </c>
      <c r="B105" s="500" t="s">
        <v>200</v>
      </c>
      <c r="C105" s="500"/>
      <c r="D105" s="500"/>
      <c r="E105" s="500"/>
      <c r="F105" s="500"/>
      <c r="G105" s="34" t="s">
        <v>19</v>
      </c>
      <c r="H105" s="35">
        <v>1763</v>
      </c>
      <c r="I105" s="36">
        <f t="shared" si="2"/>
        <v>334.97</v>
      </c>
      <c r="J105" s="37">
        <f t="shared" si="3"/>
        <v>2097.9700000000003</v>
      </c>
    </row>
    <row r="106" spans="1:10" ht="31.95" customHeight="1">
      <c r="A106" s="33">
        <v>92</v>
      </c>
      <c r="B106" s="500" t="s">
        <v>109</v>
      </c>
      <c r="C106" s="500"/>
      <c r="D106" s="500"/>
      <c r="E106" s="500"/>
      <c r="F106" s="500"/>
      <c r="G106" s="34" t="s">
        <v>19</v>
      </c>
      <c r="H106" s="35">
        <v>708</v>
      </c>
      <c r="I106" s="36">
        <f t="shared" si="2"/>
        <v>134.52000000000001</v>
      </c>
      <c r="J106" s="37">
        <f t="shared" si="3"/>
        <v>842.52</v>
      </c>
    </row>
    <row r="107" spans="1:10" ht="14.4" customHeight="1">
      <c r="A107" s="33">
        <v>93</v>
      </c>
      <c r="B107" s="500" t="s">
        <v>110</v>
      </c>
      <c r="C107" s="500"/>
      <c r="D107" s="500"/>
      <c r="E107" s="500"/>
      <c r="F107" s="500"/>
      <c r="G107" s="34" t="s">
        <v>77</v>
      </c>
      <c r="H107" s="35">
        <v>14880</v>
      </c>
      <c r="I107" s="36">
        <f t="shared" si="2"/>
        <v>2827.2</v>
      </c>
      <c r="J107" s="37">
        <f t="shared" si="3"/>
        <v>17707.2</v>
      </c>
    </row>
    <row r="108" spans="1:10" ht="14.4" customHeight="1">
      <c r="A108" s="33">
        <v>94</v>
      </c>
      <c r="B108" s="500" t="s">
        <v>111</v>
      </c>
      <c r="C108" s="500"/>
      <c r="D108" s="500"/>
      <c r="E108" s="500"/>
      <c r="F108" s="500"/>
      <c r="G108" s="34" t="s">
        <v>19</v>
      </c>
      <c r="H108" s="35">
        <v>16513</v>
      </c>
      <c r="I108" s="36">
        <f t="shared" si="2"/>
        <v>3137.4700000000003</v>
      </c>
      <c r="J108" s="37">
        <f t="shared" si="3"/>
        <v>19650.47</v>
      </c>
    </row>
    <row r="109" spans="1:10" ht="27" customHeight="1">
      <c r="A109" s="33">
        <v>95</v>
      </c>
      <c r="B109" s="500" t="s">
        <v>201</v>
      </c>
      <c r="C109" s="500"/>
      <c r="D109" s="500"/>
      <c r="E109" s="500"/>
      <c r="F109" s="500"/>
      <c r="G109" s="34" t="s">
        <v>19</v>
      </c>
      <c r="H109" s="35">
        <v>1748</v>
      </c>
      <c r="I109" s="36">
        <f t="shared" si="2"/>
        <v>332.12</v>
      </c>
      <c r="J109" s="37">
        <f t="shared" si="3"/>
        <v>2080.12</v>
      </c>
    </row>
    <row r="110" spans="1:10" ht="14.4" customHeight="1">
      <c r="A110" s="33">
        <v>96</v>
      </c>
      <c r="B110" s="500" t="s">
        <v>112</v>
      </c>
      <c r="C110" s="500"/>
      <c r="D110" s="500"/>
      <c r="E110" s="500"/>
      <c r="F110" s="500"/>
      <c r="G110" s="34" t="s">
        <v>43</v>
      </c>
      <c r="H110" s="35">
        <v>15300</v>
      </c>
      <c r="I110" s="36">
        <f t="shared" si="2"/>
        <v>2907</v>
      </c>
      <c r="J110" s="37">
        <f t="shared" si="3"/>
        <v>18207</v>
      </c>
    </row>
    <row r="111" spans="1:10" ht="29.4" customHeight="1">
      <c r="A111" s="33">
        <v>97</v>
      </c>
      <c r="B111" s="500" t="s">
        <v>202</v>
      </c>
      <c r="C111" s="500"/>
      <c r="D111" s="500"/>
      <c r="E111" s="500"/>
      <c r="F111" s="500"/>
      <c r="G111" s="34" t="s">
        <v>43</v>
      </c>
      <c r="H111" s="35">
        <v>21700</v>
      </c>
      <c r="I111" s="36">
        <f t="shared" si="2"/>
        <v>4123</v>
      </c>
      <c r="J111" s="37">
        <f t="shared" si="3"/>
        <v>25823</v>
      </c>
    </row>
    <row r="112" spans="1:10" ht="14.4" customHeight="1">
      <c r="A112" s="33">
        <v>98</v>
      </c>
      <c r="B112" s="500" t="s">
        <v>113</v>
      </c>
      <c r="C112" s="500"/>
      <c r="D112" s="500"/>
      <c r="E112" s="500"/>
      <c r="F112" s="500"/>
      <c r="G112" s="34" t="s">
        <v>43</v>
      </c>
      <c r="H112" s="35">
        <v>15800</v>
      </c>
      <c r="I112" s="36">
        <f t="shared" si="2"/>
        <v>3002</v>
      </c>
      <c r="J112" s="37">
        <f t="shared" si="3"/>
        <v>18802</v>
      </c>
    </row>
    <row r="113" spans="1:10" ht="14.4" customHeight="1">
      <c r="A113" s="33">
        <v>99</v>
      </c>
      <c r="B113" s="500" t="s">
        <v>114</v>
      </c>
      <c r="C113" s="500"/>
      <c r="D113" s="500"/>
      <c r="E113" s="500"/>
      <c r="F113" s="500"/>
      <c r="G113" s="34" t="s">
        <v>115</v>
      </c>
      <c r="H113" s="35">
        <v>10850</v>
      </c>
      <c r="I113" s="36">
        <f t="shared" si="2"/>
        <v>2061.5</v>
      </c>
      <c r="J113" s="37">
        <f t="shared" si="3"/>
        <v>12911.5</v>
      </c>
    </row>
    <row r="114" spans="1:10" ht="14.4" customHeight="1">
      <c r="A114" s="33">
        <v>100</v>
      </c>
      <c r="B114" s="500" t="s">
        <v>116</v>
      </c>
      <c r="C114" s="500"/>
      <c r="D114" s="500"/>
      <c r="E114" s="500"/>
      <c r="F114" s="500"/>
      <c r="G114" s="34" t="s">
        <v>115</v>
      </c>
      <c r="H114" s="35">
        <v>11100</v>
      </c>
      <c r="I114" s="36">
        <f t="shared" si="2"/>
        <v>2109</v>
      </c>
      <c r="J114" s="37">
        <f t="shared" si="3"/>
        <v>13209</v>
      </c>
    </row>
    <row r="115" spans="1:10" ht="14.4" customHeight="1">
      <c r="A115" s="33">
        <v>101</v>
      </c>
      <c r="B115" s="500" t="s">
        <v>117</v>
      </c>
      <c r="C115" s="500"/>
      <c r="D115" s="500"/>
      <c r="E115" s="500"/>
      <c r="F115" s="500"/>
      <c r="G115" s="34" t="s">
        <v>43</v>
      </c>
      <c r="H115" s="35">
        <v>16700</v>
      </c>
      <c r="I115" s="36">
        <f t="shared" si="2"/>
        <v>3173</v>
      </c>
      <c r="J115" s="37">
        <f t="shared" si="3"/>
        <v>19873</v>
      </c>
    </row>
    <row r="116" spans="1:10" ht="28.95" customHeight="1">
      <c r="A116" s="33">
        <v>102</v>
      </c>
      <c r="B116" s="500" t="s">
        <v>118</v>
      </c>
      <c r="C116" s="500"/>
      <c r="D116" s="500"/>
      <c r="E116" s="500"/>
      <c r="F116" s="500"/>
      <c r="G116" s="34" t="s">
        <v>19</v>
      </c>
      <c r="H116" s="35">
        <v>3993</v>
      </c>
      <c r="I116" s="36">
        <f t="shared" si="2"/>
        <v>758.67</v>
      </c>
      <c r="J116" s="37">
        <f t="shared" si="3"/>
        <v>4751.67</v>
      </c>
    </row>
    <row r="117" spans="1:10" ht="14.4" customHeight="1">
      <c r="A117" s="33">
        <v>103</v>
      </c>
      <c r="B117" s="500" t="s">
        <v>119</v>
      </c>
      <c r="C117" s="500"/>
      <c r="D117" s="500"/>
      <c r="E117" s="500"/>
      <c r="F117" s="500"/>
      <c r="G117" s="34" t="s">
        <v>19</v>
      </c>
      <c r="H117" s="35">
        <v>322000</v>
      </c>
      <c r="I117" s="36">
        <f t="shared" si="2"/>
        <v>61180</v>
      </c>
      <c r="J117" s="37">
        <f t="shared" si="3"/>
        <v>383180</v>
      </c>
    </row>
    <row r="118" spans="1:10" ht="24.75" customHeight="1">
      <c r="A118" s="33">
        <v>104</v>
      </c>
      <c r="B118" s="500" t="s">
        <v>203</v>
      </c>
      <c r="C118" s="500"/>
      <c r="D118" s="500"/>
      <c r="E118" s="500"/>
      <c r="F118" s="500"/>
      <c r="G118" s="34" t="s">
        <v>19</v>
      </c>
      <c r="H118" s="35">
        <v>334273</v>
      </c>
      <c r="I118" s="36">
        <f t="shared" si="2"/>
        <v>63511.87</v>
      </c>
      <c r="J118" s="37">
        <f t="shared" si="3"/>
        <v>397784.87</v>
      </c>
    </row>
    <row r="119" spans="1:10" ht="21" customHeight="1">
      <c r="A119" s="33">
        <v>105</v>
      </c>
      <c r="B119" s="500" t="s">
        <v>204</v>
      </c>
      <c r="C119" s="500"/>
      <c r="D119" s="500"/>
      <c r="E119" s="500"/>
      <c r="F119" s="500"/>
      <c r="G119" s="34" t="s">
        <v>19</v>
      </c>
      <c r="H119" s="35">
        <v>178635</v>
      </c>
      <c r="I119" s="36">
        <f t="shared" si="2"/>
        <v>33940.65</v>
      </c>
      <c r="J119" s="37">
        <f t="shared" si="3"/>
        <v>212575.65</v>
      </c>
    </row>
    <row r="120" spans="1:10" ht="14.4" customHeight="1">
      <c r="A120" s="33">
        <v>106</v>
      </c>
      <c r="B120" s="500" t="s">
        <v>120</v>
      </c>
      <c r="C120" s="500"/>
      <c r="D120" s="500"/>
      <c r="E120" s="500"/>
      <c r="F120" s="500"/>
      <c r="G120" s="34" t="s">
        <v>19</v>
      </c>
      <c r="H120" s="35">
        <v>140888</v>
      </c>
      <c r="I120" s="36">
        <f t="shared" si="2"/>
        <v>26768.720000000001</v>
      </c>
      <c r="J120" s="37">
        <f t="shared" si="3"/>
        <v>167656.72</v>
      </c>
    </row>
    <row r="121" spans="1:10" ht="30.6" customHeight="1">
      <c r="A121" s="33">
        <v>107</v>
      </c>
      <c r="B121" s="500" t="s">
        <v>205</v>
      </c>
      <c r="C121" s="500"/>
      <c r="D121" s="500"/>
      <c r="E121" s="500"/>
      <c r="F121" s="500"/>
      <c r="G121" s="34" t="s">
        <v>31</v>
      </c>
      <c r="H121" s="35">
        <v>6273</v>
      </c>
      <c r="I121" s="36">
        <f t="shared" si="2"/>
        <v>1191.8700000000001</v>
      </c>
      <c r="J121" s="37">
        <f t="shared" si="3"/>
        <v>7464.87</v>
      </c>
    </row>
    <row r="122" spans="1:10" ht="14.4" customHeight="1">
      <c r="A122" s="33">
        <v>108</v>
      </c>
      <c r="B122" s="500" t="s">
        <v>121</v>
      </c>
      <c r="C122" s="500"/>
      <c r="D122" s="500"/>
      <c r="E122" s="500"/>
      <c r="F122" s="500"/>
      <c r="G122" s="34" t="s">
        <v>33</v>
      </c>
      <c r="H122" s="35">
        <v>8226</v>
      </c>
      <c r="I122" s="36">
        <f t="shared" si="2"/>
        <v>1562.94</v>
      </c>
      <c r="J122" s="37">
        <f t="shared" si="3"/>
        <v>9788.94</v>
      </c>
    </row>
    <row r="123" spans="1:10" ht="26.25" customHeight="1">
      <c r="A123" s="33">
        <v>109</v>
      </c>
      <c r="B123" s="500" t="s">
        <v>206</v>
      </c>
      <c r="C123" s="500"/>
      <c r="D123" s="500"/>
      <c r="E123" s="500"/>
      <c r="F123" s="500"/>
      <c r="G123" s="34" t="s">
        <v>43</v>
      </c>
      <c r="H123" s="35">
        <v>43046</v>
      </c>
      <c r="I123" s="36">
        <f t="shared" si="2"/>
        <v>8178.74</v>
      </c>
      <c r="J123" s="37">
        <f t="shared" si="3"/>
        <v>51224.74</v>
      </c>
    </row>
    <row r="124" spans="1:10" ht="14.4" customHeight="1">
      <c r="A124" s="33">
        <v>110</v>
      </c>
      <c r="B124" s="500" t="s">
        <v>122</v>
      </c>
      <c r="C124" s="500"/>
      <c r="D124" s="500"/>
      <c r="E124" s="500"/>
      <c r="F124" s="500"/>
      <c r="G124" s="34" t="s">
        <v>19</v>
      </c>
      <c r="H124" s="35">
        <v>3387</v>
      </c>
      <c r="I124" s="36">
        <f t="shared" si="2"/>
        <v>643.53</v>
      </c>
      <c r="J124" s="37">
        <f t="shared" si="3"/>
        <v>4030.5299999999997</v>
      </c>
    </row>
    <row r="125" spans="1:10" ht="14.4" customHeight="1">
      <c r="A125" s="33">
        <v>111</v>
      </c>
      <c r="B125" s="500" t="s">
        <v>123</v>
      </c>
      <c r="C125" s="500"/>
      <c r="D125" s="500"/>
      <c r="E125" s="500"/>
      <c r="F125" s="500"/>
      <c r="G125" s="34" t="s">
        <v>19</v>
      </c>
      <c r="H125" s="35">
        <v>1151</v>
      </c>
      <c r="I125" s="36">
        <f t="shared" si="2"/>
        <v>218.69</v>
      </c>
      <c r="J125" s="37">
        <f t="shared" si="3"/>
        <v>1369.69</v>
      </c>
    </row>
    <row r="126" spans="1:10" ht="14.4" customHeight="1">
      <c r="A126" s="33">
        <v>112</v>
      </c>
      <c r="B126" s="500" t="s">
        <v>124</v>
      </c>
      <c r="C126" s="500"/>
      <c r="D126" s="500"/>
      <c r="E126" s="500"/>
      <c r="F126" s="500"/>
      <c r="G126" s="34" t="s">
        <v>19</v>
      </c>
      <c r="H126" s="35">
        <v>649750</v>
      </c>
      <c r="I126" s="36">
        <f t="shared" si="2"/>
        <v>123452.5</v>
      </c>
      <c r="J126" s="37">
        <f t="shared" si="3"/>
        <v>773202.5</v>
      </c>
    </row>
    <row r="127" spans="1:10" ht="14.4" customHeight="1">
      <c r="A127" s="33">
        <v>113</v>
      </c>
      <c r="B127" s="500" t="s">
        <v>125</v>
      </c>
      <c r="C127" s="500"/>
      <c r="D127" s="500"/>
      <c r="E127" s="500"/>
      <c r="F127" s="500"/>
      <c r="G127" s="34" t="s">
        <v>19</v>
      </c>
      <c r="H127" s="35">
        <v>649750</v>
      </c>
      <c r="I127" s="36">
        <f t="shared" si="2"/>
        <v>123452.5</v>
      </c>
      <c r="J127" s="37">
        <f t="shared" si="3"/>
        <v>773202.5</v>
      </c>
    </row>
    <row r="128" spans="1:10" ht="14.4" customHeight="1">
      <c r="A128" s="33">
        <v>114</v>
      </c>
      <c r="B128" s="500" t="s">
        <v>126</v>
      </c>
      <c r="C128" s="500"/>
      <c r="D128" s="500"/>
      <c r="E128" s="500"/>
      <c r="F128" s="500"/>
      <c r="G128" s="34" t="s">
        <v>19</v>
      </c>
      <c r="H128" s="35">
        <v>944265</v>
      </c>
      <c r="I128" s="36">
        <f t="shared" si="2"/>
        <v>179410.35</v>
      </c>
      <c r="J128" s="37">
        <f t="shared" si="3"/>
        <v>1123675.3500000001</v>
      </c>
    </row>
    <row r="129" spans="1:10" ht="14.4" customHeight="1">
      <c r="A129" s="33">
        <v>115</v>
      </c>
      <c r="B129" s="500" t="s">
        <v>127</v>
      </c>
      <c r="C129" s="500"/>
      <c r="D129" s="500"/>
      <c r="E129" s="500"/>
      <c r="F129" s="500"/>
      <c r="G129" s="34" t="s">
        <v>19</v>
      </c>
      <c r="H129" s="35">
        <v>649750</v>
      </c>
      <c r="I129" s="36">
        <f t="shared" si="2"/>
        <v>123452.5</v>
      </c>
      <c r="J129" s="37">
        <f t="shared" si="3"/>
        <v>773202.5</v>
      </c>
    </row>
    <row r="130" spans="1:10" ht="14.4" customHeight="1">
      <c r="A130" s="33">
        <v>116</v>
      </c>
      <c r="B130" s="500" t="s">
        <v>128</v>
      </c>
      <c r="C130" s="500"/>
      <c r="D130" s="500"/>
      <c r="E130" s="500"/>
      <c r="F130" s="500"/>
      <c r="G130" s="34" t="s">
        <v>19</v>
      </c>
      <c r="H130" s="35">
        <v>649750</v>
      </c>
      <c r="I130" s="36">
        <f t="shared" si="2"/>
        <v>123452.5</v>
      </c>
      <c r="J130" s="37">
        <f t="shared" si="3"/>
        <v>773202.5</v>
      </c>
    </row>
    <row r="131" spans="1:10" ht="14.4" customHeight="1">
      <c r="A131" s="33">
        <v>117</v>
      </c>
      <c r="B131" s="500" t="s">
        <v>129</v>
      </c>
      <c r="C131" s="500"/>
      <c r="D131" s="500"/>
      <c r="E131" s="500"/>
      <c r="F131" s="500"/>
      <c r="G131" s="34" t="s">
        <v>19</v>
      </c>
      <c r="H131" s="35">
        <v>649750</v>
      </c>
      <c r="I131" s="36">
        <f t="shared" si="2"/>
        <v>123452.5</v>
      </c>
      <c r="J131" s="37">
        <f t="shared" si="3"/>
        <v>773202.5</v>
      </c>
    </row>
    <row r="132" spans="1:10" ht="14.4" customHeight="1">
      <c r="A132" s="33">
        <v>118</v>
      </c>
      <c r="B132" s="500" t="s">
        <v>244</v>
      </c>
      <c r="C132" s="500"/>
      <c r="D132" s="500"/>
      <c r="E132" s="500"/>
      <c r="F132" s="500"/>
      <c r="G132" s="34" t="s">
        <v>19</v>
      </c>
      <c r="H132" s="35">
        <v>5109</v>
      </c>
      <c r="I132" s="36">
        <f t="shared" si="2"/>
        <v>970.71</v>
      </c>
      <c r="J132" s="37">
        <f t="shared" si="3"/>
        <v>6079.71</v>
      </c>
    </row>
    <row r="133" spans="1:10" ht="14.4" customHeight="1">
      <c r="A133" s="33">
        <v>119</v>
      </c>
      <c r="B133" s="500" t="s">
        <v>245</v>
      </c>
      <c r="C133" s="500"/>
      <c r="D133" s="500"/>
      <c r="E133" s="500"/>
      <c r="F133" s="500"/>
      <c r="G133" s="34" t="s">
        <v>19</v>
      </c>
      <c r="H133" s="35">
        <v>5109</v>
      </c>
      <c r="I133" s="36">
        <f t="shared" si="2"/>
        <v>970.71</v>
      </c>
      <c r="J133" s="37">
        <f t="shared" si="3"/>
        <v>6079.71</v>
      </c>
    </row>
    <row r="134" spans="1:10" ht="14.4" customHeight="1">
      <c r="A134" s="33">
        <v>120</v>
      </c>
      <c r="B134" s="500" t="s">
        <v>132</v>
      </c>
      <c r="C134" s="500"/>
      <c r="D134" s="500"/>
      <c r="E134" s="500"/>
      <c r="F134" s="500"/>
      <c r="G134" s="34" t="s">
        <v>48</v>
      </c>
      <c r="H134" s="35">
        <v>50635</v>
      </c>
      <c r="I134" s="36">
        <f t="shared" si="2"/>
        <v>9620.65</v>
      </c>
      <c r="J134" s="37">
        <f t="shared" si="3"/>
        <v>60255.65</v>
      </c>
    </row>
    <row r="135" spans="1:10" ht="14.4" customHeight="1">
      <c r="A135" s="33">
        <v>121</v>
      </c>
      <c r="B135" s="500" t="s">
        <v>133</v>
      </c>
      <c r="C135" s="500"/>
      <c r="D135" s="500"/>
      <c r="E135" s="500"/>
      <c r="F135" s="500"/>
      <c r="G135" s="34" t="s">
        <v>19</v>
      </c>
      <c r="H135" s="35">
        <v>1069500</v>
      </c>
      <c r="I135" s="36">
        <f t="shared" si="2"/>
        <v>203205</v>
      </c>
      <c r="J135" s="37">
        <f t="shared" si="3"/>
        <v>1272705</v>
      </c>
    </row>
    <row r="136" spans="1:10" s="45" customFormat="1" ht="29.25" customHeight="1">
      <c r="A136" s="81">
        <v>122</v>
      </c>
      <c r="B136" s="524" t="s">
        <v>207</v>
      </c>
      <c r="C136" s="524"/>
      <c r="D136" s="524"/>
      <c r="E136" s="524"/>
      <c r="F136" s="524"/>
      <c r="G136" s="82" t="s">
        <v>19</v>
      </c>
      <c r="H136" s="83">
        <v>3789</v>
      </c>
      <c r="I136" s="84">
        <f t="shared" si="2"/>
        <v>719.91</v>
      </c>
      <c r="J136" s="85">
        <f t="shared" si="3"/>
        <v>4508.91</v>
      </c>
    </row>
    <row r="137" spans="1:10" s="45" customFormat="1" ht="29.25" customHeight="1">
      <c r="A137" s="81">
        <v>123</v>
      </c>
      <c r="B137" s="524" t="s">
        <v>208</v>
      </c>
      <c r="C137" s="524"/>
      <c r="D137" s="524"/>
      <c r="E137" s="524"/>
      <c r="F137" s="524"/>
      <c r="G137" s="86" t="s">
        <v>209</v>
      </c>
      <c r="H137" s="83">
        <v>9890</v>
      </c>
      <c r="I137" s="87">
        <f>H137*0.19</f>
        <v>1879.1</v>
      </c>
      <c r="J137" s="88">
        <f>I137+H137</f>
        <v>11769.1</v>
      </c>
    </row>
    <row r="138" spans="1:10" ht="15.6">
      <c r="A138" s="525" t="s">
        <v>135</v>
      </c>
      <c r="B138" s="526"/>
      <c r="C138" s="526"/>
      <c r="D138" s="526"/>
      <c r="E138" s="526"/>
      <c r="F138" s="526"/>
      <c r="G138" s="526"/>
      <c r="H138" s="526"/>
      <c r="I138" s="526"/>
      <c r="J138" s="38">
        <f>SUM(J15:J137)</f>
        <v>12542200.160000004</v>
      </c>
    </row>
    <row r="139" spans="1:10">
      <c r="A139" s="509"/>
      <c r="B139" s="510"/>
      <c r="C139" s="510"/>
      <c r="D139" s="510"/>
      <c r="E139" s="510"/>
      <c r="F139" s="510"/>
      <c r="G139" s="510"/>
      <c r="H139" s="510"/>
      <c r="I139" s="510"/>
      <c r="J139" s="511"/>
    </row>
    <row r="140" spans="1:10" ht="139.19999999999999" customHeight="1">
      <c r="A140" s="512" t="s">
        <v>210</v>
      </c>
      <c r="B140" s="513"/>
      <c r="C140" s="513"/>
      <c r="D140" s="513"/>
      <c r="E140" s="513"/>
      <c r="F140" s="513"/>
      <c r="G140" s="513"/>
      <c r="H140" s="513"/>
      <c r="I140" s="513"/>
      <c r="J140" s="514"/>
    </row>
    <row r="141" spans="1:10">
      <c r="A141" s="515"/>
      <c r="B141" s="516"/>
      <c r="C141" s="516"/>
      <c r="D141" s="516"/>
      <c r="E141" s="516"/>
      <c r="F141" s="516"/>
      <c r="G141" s="516"/>
      <c r="H141" s="516"/>
      <c r="I141" s="516"/>
      <c r="J141" s="517"/>
    </row>
    <row r="142" spans="1:10">
      <c r="A142" s="518"/>
      <c r="B142" s="519"/>
      <c r="C142" s="519"/>
      <c r="D142" s="519"/>
      <c r="E142" s="519"/>
      <c r="F142" s="519"/>
      <c r="G142" s="519"/>
      <c r="H142" s="519"/>
      <c r="I142" s="519"/>
      <c r="J142" s="520"/>
    </row>
    <row r="143" spans="1:10">
      <c r="A143" s="518"/>
      <c r="B143" s="519"/>
      <c r="C143" s="519"/>
      <c r="D143" s="519"/>
      <c r="E143" s="519"/>
      <c r="F143" s="519"/>
      <c r="G143" s="519"/>
      <c r="H143" s="519"/>
      <c r="I143" s="519"/>
      <c r="J143" s="520"/>
    </row>
    <row r="144" spans="1:10">
      <c r="A144" s="518"/>
      <c r="B144" s="519"/>
      <c r="C144" s="519"/>
      <c r="D144" s="519"/>
      <c r="E144" s="519"/>
      <c r="F144" s="519"/>
      <c r="G144" s="519"/>
      <c r="H144" s="519"/>
      <c r="I144" s="519"/>
      <c r="J144" s="520"/>
    </row>
    <row r="145" spans="1:10" ht="15" thickBot="1">
      <c r="A145" s="521"/>
      <c r="B145" s="522"/>
      <c r="C145" s="522"/>
      <c r="D145" s="522"/>
      <c r="E145" s="522"/>
      <c r="F145" s="522"/>
      <c r="G145" s="522"/>
      <c r="H145" s="522"/>
      <c r="I145" s="522"/>
      <c r="J145" s="523"/>
    </row>
    <row r="146" spans="1:10"/>
    <row r="147" spans="1:10"/>
    <row r="148" spans="1:10"/>
  </sheetData>
  <mergeCells count="144">
    <mergeCell ref="A139:J139"/>
    <mergeCell ref="A140:J140"/>
    <mergeCell ref="A141:J145"/>
    <mergeCell ref="B137:F137"/>
    <mergeCell ref="A138:I138"/>
    <mergeCell ref="B131:F131"/>
    <mergeCell ref="B132:F132"/>
    <mergeCell ref="B133:F133"/>
    <mergeCell ref="B134:F134"/>
    <mergeCell ref="B135:F135"/>
    <mergeCell ref="B136:F136"/>
    <mergeCell ref="B125:F125"/>
    <mergeCell ref="B126:F126"/>
    <mergeCell ref="B127:F127"/>
    <mergeCell ref="B128:F128"/>
    <mergeCell ref="B129:F129"/>
    <mergeCell ref="B130:F130"/>
    <mergeCell ref="B119:F119"/>
    <mergeCell ref="B120:F120"/>
    <mergeCell ref="B121:F121"/>
    <mergeCell ref="B122:F122"/>
    <mergeCell ref="B123:F123"/>
    <mergeCell ref="B124:F124"/>
    <mergeCell ref="B113:F113"/>
    <mergeCell ref="B114:F114"/>
    <mergeCell ref="B115:F115"/>
    <mergeCell ref="B116:F116"/>
    <mergeCell ref="B117:F117"/>
    <mergeCell ref="B118:F118"/>
    <mergeCell ref="B107:F107"/>
    <mergeCell ref="B108:F108"/>
    <mergeCell ref="B109:F109"/>
    <mergeCell ref="B110:F110"/>
    <mergeCell ref="B111:F111"/>
    <mergeCell ref="B112:F112"/>
    <mergeCell ref="B101:F101"/>
    <mergeCell ref="B102:F102"/>
    <mergeCell ref="B103:F103"/>
    <mergeCell ref="B104:F104"/>
    <mergeCell ref="B105:F105"/>
    <mergeCell ref="B106:F106"/>
    <mergeCell ref="B95:F95"/>
    <mergeCell ref="B96:F96"/>
    <mergeCell ref="B97:F97"/>
    <mergeCell ref="B98:F98"/>
    <mergeCell ref="B99:F99"/>
    <mergeCell ref="B100:F100"/>
    <mergeCell ref="B89:F89"/>
    <mergeCell ref="B90:F90"/>
    <mergeCell ref="B91:F91"/>
    <mergeCell ref="B92:F92"/>
    <mergeCell ref="B93:F93"/>
    <mergeCell ref="B94:F94"/>
    <mergeCell ref="B83:F83"/>
    <mergeCell ref="B84:F84"/>
    <mergeCell ref="B85:F85"/>
    <mergeCell ref="B86:F86"/>
    <mergeCell ref="B87:F87"/>
    <mergeCell ref="B88:F88"/>
    <mergeCell ref="B77:F77"/>
    <mergeCell ref="B78:F78"/>
    <mergeCell ref="B79:F79"/>
    <mergeCell ref="B80:F80"/>
    <mergeCell ref="B81:F81"/>
    <mergeCell ref="B82:F82"/>
    <mergeCell ref="B71:F71"/>
    <mergeCell ref="B72:F72"/>
    <mergeCell ref="B73:F73"/>
    <mergeCell ref="B74:F74"/>
    <mergeCell ref="B75:F75"/>
    <mergeCell ref="B76:F76"/>
    <mergeCell ref="B65:F65"/>
    <mergeCell ref="B66:F66"/>
    <mergeCell ref="B67:F67"/>
    <mergeCell ref="B68:F68"/>
    <mergeCell ref="B69:F69"/>
    <mergeCell ref="B70:F70"/>
    <mergeCell ref="B59:F59"/>
    <mergeCell ref="B60:F60"/>
    <mergeCell ref="B61:F61"/>
    <mergeCell ref="B62:F62"/>
    <mergeCell ref="B63:F63"/>
    <mergeCell ref="B64:F64"/>
    <mergeCell ref="B53:F53"/>
    <mergeCell ref="B54:F54"/>
    <mergeCell ref="B55:F55"/>
    <mergeCell ref="B56:F56"/>
    <mergeCell ref="B57:F57"/>
    <mergeCell ref="B58:F58"/>
    <mergeCell ref="B47:F47"/>
    <mergeCell ref="B48:F48"/>
    <mergeCell ref="B49:F49"/>
    <mergeCell ref="B50:F50"/>
    <mergeCell ref="B51:F51"/>
    <mergeCell ref="B52:F52"/>
    <mergeCell ref="B41:F41"/>
    <mergeCell ref="B42:F42"/>
    <mergeCell ref="B43:F43"/>
    <mergeCell ref="B44:F44"/>
    <mergeCell ref="B45:F45"/>
    <mergeCell ref="B46:F46"/>
    <mergeCell ref="B35:F35"/>
    <mergeCell ref="B36:F36"/>
    <mergeCell ref="B37:F37"/>
    <mergeCell ref="B38:F38"/>
    <mergeCell ref="B39:F39"/>
    <mergeCell ref="B40:F40"/>
    <mergeCell ref="B29:F29"/>
    <mergeCell ref="B30:F30"/>
    <mergeCell ref="B31:F31"/>
    <mergeCell ref="B32:F32"/>
    <mergeCell ref="B33:F33"/>
    <mergeCell ref="B34:F34"/>
    <mergeCell ref="B23:F23"/>
    <mergeCell ref="B24:F24"/>
    <mergeCell ref="B25:F25"/>
    <mergeCell ref="B26:F26"/>
    <mergeCell ref="B27:F27"/>
    <mergeCell ref="B28:F28"/>
    <mergeCell ref="B17:F17"/>
    <mergeCell ref="B18:F18"/>
    <mergeCell ref="B19:F19"/>
    <mergeCell ref="B20:F20"/>
    <mergeCell ref="B21:F21"/>
    <mergeCell ref="B22:F22"/>
    <mergeCell ref="A10:J10"/>
    <mergeCell ref="A12:C12"/>
    <mergeCell ref="D12:G12"/>
    <mergeCell ref="B14:F14"/>
    <mergeCell ref="B15:F15"/>
    <mergeCell ref="B16:F16"/>
    <mergeCell ref="B7:D7"/>
    <mergeCell ref="F7:G7"/>
    <mergeCell ref="I7:J7"/>
    <mergeCell ref="B8:D8"/>
    <mergeCell ref="F8:G8"/>
    <mergeCell ref="I8:J8"/>
    <mergeCell ref="A1:J1"/>
    <mergeCell ref="A2:J2"/>
    <mergeCell ref="A4:C4"/>
    <mergeCell ref="D4:J4"/>
    <mergeCell ref="B6:D6"/>
    <mergeCell ref="F6:G6"/>
    <mergeCell ref="I6:J6"/>
  </mergeCells>
  <hyperlinks>
    <hyperlink ref="F8" r:id="rId1" xr:uid="{F5909AE4-D7CC-484D-B4CF-55C0FC4E249C}"/>
  </hyperlinks>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E467D-654B-4D09-800C-EA8CF9666198}">
  <sheetPr>
    <tabColor rgb="FFFF0000"/>
  </sheetPr>
  <dimension ref="A1:L146"/>
  <sheetViews>
    <sheetView showGridLines="0" topLeftCell="A116" zoomScaleNormal="100" workbookViewId="0">
      <selection activeCell="J138" sqref="J138"/>
    </sheetView>
  </sheetViews>
  <sheetFormatPr baseColWidth="10" defaultColWidth="0" defaultRowHeight="12" zeroHeight="1"/>
  <cols>
    <col min="1" max="1" width="9" style="52" customWidth="1"/>
    <col min="2" max="2" width="8" style="52" customWidth="1"/>
    <col min="3" max="3" width="9" style="52" customWidth="1"/>
    <col min="4" max="4" width="13.109375" style="52" customWidth="1"/>
    <col min="5" max="5" width="9.88671875" style="52" customWidth="1"/>
    <col min="6" max="6" width="21.44140625" style="52" customWidth="1"/>
    <col min="7" max="7" width="21.6640625" style="77" customWidth="1"/>
    <col min="8" max="8" width="20" style="52" customWidth="1"/>
    <col min="9" max="9" width="12.6640625" style="52" customWidth="1"/>
    <col min="10" max="10" width="14.88671875" style="52" customWidth="1"/>
    <col min="11" max="12" width="8" style="52" customWidth="1"/>
    <col min="13" max="16384" width="8" style="52" hidden="1"/>
  </cols>
  <sheetData>
    <row r="1" spans="1:10" ht="27.9" customHeight="1">
      <c r="A1" s="595" t="s">
        <v>2</v>
      </c>
      <c r="B1" s="596"/>
      <c r="C1" s="596"/>
      <c r="D1" s="596"/>
      <c r="E1" s="596"/>
      <c r="F1" s="596"/>
      <c r="G1" s="596"/>
      <c r="H1" s="596"/>
      <c r="I1" s="596"/>
      <c r="J1" s="597"/>
    </row>
    <row r="2" spans="1:10" ht="18" customHeight="1">
      <c r="A2" s="598" t="s">
        <v>251</v>
      </c>
      <c r="B2" s="598"/>
      <c r="C2" s="598"/>
      <c r="D2" s="598"/>
      <c r="E2" s="598"/>
      <c r="F2" s="598"/>
      <c r="G2" s="598"/>
      <c r="H2" s="598"/>
      <c r="I2" s="598"/>
      <c r="J2" s="598"/>
    </row>
    <row r="3" spans="1:10" ht="9.9" customHeight="1">
      <c r="A3" s="66"/>
      <c r="B3" s="66"/>
      <c r="C3" s="66"/>
      <c r="D3" s="66"/>
      <c r="E3" s="66"/>
      <c r="F3" s="66"/>
      <c r="G3" s="75"/>
      <c r="H3" s="66"/>
      <c r="I3" s="66"/>
      <c r="J3" s="66"/>
    </row>
    <row r="4" spans="1:10" ht="26.1" customHeight="1">
      <c r="A4" s="599" t="s">
        <v>252</v>
      </c>
      <c r="B4" s="599"/>
      <c r="C4" s="599"/>
      <c r="D4" s="600" t="s">
        <v>253</v>
      </c>
      <c r="E4" s="600"/>
      <c r="F4" s="600"/>
      <c r="G4" s="600"/>
      <c r="H4" s="600"/>
      <c r="I4" s="600"/>
      <c r="J4" s="600"/>
    </row>
    <row r="5" spans="1:10" ht="9.9" customHeight="1">
      <c r="A5" s="66"/>
      <c r="B5" s="66"/>
      <c r="C5" s="66"/>
      <c r="D5" s="66"/>
      <c r="E5" s="66"/>
      <c r="F5" s="66"/>
      <c r="G5" s="75"/>
      <c r="H5" s="66"/>
      <c r="I5" s="66"/>
      <c r="J5" s="66"/>
    </row>
    <row r="6" spans="1:10" ht="12.9" customHeight="1">
      <c r="A6" s="73" t="s">
        <v>254</v>
      </c>
      <c r="B6" s="601" t="s">
        <v>0</v>
      </c>
      <c r="C6" s="591"/>
      <c r="D6" s="591"/>
      <c r="E6" s="74" t="s">
        <v>255</v>
      </c>
      <c r="F6" s="594" t="s">
        <v>256</v>
      </c>
      <c r="G6" s="594"/>
      <c r="H6" s="74" t="s">
        <v>257</v>
      </c>
      <c r="I6" s="602" t="s">
        <v>258</v>
      </c>
      <c r="J6" s="602"/>
    </row>
    <row r="7" spans="1:10" ht="14.1" customHeight="1">
      <c r="A7" s="73" t="s">
        <v>259</v>
      </c>
      <c r="B7" s="591" t="s">
        <v>260</v>
      </c>
      <c r="C7" s="591"/>
      <c r="D7" s="591"/>
      <c r="E7" s="74" t="s">
        <v>261</v>
      </c>
      <c r="F7" s="592" t="s">
        <v>262</v>
      </c>
      <c r="G7" s="592"/>
      <c r="H7" s="74" t="s">
        <v>263</v>
      </c>
      <c r="I7" s="593">
        <v>3106996094</v>
      </c>
      <c r="J7" s="593"/>
    </row>
    <row r="8" spans="1:10" ht="14.1" customHeight="1">
      <c r="A8" s="73" t="s">
        <v>264</v>
      </c>
      <c r="B8" s="591" t="s">
        <v>265</v>
      </c>
      <c r="C8" s="591"/>
      <c r="D8" s="591"/>
      <c r="E8" s="74" t="s">
        <v>266</v>
      </c>
      <c r="F8" s="591" t="s">
        <v>267</v>
      </c>
      <c r="G8" s="591"/>
      <c r="H8" s="74" t="s">
        <v>268</v>
      </c>
      <c r="I8" s="594" t="s">
        <v>269</v>
      </c>
      <c r="J8" s="594"/>
    </row>
    <row r="9" spans="1:10" ht="9" customHeight="1">
      <c r="A9" s="66"/>
      <c r="B9" s="66"/>
      <c r="C9" s="66"/>
      <c r="D9" s="66"/>
      <c r="E9" s="66"/>
      <c r="F9" s="66"/>
      <c r="G9" s="75"/>
      <c r="H9" s="66"/>
      <c r="I9" s="66"/>
      <c r="J9" s="66"/>
    </row>
    <row r="10" spans="1:10" ht="110.25" customHeight="1">
      <c r="A10" s="609" t="s">
        <v>270</v>
      </c>
      <c r="B10" s="609"/>
      <c r="C10" s="609"/>
      <c r="D10" s="609"/>
      <c r="E10" s="609"/>
      <c r="F10" s="609"/>
      <c r="G10" s="609"/>
      <c r="H10" s="609"/>
      <c r="I10" s="609"/>
      <c r="J10" s="609"/>
    </row>
    <row r="11" spans="1:10" ht="9" customHeight="1">
      <c r="A11" s="66"/>
      <c r="B11" s="66"/>
      <c r="C11" s="66"/>
      <c r="D11" s="66"/>
      <c r="E11" s="66"/>
      <c r="F11" s="66"/>
      <c r="G11" s="75"/>
      <c r="H11" s="66"/>
      <c r="I11" s="66"/>
      <c r="J11" s="66"/>
    </row>
    <row r="12" spans="1:10" ht="15.9" customHeight="1">
      <c r="A12" s="610" t="s">
        <v>13</v>
      </c>
      <c r="B12" s="610"/>
      <c r="C12" s="610"/>
      <c r="D12" s="611" t="s">
        <v>423</v>
      </c>
      <c r="E12" s="611"/>
      <c r="F12" s="611"/>
      <c r="G12" s="611"/>
      <c r="H12" s="72"/>
      <c r="I12" s="72"/>
      <c r="J12" s="72"/>
    </row>
    <row r="13" spans="1:10" ht="9.9" customHeight="1">
      <c r="A13" s="66"/>
      <c r="B13" s="66"/>
      <c r="C13" s="66"/>
      <c r="D13" s="66"/>
      <c r="E13" s="66"/>
      <c r="F13" s="66"/>
      <c r="G13" s="75"/>
      <c r="H13" s="66"/>
      <c r="I13" s="66"/>
      <c r="J13" s="66"/>
    </row>
    <row r="14" spans="1:10" ht="29.1" customHeight="1">
      <c r="A14" s="70" t="s">
        <v>14</v>
      </c>
      <c r="B14" s="612" t="s">
        <v>15</v>
      </c>
      <c r="C14" s="612"/>
      <c r="D14" s="612"/>
      <c r="E14" s="612"/>
      <c r="F14" s="612"/>
      <c r="G14" s="70" t="s">
        <v>16</v>
      </c>
      <c r="H14" s="70" t="s">
        <v>250</v>
      </c>
      <c r="I14" s="71" t="s">
        <v>17</v>
      </c>
      <c r="J14" s="71" t="s">
        <v>18</v>
      </c>
    </row>
    <row r="15" spans="1:10" ht="15.75" customHeight="1">
      <c r="A15" s="67">
        <v>1</v>
      </c>
      <c r="B15" s="613" t="s">
        <v>271</v>
      </c>
      <c r="C15" s="614"/>
      <c r="D15" s="614"/>
      <c r="E15" s="614"/>
      <c r="F15" s="615"/>
      <c r="G15" s="68" t="s">
        <v>272</v>
      </c>
      <c r="H15" s="69">
        <v>18200</v>
      </c>
      <c r="I15" s="69">
        <v>3458</v>
      </c>
      <c r="J15" s="69">
        <v>21658</v>
      </c>
    </row>
    <row r="16" spans="1:10" ht="15.75" customHeight="1">
      <c r="A16" s="53">
        <v>2</v>
      </c>
      <c r="B16" s="603" t="s">
        <v>273</v>
      </c>
      <c r="C16" s="604"/>
      <c r="D16" s="604"/>
      <c r="E16" s="604"/>
      <c r="F16" s="605"/>
      <c r="G16" s="54" t="s">
        <v>272</v>
      </c>
      <c r="H16" s="55">
        <v>1500</v>
      </c>
      <c r="I16" s="56">
        <v>285</v>
      </c>
      <c r="J16" s="55">
        <v>1785</v>
      </c>
    </row>
    <row r="17" spans="1:10" ht="15.75" customHeight="1">
      <c r="A17" s="53">
        <v>3</v>
      </c>
      <c r="B17" s="603" t="s">
        <v>274</v>
      </c>
      <c r="C17" s="604"/>
      <c r="D17" s="604"/>
      <c r="E17" s="604"/>
      <c r="F17" s="605"/>
      <c r="G17" s="54" t="s">
        <v>272</v>
      </c>
      <c r="H17" s="55">
        <v>2440</v>
      </c>
      <c r="I17" s="56">
        <v>464</v>
      </c>
      <c r="J17" s="55">
        <v>2904</v>
      </c>
    </row>
    <row r="18" spans="1:10" ht="15.75" customHeight="1">
      <c r="A18" s="53">
        <v>4</v>
      </c>
      <c r="B18" s="603" t="s">
        <v>275</v>
      </c>
      <c r="C18" s="604"/>
      <c r="D18" s="604"/>
      <c r="E18" s="604"/>
      <c r="F18" s="605"/>
      <c r="G18" s="54" t="s">
        <v>276</v>
      </c>
      <c r="H18" s="56">
        <v>670</v>
      </c>
      <c r="I18" s="56">
        <v>127</v>
      </c>
      <c r="J18" s="56">
        <v>797</v>
      </c>
    </row>
    <row r="19" spans="1:10" ht="15.75" customHeight="1">
      <c r="A19" s="53">
        <v>5</v>
      </c>
      <c r="B19" s="606" t="s">
        <v>277</v>
      </c>
      <c r="C19" s="607"/>
      <c r="D19" s="607"/>
      <c r="E19" s="607"/>
      <c r="F19" s="608"/>
      <c r="G19" s="54" t="s">
        <v>278</v>
      </c>
      <c r="H19" s="55">
        <v>1425</v>
      </c>
      <c r="I19" s="56">
        <v>271</v>
      </c>
      <c r="J19" s="55">
        <v>1696</v>
      </c>
    </row>
    <row r="20" spans="1:10" ht="15.75" customHeight="1">
      <c r="A20" s="53">
        <v>6</v>
      </c>
      <c r="B20" s="603" t="s">
        <v>279</v>
      </c>
      <c r="C20" s="604"/>
      <c r="D20" s="604"/>
      <c r="E20" s="604"/>
      <c r="F20" s="605"/>
      <c r="G20" s="54" t="s">
        <v>272</v>
      </c>
      <c r="H20" s="56">
        <v>500</v>
      </c>
      <c r="I20" s="56">
        <v>95</v>
      </c>
      <c r="J20" s="56">
        <v>595</v>
      </c>
    </row>
    <row r="21" spans="1:10" ht="15.75" customHeight="1">
      <c r="A21" s="53">
        <v>7</v>
      </c>
      <c r="B21" s="603" t="s">
        <v>280</v>
      </c>
      <c r="C21" s="604"/>
      <c r="D21" s="604"/>
      <c r="E21" s="604"/>
      <c r="F21" s="605"/>
      <c r="G21" s="54" t="s">
        <v>272</v>
      </c>
      <c r="H21" s="55">
        <v>3190</v>
      </c>
      <c r="I21" s="56">
        <v>606</v>
      </c>
      <c r="J21" s="55">
        <v>3796</v>
      </c>
    </row>
    <row r="22" spans="1:10" ht="15.75" customHeight="1">
      <c r="A22" s="53">
        <v>8</v>
      </c>
      <c r="B22" s="603" t="s">
        <v>281</v>
      </c>
      <c r="C22" s="604"/>
      <c r="D22" s="604"/>
      <c r="E22" s="604"/>
      <c r="F22" s="605"/>
      <c r="G22" s="54" t="s">
        <v>272</v>
      </c>
      <c r="H22" s="55">
        <v>2000</v>
      </c>
      <c r="I22" s="56">
        <v>380</v>
      </c>
      <c r="J22" s="55">
        <v>2380</v>
      </c>
    </row>
    <row r="23" spans="1:10" ht="15.75" customHeight="1">
      <c r="A23" s="53">
        <v>9</v>
      </c>
      <c r="B23" s="603" t="s">
        <v>282</v>
      </c>
      <c r="C23" s="604"/>
      <c r="D23" s="604"/>
      <c r="E23" s="604"/>
      <c r="F23" s="605"/>
      <c r="G23" s="54" t="s">
        <v>272</v>
      </c>
      <c r="H23" s="56">
        <v>490</v>
      </c>
      <c r="I23" s="56">
        <v>93</v>
      </c>
      <c r="J23" s="56">
        <v>583</v>
      </c>
    </row>
    <row r="24" spans="1:10" ht="15.75" customHeight="1">
      <c r="A24" s="53">
        <v>10</v>
      </c>
      <c r="B24" s="603" t="s">
        <v>283</v>
      </c>
      <c r="C24" s="604"/>
      <c r="D24" s="604"/>
      <c r="E24" s="604"/>
      <c r="F24" s="605"/>
      <c r="G24" s="54" t="s">
        <v>272</v>
      </c>
      <c r="H24" s="56">
        <v>490</v>
      </c>
      <c r="I24" s="56">
        <v>93</v>
      </c>
      <c r="J24" s="56">
        <v>583</v>
      </c>
    </row>
    <row r="25" spans="1:10" ht="15.75" customHeight="1">
      <c r="A25" s="53">
        <v>11</v>
      </c>
      <c r="B25" s="603" t="s">
        <v>284</v>
      </c>
      <c r="C25" s="604"/>
      <c r="D25" s="604"/>
      <c r="E25" s="604"/>
      <c r="F25" s="605"/>
      <c r="G25" s="54" t="s">
        <v>285</v>
      </c>
      <c r="H25" s="55">
        <v>2760</v>
      </c>
      <c r="I25" s="56">
        <v>524</v>
      </c>
      <c r="J25" s="55">
        <v>3284</v>
      </c>
    </row>
    <row r="26" spans="1:10" ht="15.75" customHeight="1">
      <c r="A26" s="53">
        <v>12</v>
      </c>
      <c r="B26" s="606" t="s">
        <v>286</v>
      </c>
      <c r="C26" s="607"/>
      <c r="D26" s="607"/>
      <c r="E26" s="607"/>
      <c r="F26" s="608"/>
      <c r="G26" s="54" t="s">
        <v>272</v>
      </c>
      <c r="H26" s="55">
        <v>1100</v>
      </c>
      <c r="I26" s="56">
        <v>209</v>
      </c>
      <c r="J26" s="55">
        <v>1309</v>
      </c>
    </row>
    <row r="27" spans="1:10" ht="15.75" customHeight="1">
      <c r="A27" s="53">
        <v>13</v>
      </c>
      <c r="B27" s="603" t="s">
        <v>287</v>
      </c>
      <c r="C27" s="604"/>
      <c r="D27" s="604"/>
      <c r="E27" s="604"/>
      <c r="F27" s="605"/>
      <c r="G27" s="54" t="s">
        <v>288</v>
      </c>
      <c r="H27" s="56">
        <v>875</v>
      </c>
      <c r="I27" s="56">
        <v>166</v>
      </c>
      <c r="J27" s="55">
        <v>1041</v>
      </c>
    </row>
    <row r="28" spans="1:10" ht="15.75" customHeight="1">
      <c r="A28" s="53">
        <v>14</v>
      </c>
      <c r="B28" s="603" t="s">
        <v>289</v>
      </c>
      <c r="C28" s="604"/>
      <c r="D28" s="604"/>
      <c r="E28" s="604"/>
      <c r="F28" s="605"/>
      <c r="G28" s="54" t="s">
        <v>272</v>
      </c>
      <c r="H28" s="55">
        <v>40400</v>
      </c>
      <c r="I28" s="55">
        <v>7676</v>
      </c>
      <c r="J28" s="55">
        <v>48076</v>
      </c>
    </row>
    <row r="29" spans="1:10" ht="15.75" customHeight="1">
      <c r="A29" s="53">
        <v>15</v>
      </c>
      <c r="B29" s="603" t="s">
        <v>290</v>
      </c>
      <c r="C29" s="604"/>
      <c r="D29" s="604"/>
      <c r="E29" s="604"/>
      <c r="F29" s="605"/>
      <c r="G29" s="54" t="s">
        <v>272</v>
      </c>
      <c r="H29" s="55">
        <v>40400</v>
      </c>
      <c r="I29" s="55">
        <v>7676</v>
      </c>
      <c r="J29" s="55">
        <v>48076</v>
      </c>
    </row>
    <row r="30" spans="1:10" ht="15.75" customHeight="1">
      <c r="A30" s="53">
        <v>16</v>
      </c>
      <c r="B30" s="606" t="s">
        <v>291</v>
      </c>
      <c r="C30" s="607"/>
      <c r="D30" s="607"/>
      <c r="E30" s="607"/>
      <c r="F30" s="608"/>
      <c r="G30" s="54" t="s">
        <v>272</v>
      </c>
      <c r="H30" s="55">
        <v>5580</v>
      </c>
      <c r="I30" s="55">
        <v>1060</v>
      </c>
      <c r="J30" s="55">
        <v>6640</v>
      </c>
    </row>
    <row r="31" spans="1:10" ht="15.75" customHeight="1">
      <c r="A31" s="53">
        <v>17</v>
      </c>
      <c r="B31" s="606" t="s">
        <v>292</v>
      </c>
      <c r="C31" s="607"/>
      <c r="D31" s="607"/>
      <c r="E31" s="607"/>
      <c r="F31" s="608"/>
      <c r="G31" s="54" t="s">
        <v>272</v>
      </c>
      <c r="H31" s="55">
        <v>6770</v>
      </c>
      <c r="I31" s="55">
        <v>1286</v>
      </c>
      <c r="J31" s="55">
        <v>8056</v>
      </c>
    </row>
    <row r="32" spans="1:10" ht="15.75" customHeight="1">
      <c r="A32" s="53">
        <v>18</v>
      </c>
      <c r="B32" s="606" t="s">
        <v>293</v>
      </c>
      <c r="C32" s="607"/>
      <c r="D32" s="607"/>
      <c r="E32" s="607"/>
      <c r="F32" s="608"/>
      <c r="G32" s="54" t="s">
        <v>272</v>
      </c>
      <c r="H32" s="55">
        <v>7375</v>
      </c>
      <c r="I32" s="55">
        <v>1401</v>
      </c>
      <c r="J32" s="55">
        <v>8776</v>
      </c>
    </row>
    <row r="33" spans="1:10" ht="15.75" customHeight="1">
      <c r="A33" s="53">
        <v>19</v>
      </c>
      <c r="B33" s="606" t="s">
        <v>294</v>
      </c>
      <c r="C33" s="607"/>
      <c r="D33" s="607"/>
      <c r="E33" s="607"/>
      <c r="F33" s="608"/>
      <c r="G33" s="54" t="s">
        <v>272</v>
      </c>
      <c r="H33" s="55">
        <v>10750</v>
      </c>
      <c r="I33" s="55">
        <v>2043</v>
      </c>
      <c r="J33" s="55">
        <v>12793</v>
      </c>
    </row>
    <row r="34" spans="1:10" ht="15.75" customHeight="1">
      <c r="A34" s="53">
        <v>20</v>
      </c>
      <c r="B34" s="603" t="s">
        <v>295</v>
      </c>
      <c r="C34" s="604"/>
      <c r="D34" s="604"/>
      <c r="E34" s="604"/>
      <c r="F34" s="605"/>
      <c r="G34" s="54" t="s">
        <v>272</v>
      </c>
      <c r="H34" s="55">
        <v>850000</v>
      </c>
      <c r="I34" s="55">
        <v>161500</v>
      </c>
      <c r="J34" s="55">
        <v>1011500</v>
      </c>
    </row>
    <row r="35" spans="1:10" ht="15.75" customHeight="1">
      <c r="A35" s="53">
        <v>21</v>
      </c>
      <c r="B35" s="603" t="s">
        <v>296</v>
      </c>
      <c r="C35" s="604"/>
      <c r="D35" s="604"/>
      <c r="E35" s="604"/>
      <c r="F35" s="605"/>
      <c r="G35" s="54" t="s">
        <v>272</v>
      </c>
      <c r="H35" s="55">
        <v>9000</v>
      </c>
      <c r="I35" s="55">
        <v>1710</v>
      </c>
      <c r="J35" s="55">
        <v>10710</v>
      </c>
    </row>
    <row r="36" spans="1:10" ht="15.75" customHeight="1">
      <c r="A36" s="53">
        <v>22</v>
      </c>
      <c r="B36" s="603" t="s">
        <v>297</v>
      </c>
      <c r="C36" s="604"/>
      <c r="D36" s="604"/>
      <c r="E36" s="604"/>
      <c r="F36" s="605"/>
      <c r="G36" s="54" t="s">
        <v>298</v>
      </c>
      <c r="H36" s="55">
        <v>9675</v>
      </c>
      <c r="I36" s="55">
        <v>1838</v>
      </c>
      <c r="J36" s="55">
        <v>11513</v>
      </c>
    </row>
    <row r="37" spans="1:10" ht="15.75" customHeight="1">
      <c r="A37" s="53">
        <v>23</v>
      </c>
      <c r="B37" s="603" t="s">
        <v>299</v>
      </c>
      <c r="C37" s="604"/>
      <c r="D37" s="604"/>
      <c r="E37" s="604"/>
      <c r="F37" s="605"/>
      <c r="G37" s="54" t="s">
        <v>298</v>
      </c>
      <c r="H37" s="55">
        <v>9675</v>
      </c>
      <c r="I37" s="55">
        <v>1838</v>
      </c>
      <c r="J37" s="55">
        <v>11513</v>
      </c>
    </row>
    <row r="38" spans="1:10" ht="15.75" customHeight="1">
      <c r="A38" s="53">
        <v>24</v>
      </c>
      <c r="B38" s="603" t="s">
        <v>300</v>
      </c>
      <c r="C38" s="604"/>
      <c r="D38" s="604"/>
      <c r="E38" s="604"/>
      <c r="F38" s="605"/>
      <c r="G38" s="54" t="s">
        <v>272</v>
      </c>
      <c r="H38" s="55">
        <v>24600</v>
      </c>
      <c r="I38" s="55">
        <v>4674</v>
      </c>
      <c r="J38" s="55">
        <v>29274</v>
      </c>
    </row>
    <row r="39" spans="1:10" ht="15.75" customHeight="1">
      <c r="A39" s="53">
        <v>25</v>
      </c>
      <c r="B39" s="603" t="s">
        <v>301</v>
      </c>
      <c r="C39" s="604"/>
      <c r="D39" s="604"/>
      <c r="E39" s="604"/>
      <c r="F39" s="605"/>
      <c r="G39" s="54" t="s">
        <v>302</v>
      </c>
      <c r="H39" s="55">
        <v>68750</v>
      </c>
      <c r="I39" s="55">
        <v>13063</v>
      </c>
      <c r="J39" s="55">
        <v>81813</v>
      </c>
    </row>
    <row r="40" spans="1:10" ht="15.75" customHeight="1">
      <c r="A40" s="53">
        <v>26</v>
      </c>
      <c r="B40" s="603" t="s">
        <v>303</v>
      </c>
      <c r="C40" s="604"/>
      <c r="D40" s="604"/>
      <c r="E40" s="604"/>
      <c r="F40" s="605"/>
      <c r="G40" s="54" t="s">
        <v>304</v>
      </c>
      <c r="H40" s="55">
        <v>45350</v>
      </c>
      <c r="I40" s="55">
        <v>8617</v>
      </c>
      <c r="J40" s="55">
        <v>53967</v>
      </c>
    </row>
    <row r="41" spans="1:10" ht="15.75" customHeight="1">
      <c r="A41" s="53">
        <v>27</v>
      </c>
      <c r="B41" s="606" t="s">
        <v>305</v>
      </c>
      <c r="C41" s="607"/>
      <c r="D41" s="607"/>
      <c r="E41" s="607"/>
      <c r="F41" s="608"/>
      <c r="G41" s="54" t="s">
        <v>272</v>
      </c>
      <c r="H41" s="55">
        <v>1315</v>
      </c>
      <c r="I41" s="56">
        <v>250</v>
      </c>
      <c r="J41" s="55">
        <v>1565</v>
      </c>
    </row>
    <row r="42" spans="1:10" ht="15.75" customHeight="1">
      <c r="A42" s="53">
        <v>28</v>
      </c>
      <c r="B42" s="603" t="s">
        <v>306</v>
      </c>
      <c r="C42" s="604"/>
      <c r="D42" s="604"/>
      <c r="E42" s="604"/>
      <c r="F42" s="605"/>
      <c r="G42" s="54" t="s">
        <v>272</v>
      </c>
      <c r="H42" s="55">
        <v>8125</v>
      </c>
      <c r="I42" s="55">
        <v>1544</v>
      </c>
      <c r="J42" s="55">
        <v>9669</v>
      </c>
    </row>
    <row r="43" spans="1:10" ht="15.75" customHeight="1">
      <c r="A43" s="53">
        <v>29</v>
      </c>
      <c r="B43" s="603" t="s">
        <v>307</v>
      </c>
      <c r="C43" s="604"/>
      <c r="D43" s="604"/>
      <c r="E43" s="604"/>
      <c r="F43" s="605"/>
      <c r="G43" s="54" t="s">
        <v>308</v>
      </c>
      <c r="H43" s="55">
        <v>1830</v>
      </c>
      <c r="I43" s="56">
        <v>348</v>
      </c>
      <c r="J43" s="55">
        <v>2178</v>
      </c>
    </row>
    <row r="44" spans="1:10" ht="15.75" customHeight="1">
      <c r="A44" s="53">
        <v>30</v>
      </c>
      <c r="B44" s="603" t="s">
        <v>309</v>
      </c>
      <c r="C44" s="604"/>
      <c r="D44" s="604"/>
      <c r="E44" s="604"/>
      <c r="F44" s="605"/>
      <c r="G44" s="54" t="s">
        <v>308</v>
      </c>
      <c r="H44" s="55">
        <v>1850</v>
      </c>
      <c r="I44" s="56">
        <v>352</v>
      </c>
      <c r="J44" s="55">
        <v>2202</v>
      </c>
    </row>
    <row r="45" spans="1:10" ht="15.75" customHeight="1">
      <c r="A45" s="53">
        <v>31</v>
      </c>
      <c r="B45" s="603" t="s">
        <v>310</v>
      </c>
      <c r="C45" s="604"/>
      <c r="D45" s="604"/>
      <c r="E45" s="604"/>
      <c r="F45" s="605"/>
      <c r="G45" s="54" t="s">
        <v>308</v>
      </c>
      <c r="H45" s="55">
        <v>5840</v>
      </c>
      <c r="I45" s="55">
        <v>1110</v>
      </c>
      <c r="J45" s="55">
        <v>6950</v>
      </c>
    </row>
    <row r="46" spans="1:10" ht="15.75" customHeight="1">
      <c r="A46" s="53">
        <v>32</v>
      </c>
      <c r="B46" s="603" t="s">
        <v>311</v>
      </c>
      <c r="C46" s="604"/>
      <c r="D46" s="604"/>
      <c r="E46" s="604"/>
      <c r="F46" s="605"/>
      <c r="G46" s="54" t="s">
        <v>308</v>
      </c>
      <c r="H46" s="56">
        <v>600</v>
      </c>
      <c r="I46" s="56">
        <v>114</v>
      </c>
      <c r="J46" s="56">
        <v>714</v>
      </c>
    </row>
    <row r="47" spans="1:10" ht="15.75" customHeight="1">
      <c r="A47" s="53">
        <v>33</v>
      </c>
      <c r="B47" s="603" t="s">
        <v>312</v>
      </c>
      <c r="C47" s="604"/>
      <c r="D47" s="604"/>
      <c r="E47" s="604"/>
      <c r="F47" s="605"/>
      <c r="G47" s="54" t="s">
        <v>308</v>
      </c>
      <c r="H47" s="55">
        <v>1845</v>
      </c>
      <c r="I47" s="56">
        <v>351</v>
      </c>
      <c r="J47" s="55">
        <v>2196</v>
      </c>
    </row>
    <row r="48" spans="1:10" ht="15.75" customHeight="1">
      <c r="A48" s="53">
        <v>34</v>
      </c>
      <c r="B48" s="606" t="s">
        <v>313</v>
      </c>
      <c r="C48" s="607"/>
      <c r="D48" s="607"/>
      <c r="E48" s="607"/>
      <c r="F48" s="608"/>
      <c r="G48" s="54" t="s">
        <v>272</v>
      </c>
      <c r="H48" s="55">
        <v>565100</v>
      </c>
      <c r="I48" s="55">
        <v>107369</v>
      </c>
      <c r="J48" s="55">
        <v>672469</v>
      </c>
    </row>
    <row r="49" spans="1:10" ht="15.75" customHeight="1">
      <c r="A49" s="53">
        <v>35</v>
      </c>
      <c r="B49" s="603" t="s">
        <v>314</v>
      </c>
      <c r="C49" s="604"/>
      <c r="D49" s="604"/>
      <c r="E49" s="604"/>
      <c r="F49" s="605"/>
      <c r="G49" s="54" t="s">
        <v>315</v>
      </c>
      <c r="H49" s="56">
        <v>760</v>
      </c>
      <c r="I49" s="56">
        <v>144</v>
      </c>
      <c r="J49" s="56">
        <v>904</v>
      </c>
    </row>
    <row r="50" spans="1:10" ht="15.75" customHeight="1">
      <c r="A50" s="53">
        <v>36</v>
      </c>
      <c r="B50" s="603" t="s">
        <v>316</v>
      </c>
      <c r="C50" s="604"/>
      <c r="D50" s="604"/>
      <c r="E50" s="604"/>
      <c r="F50" s="605"/>
      <c r="G50" s="54" t="s">
        <v>317</v>
      </c>
      <c r="H50" s="55">
        <v>2125</v>
      </c>
      <c r="I50" s="56">
        <v>404</v>
      </c>
      <c r="J50" s="55">
        <v>2529</v>
      </c>
    </row>
    <row r="51" spans="1:10" ht="15.75" customHeight="1">
      <c r="A51" s="53">
        <v>37</v>
      </c>
      <c r="B51" s="603" t="s">
        <v>318</v>
      </c>
      <c r="C51" s="604"/>
      <c r="D51" s="604"/>
      <c r="E51" s="604"/>
      <c r="F51" s="605"/>
      <c r="G51" s="54" t="s">
        <v>288</v>
      </c>
      <c r="H51" s="55">
        <v>2375</v>
      </c>
      <c r="I51" s="56">
        <v>451</v>
      </c>
      <c r="J51" s="55">
        <v>2826</v>
      </c>
    </row>
    <row r="52" spans="1:10" ht="15.75" customHeight="1">
      <c r="A52" s="53">
        <v>38</v>
      </c>
      <c r="B52" s="603" t="s">
        <v>319</v>
      </c>
      <c r="C52" s="604"/>
      <c r="D52" s="604"/>
      <c r="E52" s="604"/>
      <c r="F52" s="605"/>
      <c r="G52" s="54" t="s">
        <v>272</v>
      </c>
      <c r="H52" s="55">
        <v>1815</v>
      </c>
      <c r="I52" s="56">
        <v>345</v>
      </c>
      <c r="J52" s="55">
        <v>2160</v>
      </c>
    </row>
    <row r="53" spans="1:10" ht="15.75" customHeight="1">
      <c r="A53" s="53">
        <v>39</v>
      </c>
      <c r="B53" s="603" t="s">
        <v>320</v>
      </c>
      <c r="C53" s="604"/>
      <c r="D53" s="604"/>
      <c r="E53" s="604"/>
      <c r="F53" s="605"/>
      <c r="G53" s="54" t="s">
        <v>317</v>
      </c>
      <c r="H53" s="55">
        <v>7680</v>
      </c>
      <c r="I53" s="55">
        <v>1459</v>
      </c>
      <c r="J53" s="55">
        <v>9139</v>
      </c>
    </row>
    <row r="54" spans="1:10" ht="15.75" customHeight="1">
      <c r="A54" s="53">
        <v>40</v>
      </c>
      <c r="B54" s="606" t="s">
        <v>321</v>
      </c>
      <c r="C54" s="607"/>
      <c r="D54" s="607"/>
      <c r="E54" s="607"/>
      <c r="F54" s="608"/>
      <c r="G54" s="54" t="s">
        <v>272</v>
      </c>
      <c r="H54" s="55">
        <v>6690</v>
      </c>
      <c r="I54" s="55">
        <v>1271</v>
      </c>
      <c r="J54" s="55">
        <v>7961</v>
      </c>
    </row>
    <row r="55" spans="1:10" ht="15.75" customHeight="1">
      <c r="A55" s="53">
        <v>41</v>
      </c>
      <c r="B55" s="606" t="s">
        <v>322</v>
      </c>
      <c r="C55" s="607"/>
      <c r="D55" s="607"/>
      <c r="E55" s="607"/>
      <c r="F55" s="608"/>
      <c r="G55" s="54" t="s">
        <v>272</v>
      </c>
      <c r="H55" s="55">
        <v>109500</v>
      </c>
      <c r="I55" s="55">
        <v>20805</v>
      </c>
      <c r="J55" s="55">
        <v>130305</v>
      </c>
    </row>
    <row r="56" spans="1:10" ht="15.75" customHeight="1">
      <c r="A56" s="53">
        <v>42</v>
      </c>
      <c r="B56" s="603" t="s">
        <v>323</v>
      </c>
      <c r="C56" s="604"/>
      <c r="D56" s="604"/>
      <c r="E56" s="604"/>
      <c r="F56" s="605"/>
      <c r="G56" s="54" t="s">
        <v>272</v>
      </c>
      <c r="H56" s="55">
        <v>49950</v>
      </c>
      <c r="I56" s="55">
        <v>9491</v>
      </c>
      <c r="J56" s="55">
        <v>59441</v>
      </c>
    </row>
    <row r="57" spans="1:10" ht="15.75" customHeight="1">
      <c r="A57" s="53">
        <v>43</v>
      </c>
      <c r="B57" s="603" t="s">
        <v>324</v>
      </c>
      <c r="C57" s="604"/>
      <c r="D57" s="604"/>
      <c r="E57" s="604"/>
      <c r="F57" s="605"/>
      <c r="G57" s="54" t="s">
        <v>272</v>
      </c>
      <c r="H57" s="55">
        <v>682800</v>
      </c>
      <c r="I57" s="55">
        <v>129732</v>
      </c>
      <c r="J57" s="55">
        <v>812532</v>
      </c>
    </row>
    <row r="58" spans="1:10" ht="15.75" customHeight="1">
      <c r="A58" s="53">
        <v>44</v>
      </c>
      <c r="B58" s="603" t="s">
        <v>325</v>
      </c>
      <c r="C58" s="604"/>
      <c r="D58" s="604"/>
      <c r="E58" s="604"/>
      <c r="F58" s="605"/>
      <c r="G58" s="54" t="s">
        <v>326</v>
      </c>
      <c r="H58" s="55">
        <v>40500</v>
      </c>
      <c r="I58" s="55">
        <v>7695</v>
      </c>
      <c r="J58" s="55">
        <v>48195</v>
      </c>
    </row>
    <row r="59" spans="1:10" ht="15.75" customHeight="1">
      <c r="A59" s="53">
        <v>45</v>
      </c>
      <c r="B59" s="603" t="s">
        <v>327</v>
      </c>
      <c r="C59" s="604"/>
      <c r="D59" s="604"/>
      <c r="E59" s="604"/>
      <c r="F59" s="605"/>
      <c r="G59" s="54" t="s">
        <v>298</v>
      </c>
      <c r="H59" s="55">
        <v>2195</v>
      </c>
      <c r="I59" s="56">
        <v>417</v>
      </c>
      <c r="J59" s="55">
        <v>2612</v>
      </c>
    </row>
    <row r="60" spans="1:10" ht="15.75" customHeight="1">
      <c r="A60" s="53">
        <v>46</v>
      </c>
      <c r="B60" s="603" t="s">
        <v>328</v>
      </c>
      <c r="C60" s="604"/>
      <c r="D60" s="604"/>
      <c r="E60" s="604"/>
      <c r="F60" s="605"/>
      <c r="G60" s="54" t="s">
        <v>302</v>
      </c>
      <c r="H60" s="55">
        <v>6300</v>
      </c>
      <c r="I60" s="55">
        <v>1197</v>
      </c>
      <c r="J60" s="55">
        <v>7497</v>
      </c>
    </row>
    <row r="61" spans="1:10" ht="15.75" customHeight="1">
      <c r="A61" s="53">
        <v>47</v>
      </c>
      <c r="B61" s="603" t="s">
        <v>329</v>
      </c>
      <c r="C61" s="604"/>
      <c r="D61" s="604"/>
      <c r="E61" s="604"/>
      <c r="F61" s="605"/>
      <c r="G61" s="54" t="s">
        <v>298</v>
      </c>
      <c r="H61" s="55">
        <v>10700</v>
      </c>
      <c r="I61" s="55">
        <v>2033</v>
      </c>
      <c r="J61" s="55">
        <v>12733</v>
      </c>
    </row>
    <row r="62" spans="1:10" ht="15.75" customHeight="1">
      <c r="A62" s="53">
        <v>48</v>
      </c>
      <c r="B62" s="603" t="s">
        <v>330</v>
      </c>
      <c r="C62" s="604"/>
      <c r="D62" s="604"/>
      <c r="E62" s="604"/>
      <c r="F62" s="605"/>
      <c r="G62" s="54" t="s">
        <v>298</v>
      </c>
      <c r="H62" s="55">
        <v>12480</v>
      </c>
      <c r="I62" s="55">
        <v>2371</v>
      </c>
      <c r="J62" s="55">
        <v>14851</v>
      </c>
    </row>
    <row r="63" spans="1:10" ht="15.75" customHeight="1">
      <c r="A63" s="53">
        <v>49</v>
      </c>
      <c r="B63" s="606" t="s">
        <v>331</v>
      </c>
      <c r="C63" s="607"/>
      <c r="D63" s="607"/>
      <c r="E63" s="607"/>
      <c r="F63" s="608"/>
      <c r="G63" s="54" t="s">
        <v>332</v>
      </c>
      <c r="H63" s="55">
        <v>1930</v>
      </c>
      <c r="I63" s="56">
        <v>367</v>
      </c>
      <c r="J63" s="55">
        <v>2297</v>
      </c>
    </row>
    <row r="64" spans="1:10" ht="15.75" customHeight="1">
      <c r="A64" s="53">
        <v>50</v>
      </c>
      <c r="B64" s="603" t="s">
        <v>333</v>
      </c>
      <c r="C64" s="604"/>
      <c r="D64" s="604"/>
      <c r="E64" s="604"/>
      <c r="F64" s="605"/>
      <c r="G64" s="54" t="s">
        <v>334</v>
      </c>
      <c r="H64" s="55">
        <v>2400</v>
      </c>
      <c r="I64" s="56">
        <v>456</v>
      </c>
      <c r="J64" s="55">
        <v>2856</v>
      </c>
    </row>
    <row r="65" spans="1:10" ht="15.75" customHeight="1">
      <c r="A65" s="53">
        <v>51</v>
      </c>
      <c r="B65" s="603" t="s">
        <v>335</v>
      </c>
      <c r="C65" s="604"/>
      <c r="D65" s="604"/>
      <c r="E65" s="604"/>
      <c r="F65" s="605"/>
      <c r="G65" s="54" t="s">
        <v>315</v>
      </c>
      <c r="H65" s="55">
        <v>191000</v>
      </c>
      <c r="I65" s="55">
        <v>36290</v>
      </c>
      <c r="J65" s="55">
        <v>227290</v>
      </c>
    </row>
    <row r="66" spans="1:10" ht="15.75" customHeight="1">
      <c r="A66" s="53">
        <v>52</v>
      </c>
      <c r="B66" s="606" t="s">
        <v>336</v>
      </c>
      <c r="C66" s="607"/>
      <c r="D66" s="607"/>
      <c r="E66" s="607"/>
      <c r="F66" s="608"/>
      <c r="G66" s="54" t="s">
        <v>337</v>
      </c>
      <c r="H66" s="56">
        <v>940</v>
      </c>
      <c r="I66" s="56">
        <v>179</v>
      </c>
      <c r="J66" s="55">
        <v>1119</v>
      </c>
    </row>
    <row r="67" spans="1:10" ht="15.75" customHeight="1">
      <c r="A67" s="53">
        <v>53</v>
      </c>
      <c r="B67" s="603" t="s">
        <v>338</v>
      </c>
      <c r="C67" s="604"/>
      <c r="D67" s="604"/>
      <c r="E67" s="604"/>
      <c r="F67" s="605"/>
      <c r="G67" s="54" t="s">
        <v>272</v>
      </c>
      <c r="H67" s="55">
        <v>66250</v>
      </c>
      <c r="I67" s="55">
        <v>12588</v>
      </c>
      <c r="J67" s="55">
        <v>78838</v>
      </c>
    </row>
    <row r="68" spans="1:10" ht="15.75" customHeight="1">
      <c r="A68" s="57">
        <v>54</v>
      </c>
      <c r="B68" s="603" t="s">
        <v>339</v>
      </c>
      <c r="C68" s="604"/>
      <c r="D68" s="604"/>
      <c r="E68" s="604"/>
      <c r="F68" s="605"/>
      <c r="G68" s="58" t="s">
        <v>317</v>
      </c>
      <c r="H68" s="59">
        <v>3600</v>
      </c>
      <c r="I68" s="60">
        <v>0</v>
      </c>
      <c r="J68" s="59">
        <v>3600</v>
      </c>
    </row>
    <row r="69" spans="1:10" ht="15.75" customHeight="1">
      <c r="A69" s="57">
        <v>55</v>
      </c>
      <c r="B69" s="603" t="s">
        <v>340</v>
      </c>
      <c r="C69" s="604"/>
      <c r="D69" s="604"/>
      <c r="E69" s="604"/>
      <c r="F69" s="605"/>
      <c r="G69" s="58" t="s">
        <v>317</v>
      </c>
      <c r="H69" s="59">
        <v>4100</v>
      </c>
      <c r="I69" s="60">
        <v>0</v>
      </c>
      <c r="J69" s="59">
        <v>4100</v>
      </c>
    </row>
    <row r="70" spans="1:10" ht="15.75" customHeight="1">
      <c r="A70" s="53">
        <v>56</v>
      </c>
      <c r="B70" s="603" t="s">
        <v>341</v>
      </c>
      <c r="C70" s="604"/>
      <c r="D70" s="604"/>
      <c r="E70" s="604"/>
      <c r="F70" s="605"/>
      <c r="G70" s="54" t="s">
        <v>342</v>
      </c>
      <c r="H70" s="55">
        <v>13160</v>
      </c>
      <c r="I70" s="55">
        <v>2500</v>
      </c>
      <c r="J70" s="55">
        <v>15660</v>
      </c>
    </row>
    <row r="71" spans="1:10" ht="15.75" customHeight="1">
      <c r="A71" s="53">
        <v>57</v>
      </c>
      <c r="B71" s="603" t="s">
        <v>343</v>
      </c>
      <c r="C71" s="604"/>
      <c r="D71" s="604"/>
      <c r="E71" s="604"/>
      <c r="F71" s="605"/>
      <c r="G71" s="54" t="s">
        <v>342</v>
      </c>
      <c r="H71" s="55">
        <v>13180</v>
      </c>
      <c r="I71" s="55">
        <v>2504</v>
      </c>
      <c r="J71" s="55">
        <v>15684</v>
      </c>
    </row>
    <row r="72" spans="1:10" ht="15.75" customHeight="1">
      <c r="A72" s="53">
        <v>58</v>
      </c>
      <c r="B72" s="603" t="s">
        <v>344</v>
      </c>
      <c r="C72" s="604"/>
      <c r="D72" s="604"/>
      <c r="E72" s="604"/>
      <c r="F72" s="605"/>
      <c r="G72" s="54" t="s">
        <v>342</v>
      </c>
      <c r="H72" s="55">
        <v>15510</v>
      </c>
      <c r="I72" s="55">
        <v>2947</v>
      </c>
      <c r="J72" s="55">
        <v>18457</v>
      </c>
    </row>
    <row r="73" spans="1:10" ht="15.75" customHeight="1">
      <c r="A73" s="53">
        <v>59</v>
      </c>
      <c r="B73" s="603" t="s">
        <v>345</v>
      </c>
      <c r="C73" s="604"/>
      <c r="D73" s="604"/>
      <c r="E73" s="604"/>
      <c r="F73" s="605"/>
      <c r="G73" s="54" t="s">
        <v>342</v>
      </c>
      <c r="H73" s="55">
        <v>15510</v>
      </c>
      <c r="I73" s="55">
        <v>2947</v>
      </c>
      <c r="J73" s="55">
        <v>18457</v>
      </c>
    </row>
    <row r="74" spans="1:10" ht="15.75" customHeight="1">
      <c r="A74" s="57">
        <v>60</v>
      </c>
      <c r="B74" s="603" t="s">
        <v>346</v>
      </c>
      <c r="C74" s="604"/>
      <c r="D74" s="604"/>
      <c r="E74" s="604"/>
      <c r="F74" s="605"/>
      <c r="G74" s="58" t="s">
        <v>342</v>
      </c>
      <c r="H74" s="59">
        <v>12000</v>
      </c>
      <c r="I74" s="59">
        <v>2280</v>
      </c>
      <c r="J74" s="59">
        <v>14280</v>
      </c>
    </row>
    <row r="75" spans="1:10" ht="15.75" customHeight="1">
      <c r="A75" s="53">
        <v>61</v>
      </c>
      <c r="B75" s="603" t="s">
        <v>347</v>
      </c>
      <c r="C75" s="604"/>
      <c r="D75" s="604"/>
      <c r="E75" s="604"/>
      <c r="F75" s="605"/>
      <c r="G75" s="54" t="s">
        <v>272</v>
      </c>
      <c r="H75" s="55">
        <v>13500</v>
      </c>
      <c r="I75" s="55">
        <v>2565</v>
      </c>
      <c r="J75" s="55">
        <v>16065</v>
      </c>
    </row>
    <row r="76" spans="1:10" ht="15.75" customHeight="1">
      <c r="A76" s="53">
        <v>62</v>
      </c>
      <c r="B76" s="603" t="s">
        <v>348</v>
      </c>
      <c r="C76" s="604"/>
      <c r="D76" s="604"/>
      <c r="E76" s="604"/>
      <c r="F76" s="605"/>
      <c r="G76" s="54" t="s">
        <v>272</v>
      </c>
      <c r="H76" s="55">
        <v>22500</v>
      </c>
      <c r="I76" s="55">
        <v>4275</v>
      </c>
      <c r="J76" s="55">
        <v>26775</v>
      </c>
    </row>
    <row r="77" spans="1:10" ht="15.75" customHeight="1">
      <c r="A77" s="53">
        <v>63</v>
      </c>
      <c r="B77" s="603" t="s">
        <v>349</v>
      </c>
      <c r="C77" s="604"/>
      <c r="D77" s="604"/>
      <c r="E77" s="604"/>
      <c r="F77" s="605"/>
      <c r="G77" s="54" t="s">
        <v>272</v>
      </c>
      <c r="H77" s="55">
        <v>62800</v>
      </c>
      <c r="I77" s="55">
        <v>11932</v>
      </c>
      <c r="J77" s="55">
        <v>74732</v>
      </c>
    </row>
    <row r="78" spans="1:10" ht="15.75" customHeight="1">
      <c r="A78" s="53">
        <v>64</v>
      </c>
      <c r="B78" s="606" t="s">
        <v>350</v>
      </c>
      <c r="C78" s="607"/>
      <c r="D78" s="607"/>
      <c r="E78" s="607"/>
      <c r="F78" s="608"/>
      <c r="G78" s="54" t="s">
        <v>342</v>
      </c>
      <c r="H78" s="55">
        <v>6245</v>
      </c>
      <c r="I78" s="55">
        <v>1187</v>
      </c>
      <c r="J78" s="55">
        <v>7432</v>
      </c>
    </row>
    <row r="79" spans="1:10" ht="15.75" customHeight="1">
      <c r="A79" s="53">
        <v>65</v>
      </c>
      <c r="B79" s="603" t="s">
        <v>351</v>
      </c>
      <c r="C79" s="604"/>
      <c r="D79" s="604"/>
      <c r="E79" s="604"/>
      <c r="F79" s="605"/>
      <c r="G79" s="54" t="s">
        <v>342</v>
      </c>
      <c r="H79" s="55">
        <v>6330</v>
      </c>
      <c r="I79" s="55">
        <v>1203</v>
      </c>
      <c r="J79" s="55">
        <v>7533</v>
      </c>
    </row>
    <row r="80" spans="1:10" ht="15.75" customHeight="1">
      <c r="A80" s="53">
        <v>66</v>
      </c>
      <c r="B80" s="603" t="s">
        <v>352</v>
      </c>
      <c r="C80" s="604"/>
      <c r="D80" s="604"/>
      <c r="E80" s="604"/>
      <c r="F80" s="605"/>
      <c r="G80" s="54" t="s">
        <v>272</v>
      </c>
      <c r="H80" s="56">
        <v>490</v>
      </c>
      <c r="I80" s="56">
        <v>93</v>
      </c>
      <c r="J80" s="56">
        <v>583</v>
      </c>
    </row>
    <row r="81" spans="1:10" ht="15.75" customHeight="1">
      <c r="A81" s="53">
        <v>67</v>
      </c>
      <c r="B81" s="606" t="s">
        <v>353</v>
      </c>
      <c r="C81" s="607"/>
      <c r="D81" s="607"/>
      <c r="E81" s="607"/>
      <c r="F81" s="608"/>
      <c r="G81" s="54" t="s">
        <v>272</v>
      </c>
      <c r="H81" s="55">
        <v>1015</v>
      </c>
      <c r="I81" s="56">
        <v>193</v>
      </c>
      <c r="J81" s="55">
        <v>1208</v>
      </c>
    </row>
    <row r="82" spans="1:10" ht="15.75" customHeight="1">
      <c r="A82" s="53">
        <v>68</v>
      </c>
      <c r="B82" s="606" t="s">
        <v>354</v>
      </c>
      <c r="C82" s="607"/>
      <c r="D82" s="607"/>
      <c r="E82" s="607"/>
      <c r="F82" s="608"/>
      <c r="G82" s="54" t="s">
        <v>272</v>
      </c>
      <c r="H82" s="55">
        <v>1015</v>
      </c>
      <c r="I82" s="56">
        <v>193</v>
      </c>
      <c r="J82" s="55">
        <v>1208</v>
      </c>
    </row>
    <row r="83" spans="1:10" ht="15.75" customHeight="1">
      <c r="A83" s="53">
        <v>69</v>
      </c>
      <c r="B83" s="606" t="s">
        <v>355</v>
      </c>
      <c r="C83" s="607"/>
      <c r="D83" s="607"/>
      <c r="E83" s="607"/>
      <c r="F83" s="608"/>
      <c r="G83" s="54" t="s">
        <v>356</v>
      </c>
      <c r="H83" s="55">
        <v>4105</v>
      </c>
      <c r="I83" s="56">
        <v>780</v>
      </c>
      <c r="J83" s="55">
        <v>4885</v>
      </c>
    </row>
    <row r="84" spans="1:10" ht="15.75" customHeight="1">
      <c r="A84" s="53">
        <v>70</v>
      </c>
      <c r="B84" s="603" t="s">
        <v>357</v>
      </c>
      <c r="C84" s="604"/>
      <c r="D84" s="604"/>
      <c r="E84" s="604"/>
      <c r="F84" s="605"/>
      <c r="G84" s="54" t="s">
        <v>356</v>
      </c>
      <c r="H84" s="55">
        <v>3210</v>
      </c>
      <c r="I84" s="56">
        <v>610</v>
      </c>
      <c r="J84" s="55">
        <v>3820</v>
      </c>
    </row>
    <row r="85" spans="1:10" ht="15.75" customHeight="1">
      <c r="A85" s="53">
        <v>71</v>
      </c>
      <c r="B85" s="606" t="s">
        <v>358</v>
      </c>
      <c r="C85" s="607"/>
      <c r="D85" s="607"/>
      <c r="E85" s="607"/>
      <c r="F85" s="608"/>
      <c r="G85" s="54" t="s">
        <v>272</v>
      </c>
      <c r="H85" s="55">
        <v>277051</v>
      </c>
      <c r="I85" s="55">
        <v>52640</v>
      </c>
      <c r="J85" s="55">
        <v>329691</v>
      </c>
    </row>
    <row r="86" spans="1:10" ht="15.75" customHeight="1">
      <c r="A86" s="53">
        <v>72</v>
      </c>
      <c r="B86" s="606" t="s">
        <v>359</v>
      </c>
      <c r="C86" s="607"/>
      <c r="D86" s="607"/>
      <c r="E86" s="607"/>
      <c r="F86" s="608"/>
      <c r="G86" s="76" t="s">
        <v>360</v>
      </c>
      <c r="H86" s="55">
        <v>132770</v>
      </c>
      <c r="I86" s="55">
        <v>25226</v>
      </c>
      <c r="J86" s="55">
        <v>157996</v>
      </c>
    </row>
    <row r="87" spans="1:10" ht="15.75" customHeight="1">
      <c r="A87" s="53">
        <v>73</v>
      </c>
      <c r="B87" s="606" t="s">
        <v>361</v>
      </c>
      <c r="C87" s="607"/>
      <c r="D87" s="607"/>
      <c r="E87" s="607"/>
      <c r="F87" s="608"/>
      <c r="G87" s="54" t="s">
        <v>362</v>
      </c>
      <c r="H87" s="55">
        <v>163860</v>
      </c>
      <c r="I87" s="55">
        <v>31133</v>
      </c>
      <c r="J87" s="55">
        <v>194993</v>
      </c>
    </row>
    <row r="88" spans="1:10" ht="15.75" customHeight="1">
      <c r="A88" s="53">
        <v>74</v>
      </c>
      <c r="B88" s="606" t="s">
        <v>363</v>
      </c>
      <c r="C88" s="607"/>
      <c r="D88" s="607"/>
      <c r="E88" s="607"/>
      <c r="F88" s="608"/>
      <c r="G88" s="54" t="s">
        <v>364</v>
      </c>
      <c r="H88" s="55">
        <v>45000</v>
      </c>
      <c r="I88" s="55">
        <v>8550</v>
      </c>
      <c r="J88" s="55">
        <v>53550</v>
      </c>
    </row>
    <row r="89" spans="1:10" ht="15.75" customHeight="1">
      <c r="A89" s="53">
        <v>75</v>
      </c>
      <c r="B89" s="603" t="s">
        <v>365</v>
      </c>
      <c r="C89" s="604"/>
      <c r="D89" s="604"/>
      <c r="E89" s="604"/>
      <c r="F89" s="605"/>
      <c r="G89" s="54" t="s">
        <v>298</v>
      </c>
      <c r="H89" s="55">
        <v>48250</v>
      </c>
      <c r="I89" s="55">
        <v>9168</v>
      </c>
      <c r="J89" s="55">
        <v>57418</v>
      </c>
    </row>
    <row r="90" spans="1:10" ht="15.75" customHeight="1">
      <c r="A90" s="53">
        <v>76</v>
      </c>
      <c r="B90" s="603" t="s">
        <v>366</v>
      </c>
      <c r="C90" s="604"/>
      <c r="D90" s="604"/>
      <c r="E90" s="604"/>
      <c r="F90" s="605"/>
      <c r="G90" s="54" t="s">
        <v>367</v>
      </c>
      <c r="H90" s="55">
        <v>10000</v>
      </c>
      <c r="I90" s="55">
        <v>1900</v>
      </c>
      <c r="J90" s="55">
        <v>11900</v>
      </c>
    </row>
    <row r="91" spans="1:10" ht="15.75" customHeight="1">
      <c r="A91" s="53">
        <v>77</v>
      </c>
      <c r="B91" s="606" t="s">
        <v>368</v>
      </c>
      <c r="C91" s="607"/>
      <c r="D91" s="607"/>
      <c r="E91" s="607"/>
      <c r="F91" s="608"/>
      <c r="G91" s="54" t="s">
        <v>308</v>
      </c>
      <c r="H91" s="55">
        <v>60135</v>
      </c>
      <c r="I91" s="55">
        <v>11426</v>
      </c>
      <c r="J91" s="55">
        <v>71561</v>
      </c>
    </row>
    <row r="92" spans="1:10" ht="15.75" customHeight="1">
      <c r="A92" s="53">
        <v>78</v>
      </c>
      <c r="B92" s="603" t="s">
        <v>369</v>
      </c>
      <c r="C92" s="604"/>
      <c r="D92" s="604"/>
      <c r="E92" s="604"/>
      <c r="F92" s="605"/>
      <c r="G92" s="54" t="s">
        <v>370</v>
      </c>
      <c r="H92" s="56">
        <v>200</v>
      </c>
      <c r="I92" s="61">
        <v>0</v>
      </c>
      <c r="J92" s="56">
        <v>200</v>
      </c>
    </row>
    <row r="93" spans="1:10" ht="15.75" customHeight="1">
      <c r="A93" s="53">
        <v>79</v>
      </c>
      <c r="B93" s="603" t="s">
        <v>371</v>
      </c>
      <c r="C93" s="604"/>
      <c r="D93" s="604"/>
      <c r="E93" s="604"/>
      <c r="F93" s="605"/>
      <c r="G93" s="54" t="s">
        <v>272</v>
      </c>
      <c r="H93" s="55">
        <v>1375</v>
      </c>
      <c r="I93" s="56">
        <v>261</v>
      </c>
      <c r="J93" s="55">
        <v>1636</v>
      </c>
    </row>
    <row r="94" spans="1:10" ht="15.75" customHeight="1">
      <c r="A94" s="53">
        <v>80</v>
      </c>
      <c r="B94" s="603" t="s">
        <v>372</v>
      </c>
      <c r="C94" s="604"/>
      <c r="D94" s="604"/>
      <c r="E94" s="604"/>
      <c r="F94" s="605"/>
      <c r="G94" s="54" t="s">
        <v>272</v>
      </c>
      <c r="H94" s="55">
        <v>8035</v>
      </c>
      <c r="I94" s="55">
        <v>1527</v>
      </c>
      <c r="J94" s="55">
        <v>9562</v>
      </c>
    </row>
    <row r="95" spans="1:10" ht="15.75" customHeight="1">
      <c r="A95" s="53">
        <v>81</v>
      </c>
      <c r="B95" s="603" t="s">
        <v>373</v>
      </c>
      <c r="C95" s="604"/>
      <c r="D95" s="604"/>
      <c r="E95" s="604"/>
      <c r="F95" s="605"/>
      <c r="G95" s="54" t="s">
        <v>272</v>
      </c>
      <c r="H95" s="55">
        <v>8740</v>
      </c>
      <c r="I95" s="55">
        <v>1661</v>
      </c>
      <c r="J95" s="55">
        <v>10401</v>
      </c>
    </row>
    <row r="96" spans="1:10" ht="15.75" customHeight="1">
      <c r="A96" s="57">
        <v>82</v>
      </c>
      <c r="B96" s="603" t="s">
        <v>374</v>
      </c>
      <c r="C96" s="604"/>
      <c r="D96" s="604"/>
      <c r="E96" s="604"/>
      <c r="F96" s="605"/>
      <c r="G96" s="58" t="s">
        <v>272</v>
      </c>
      <c r="H96" s="59">
        <v>71400</v>
      </c>
      <c r="I96" s="59">
        <v>13566</v>
      </c>
      <c r="J96" s="59">
        <v>84966</v>
      </c>
    </row>
    <row r="97" spans="1:10" ht="15.75" customHeight="1">
      <c r="A97" s="53">
        <v>83</v>
      </c>
      <c r="B97" s="603" t="s">
        <v>375</v>
      </c>
      <c r="C97" s="604"/>
      <c r="D97" s="604"/>
      <c r="E97" s="604"/>
      <c r="F97" s="605"/>
      <c r="G97" s="54" t="s">
        <v>272</v>
      </c>
      <c r="H97" s="55">
        <v>14800</v>
      </c>
      <c r="I97" s="55">
        <v>2812</v>
      </c>
      <c r="J97" s="55">
        <v>17612</v>
      </c>
    </row>
    <row r="98" spans="1:10" ht="15.75" customHeight="1">
      <c r="A98" s="53">
        <v>84</v>
      </c>
      <c r="B98" s="603" t="s">
        <v>376</v>
      </c>
      <c r="C98" s="604"/>
      <c r="D98" s="604"/>
      <c r="E98" s="604"/>
      <c r="F98" s="605"/>
      <c r="G98" s="54" t="s">
        <v>377</v>
      </c>
      <c r="H98" s="55">
        <v>4400</v>
      </c>
      <c r="I98" s="56">
        <v>836</v>
      </c>
      <c r="J98" s="55">
        <v>5236</v>
      </c>
    </row>
    <row r="99" spans="1:10" ht="15.75" customHeight="1">
      <c r="A99" s="53">
        <v>85</v>
      </c>
      <c r="B99" s="603" t="s">
        <v>378</v>
      </c>
      <c r="C99" s="604"/>
      <c r="D99" s="604"/>
      <c r="E99" s="604"/>
      <c r="F99" s="605"/>
      <c r="G99" s="54" t="s">
        <v>377</v>
      </c>
      <c r="H99" s="55">
        <v>4400</v>
      </c>
      <c r="I99" s="56">
        <v>836</v>
      </c>
      <c r="J99" s="55">
        <v>5236</v>
      </c>
    </row>
    <row r="100" spans="1:10" ht="15.75" customHeight="1">
      <c r="A100" s="53">
        <v>86</v>
      </c>
      <c r="B100" s="603" t="s">
        <v>379</v>
      </c>
      <c r="C100" s="604"/>
      <c r="D100" s="604"/>
      <c r="E100" s="604"/>
      <c r="F100" s="605"/>
      <c r="G100" s="54" t="s">
        <v>377</v>
      </c>
      <c r="H100" s="55">
        <v>18390</v>
      </c>
      <c r="I100" s="55">
        <v>3494</v>
      </c>
      <c r="J100" s="55">
        <v>21884</v>
      </c>
    </row>
    <row r="101" spans="1:10" ht="15.75" customHeight="1">
      <c r="A101" s="53">
        <v>87</v>
      </c>
      <c r="B101" s="603" t="s">
        <v>380</v>
      </c>
      <c r="C101" s="604"/>
      <c r="D101" s="604"/>
      <c r="E101" s="604"/>
      <c r="F101" s="605"/>
      <c r="G101" s="54" t="s">
        <v>377</v>
      </c>
      <c r="H101" s="55">
        <v>12660</v>
      </c>
      <c r="I101" s="55">
        <v>2405</v>
      </c>
      <c r="J101" s="55">
        <v>15065</v>
      </c>
    </row>
    <row r="102" spans="1:10" ht="15.75" customHeight="1">
      <c r="A102" s="53">
        <v>88</v>
      </c>
      <c r="B102" s="603" t="s">
        <v>381</v>
      </c>
      <c r="C102" s="604"/>
      <c r="D102" s="604"/>
      <c r="E102" s="604"/>
      <c r="F102" s="605"/>
      <c r="G102" s="54" t="s">
        <v>377</v>
      </c>
      <c r="H102" s="55">
        <v>15000</v>
      </c>
      <c r="I102" s="55">
        <v>2850</v>
      </c>
      <c r="J102" s="55">
        <v>17850</v>
      </c>
    </row>
    <row r="103" spans="1:10" ht="15.75" customHeight="1">
      <c r="A103" s="53">
        <v>89</v>
      </c>
      <c r="B103" s="603" t="s">
        <v>382</v>
      </c>
      <c r="C103" s="604"/>
      <c r="D103" s="604"/>
      <c r="E103" s="604"/>
      <c r="F103" s="605"/>
      <c r="G103" s="54" t="s">
        <v>272</v>
      </c>
      <c r="H103" s="56">
        <v>250</v>
      </c>
      <c r="I103" s="56">
        <v>48</v>
      </c>
      <c r="J103" s="56">
        <v>298</v>
      </c>
    </row>
    <row r="104" spans="1:10" ht="15.75" customHeight="1">
      <c r="A104" s="53">
        <v>90</v>
      </c>
      <c r="B104" s="603" t="s">
        <v>383</v>
      </c>
      <c r="C104" s="604"/>
      <c r="D104" s="604"/>
      <c r="E104" s="604"/>
      <c r="F104" s="605"/>
      <c r="G104" s="54" t="s">
        <v>272</v>
      </c>
      <c r="H104" s="56">
        <v>695</v>
      </c>
      <c r="I104" s="56">
        <v>132</v>
      </c>
      <c r="J104" s="56">
        <v>827</v>
      </c>
    </row>
    <row r="105" spans="1:10" ht="15.75" customHeight="1">
      <c r="A105" s="53">
        <v>91</v>
      </c>
      <c r="B105" s="606" t="s">
        <v>384</v>
      </c>
      <c r="C105" s="607"/>
      <c r="D105" s="607"/>
      <c r="E105" s="607"/>
      <c r="F105" s="608"/>
      <c r="G105" s="54" t="s">
        <v>272</v>
      </c>
      <c r="H105" s="56">
        <v>850</v>
      </c>
      <c r="I105" s="56">
        <v>162</v>
      </c>
      <c r="J105" s="55">
        <v>1012</v>
      </c>
    </row>
    <row r="106" spans="1:10" ht="15.75" customHeight="1">
      <c r="A106" s="53">
        <v>92</v>
      </c>
      <c r="B106" s="603" t="s">
        <v>385</v>
      </c>
      <c r="C106" s="604"/>
      <c r="D106" s="604"/>
      <c r="E106" s="604"/>
      <c r="F106" s="605"/>
      <c r="G106" s="54" t="s">
        <v>272</v>
      </c>
      <c r="H106" s="56">
        <v>385</v>
      </c>
      <c r="I106" s="56">
        <v>73</v>
      </c>
      <c r="J106" s="56">
        <v>458</v>
      </c>
    </row>
    <row r="107" spans="1:10" ht="15.75" customHeight="1">
      <c r="A107" s="53">
        <v>93</v>
      </c>
      <c r="B107" s="603" t="s">
        <v>386</v>
      </c>
      <c r="C107" s="604"/>
      <c r="D107" s="604"/>
      <c r="E107" s="604"/>
      <c r="F107" s="605"/>
      <c r="G107" s="54" t="s">
        <v>342</v>
      </c>
      <c r="H107" s="55">
        <v>10500</v>
      </c>
      <c r="I107" s="55">
        <v>1995</v>
      </c>
      <c r="J107" s="55">
        <v>12495</v>
      </c>
    </row>
    <row r="108" spans="1:10" ht="15.75" customHeight="1">
      <c r="A108" s="53">
        <v>94</v>
      </c>
      <c r="B108" s="603" t="s">
        <v>387</v>
      </c>
      <c r="C108" s="604"/>
      <c r="D108" s="604"/>
      <c r="E108" s="604"/>
      <c r="F108" s="605"/>
      <c r="G108" s="54" t="s">
        <v>272</v>
      </c>
      <c r="H108" s="55">
        <v>7700</v>
      </c>
      <c r="I108" s="55">
        <v>1463</v>
      </c>
      <c r="J108" s="55">
        <v>9163</v>
      </c>
    </row>
    <row r="109" spans="1:10" ht="15.75" customHeight="1">
      <c r="A109" s="53">
        <v>95</v>
      </c>
      <c r="B109" s="606" t="s">
        <v>388</v>
      </c>
      <c r="C109" s="607"/>
      <c r="D109" s="607"/>
      <c r="E109" s="607"/>
      <c r="F109" s="608"/>
      <c r="G109" s="54" t="s">
        <v>272</v>
      </c>
      <c r="H109" s="55">
        <v>1270</v>
      </c>
      <c r="I109" s="56">
        <v>241</v>
      </c>
      <c r="J109" s="55">
        <v>1511</v>
      </c>
    </row>
    <row r="110" spans="1:10" ht="15.75" customHeight="1">
      <c r="A110" s="53">
        <v>96</v>
      </c>
      <c r="B110" s="603" t="s">
        <v>389</v>
      </c>
      <c r="C110" s="604"/>
      <c r="D110" s="604"/>
      <c r="E110" s="604"/>
      <c r="F110" s="605"/>
      <c r="G110" s="54" t="s">
        <v>302</v>
      </c>
      <c r="H110" s="55">
        <v>18500</v>
      </c>
      <c r="I110" s="55">
        <v>3515</v>
      </c>
      <c r="J110" s="55">
        <v>22015</v>
      </c>
    </row>
    <row r="111" spans="1:10" ht="15.75" customHeight="1">
      <c r="A111" s="53">
        <v>97</v>
      </c>
      <c r="B111" s="606" t="s">
        <v>390</v>
      </c>
      <c r="C111" s="607"/>
      <c r="D111" s="607"/>
      <c r="E111" s="607"/>
      <c r="F111" s="608"/>
      <c r="G111" s="54" t="s">
        <v>302</v>
      </c>
      <c r="H111" s="55">
        <v>24000</v>
      </c>
      <c r="I111" s="55">
        <v>4560</v>
      </c>
      <c r="J111" s="55">
        <v>28560</v>
      </c>
    </row>
    <row r="112" spans="1:10" ht="15.75" customHeight="1">
      <c r="A112" s="53">
        <v>98</v>
      </c>
      <c r="B112" s="603" t="s">
        <v>391</v>
      </c>
      <c r="C112" s="604"/>
      <c r="D112" s="604"/>
      <c r="E112" s="604"/>
      <c r="F112" s="605"/>
      <c r="G112" s="54" t="s">
        <v>302</v>
      </c>
      <c r="H112" s="55">
        <v>8400</v>
      </c>
      <c r="I112" s="55">
        <v>1596</v>
      </c>
      <c r="J112" s="55">
        <v>9996</v>
      </c>
    </row>
    <row r="113" spans="1:10" ht="15.75" customHeight="1">
      <c r="A113" s="53">
        <v>99</v>
      </c>
      <c r="B113" s="603" t="s">
        <v>392</v>
      </c>
      <c r="C113" s="604"/>
      <c r="D113" s="604"/>
      <c r="E113" s="604"/>
      <c r="F113" s="605"/>
      <c r="G113" s="54" t="s">
        <v>393</v>
      </c>
      <c r="H113" s="55">
        <v>11250</v>
      </c>
      <c r="I113" s="55">
        <v>2138</v>
      </c>
      <c r="J113" s="55">
        <v>13388</v>
      </c>
    </row>
    <row r="114" spans="1:10" ht="15.75" customHeight="1">
      <c r="A114" s="53">
        <v>100</v>
      </c>
      <c r="B114" s="603" t="s">
        <v>394</v>
      </c>
      <c r="C114" s="604"/>
      <c r="D114" s="604"/>
      <c r="E114" s="604"/>
      <c r="F114" s="605"/>
      <c r="G114" s="54" t="s">
        <v>393</v>
      </c>
      <c r="H114" s="55">
        <v>6300</v>
      </c>
      <c r="I114" s="55">
        <v>1197</v>
      </c>
      <c r="J114" s="55">
        <v>7497</v>
      </c>
    </row>
    <row r="115" spans="1:10" ht="15.75" customHeight="1">
      <c r="A115" s="53">
        <v>101</v>
      </c>
      <c r="B115" s="603" t="s">
        <v>395</v>
      </c>
      <c r="C115" s="604"/>
      <c r="D115" s="604"/>
      <c r="E115" s="604"/>
      <c r="F115" s="605"/>
      <c r="G115" s="54" t="s">
        <v>302</v>
      </c>
      <c r="H115" s="55">
        <v>12800</v>
      </c>
      <c r="I115" s="55">
        <v>2432</v>
      </c>
      <c r="J115" s="55">
        <v>15232</v>
      </c>
    </row>
    <row r="116" spans="1:10" ht="15.75" customHeight="1">
      <c r="A116" s="57">
        <v>102</v>
      </c>
      <c r="B116" s="603" t="s">
        <v>396</v>
      </c>
      <c r="C116" s="604"/>
      <c r="D116" s="604"/>
      <c r="E116" s="604"/>
      <c r="F116" s="605"/>
      <c r="G116" s="58" t="s">
        <v>272</v>
      </c>
      <c r="H116" s="59">
        <v>4520</v>
      </c>
      <c r="I116" s="62">
        <v>859</v>
      </c>
      <c r="J116" s="59">
        <v>5379</v>
      </c>
    </row>
    <row r="117" spans="1:10" ht="15.75" customHeight="1">
      <c r="A117" s="53">
        <v>103</v>
      </c>
      <c r="B117" s="603" t="s">
        <v>397</v>
      </c>
      <c r="C117" s="604"/>
      <c r="D117" s="604"/>
      <c r="E117" s="604"/>
      <c r="F117" s="605"/>
      <c r="G117" s="54" t="s">
        <v>272</v>
      </c>
      <c r="H117" s="55">
        <v>110295</v>
      </c>
      <c r="I117" s="55">
        <v>20956</v>
      </c>
      <c r="J117" s="55">
        <v>131251</v>
      </c>
    </row>
    <row r="118" spans="1:10" ht="15.75" customHeight="1">
      <c r="A118" s="53">
        <v>104</v>
      </c>
      <c r="B118" s="606" t="s">
        <v>398</v>
      </c>
      <c r="C118" s="607"/>
      <c r="D118" s="607"/>
      <c r="E118" s="607"/>
      <c r="F118" s="608"/>
      <c r="G118" s="54" t="s">
        <v>272</v>
      </c>
      <c r="H118" s="55">
        <v>287500</v>
      </c>
      <c r="I118" s="55">
        <v>54625</v>
      </c>
      <c r="J118" s="55">
        <v>342125</v>
      </c>
    </row>
    <row r="119" spans="1:10" ht="15.75" customHeight="1">
      <c r="A119" s="53">
        <v>105</v>
      </c>
      <c r="B119" s="606" t="s">
        <v>399</v>
      </c>
      <c r="C119" s="607"/>
      <c r="D119" s="607"/>
      <c r="E119" s="607"/>
      <c r="F119" s="608"/>
      <c r="G119" s="54" t="s">
        <v>272</v>
      </c>
      <c r="H119" s="55">
        <v>153136</v>
      </c>
      <c r="I119" s="55">
        <v>29096</v>
      </c>
      <c r="J119" s="55">
        <v>182232</v>
      </c>
    </row>
    <row r="120" spans="1:10" ht="15.75" customHeight="1">
      <c r="A120" s="53">
        <v>106</v>
      </c>
      <c r="B120" s="603" t="s">
        <v>400</v>
      </c>
      <c r="C120" s="604"/>
      <c r="D120" s="604"/>
      <c r="E120" s="604"/>
      <c r="F120" s="605"/>
      <c r="G120" s="54" t="s">
        <v>272</v>
      </c>
      <c r="H120" s="55">
        <v>99750</v>
      </c>
      <c r="I120" s="55">
        <v>18953</v>
      </c>
      <c r="J120" s="55">
        <v>118703</v>
      </c>
    </row>
    <row r="121" spans="1:10" ht="15.75" customHeight="1">
      <c r="A121" s="53">
        <v>107</v>
      </c>
      <c r="B121" s="606" t="s">
        <v>401</v>
      </c>
      <c r="C121" s="607"/>
      <c r="D121" s="607"/>
      <c r="E121" s="607"/>
      <c r="F121" s="608"/>
      <c r="G121" s="54" t="s">
        <v>285</v>
      </c>
      <c r="H121" s="55">
        <v>5550</v>
      </c>
      <c r="I121" s="55">
        <v>1055</v>
      </c>
      <c r="J121" s="55">
        <v>6605</v>
      </c>
    </row>
    <row r="122" spans="1:10" ht="15.75" customHeight="1">
      <c r="A122" s="53">
        <v>108</v>
      </c>
      <c r="B122" s="603" t="s">
        <v>402</v>
      </c>
      <c r="C122" s="604"/>
      <c r="D122" s="604"/>
      <c r="E122" s="604"/>
      <c r="F122" s="605"/>
      <c r="G122" s="54" t="s">
        <v>288</v>
      </c>
      <c r="H122" s="55">
        <v>7550</v>
      </c>
      <c r="I122" s="55">
        <v>1435</v>
      </c>
      <c r="J122" s="55">
        <v>8985</v>
      </c>
    </row>
    <row r="123" spans="1:10" ht="15.75" customHeight="1">
      <c r="A123" s="53">
        <v>109</v>
      </c>
      <c r="B123" s="606" t="s">
        <v>403</v>
      </c>
      <c r="C123" s="607"/>
      <c r="D123" s="607"/>
      <c r="E123" s="607"/>
      <c r="F123" s="608"/>
      <c r="G123" s="54" t="s">
        <v>302</v>
      </c>
      <c r="H123" s="63">
        <v>38500</v>
      </c>
      <c r="I123" s="63">
        <v>7315</v>
      </c>
      <c r="J123" s="63">
        <v>45815</v>
      </c>
    </row>
    <row r="124" spans="1:10" ht="15.75" customHeight="1">
      <c r="A124" s="53">
        <v>110</v>
      </c>
      <c r="B124" s="603" t="s">
        <v>404</v>
      </c>
      <c r="C124" s="604"/>
      <c r="D124" s="604"/>
      <c r="E124" s="604"/>
      <c r="F124" s="605"/>
      <c r="G124" s="54" t="s">
        <v>272</v>
      </c>
      <c r="H124" s="55">
        <v>2940</v>
      </c>
      <c r="I124" s="56">
        <v>559</v>
      </c>
      <c r="J124" s="55">
        <v>3499</v>
      </c>
    </row>
    <row r="125" spans="1:10" ht="15.75" customHeight="1">
      <c r="A125" s="53">
        <v>111</v>
      </c>
      <c r="B125" s="603" t="s">
        <v>405</v>
      </c>
      <c r="C125" s="604"/>
      <c r="D125" s="604"/>
      <c r="E125" s="604"/>
      <c r="F125" s="605"/>
      <c r="G125" s="54" t="s">
        <v>272</v>
      </c>
      <c r="H125" s="56">
        <v>650</v>
      </c>
      <c r="I125" s="56">
        <v>124</v>
      </c>
      <c r="J125" s="56">
        <v>774</v>
      </c>
    </row>
    <row r="126" spans="1:10" ht="15.75" customHeight="1">
      <c r="A126" s="53">
        <v>112</v>
      </c>
      <c r="B126" s="603" t="s">
        <v>406</v>
      </c>
      <c r="C126" s="604"/>
      <c r="D126" s="604"/>
      <c r="E126" s="604"/>
      <c r="F126" s="605"/>
      <c r="G126" s="54" t="s">
        <v>272</v>
      </c>
      <c r="H126" s="55">
        <v>1058750</v>
      </c>
      <c r="I126" s="55">
        <v>201163</v>
      </c>
      <c r="J126" s="55">
        <v>1259913</v>
      </c>
    </row>
    <row r="127" spans="1:10" ht="15.75" customHeight="1">
      <c r="A127" s="53">
        <v>113</v>
      </c>
      <c r="B127" s="603" t="s">
        <v>407</v>
      </c>
      <c r="C127" s="604"/>
      <c r="D127" s="604"/>
      <c r="E127" s="604"/>
      <c r="F127" s="605"/>
      <c r="G127" s="54" t="s">
        <v>272</v>
      </c>
      <c r="H127" s="55">
        <v>1058750</v>
      </c>
      <c r="I127" s="55">
        <v>201163</v>
      </c>
      <c r="J127" s="55">
        <v>1259913</v>
      </c>
    </row>
    <row r="128" spans="1:10" ht="15.75" customHeight="1">
      <c r="A128" s="53">
        <v>114</v>
      </c>
      <c r="B128" s="603" t="s">
        <v>408</v>
      </c>
      <c r="C128" s="604"/>
      <c r="D128" s="604"/>
      <c r="E128" s="604"/>
      <c r="F128" s="605"/>
      <c r="G128" s="54" t="s">
        <v>272</v>
      </c>
      <c r="H128" s="55">
        <v>1058750</v>
      </c>
      <c r="I128" s="55">
        <v>201163</v>
      </c>
      <c r="J128" s="55">
        <v>1259913</v>
      </c>
    </row>
    <row r="129" spans="1:10" ht="15.75" customHeight="1">
      <c r="A129" s="53">
        <v>115</v>
      </c>
      <c r="B129" s="603" t="s">
        <v>409</v>
      </c>
      <c r="C129" s="604"/>
      <c r="D129" s="604"/>
      <c r="E129" s="604"/>
      <c r="F129" s="605"/>
      <c r="G129" s="54" t="s">
        <v>272</v>
      </c>
      <c r="H129" s="55">
        <v>1058750</v>
      </c>
      <c r="I129" s="55">
        <v>201163</v>
      </c>
      <c r="J129" s="55">
        <v>1259913</v>
      </c>
    </row>
    <row r="130" spans="1:10" ht="15.75" customHeight="1">
      <c r="A130" s="53">
        <v>116</v>
      </c>
      <c r="B130" s="603" t="s">
        <v>410</v>
      </c>
      <c r="C130" s="604"/>
      <c r="D130" s="604"/>
      <c r="E130" s="604"/>
      <c r="F130" s="605"/>
      <c r="G130" s="54" t="s">
        <v>272</v>
      </c>
      <c r="H130" s="55">
        <v>1058750</v>
      </c>
      <c r="I130" s="55">
        <v>201163</v>
      </c>
      <c r="J130" s="55">
        <v>1259913</v>
      </c>
    </row>
    <row r="131" spans="1:10" ht="15.75" customHeight="1">
      <c r="A131" s="53">
        <v>117</v>
      </c>
      <c r="B131" s="603" t="s">
        <v>411</v>
      </c>
      <c r="C131" s="604"/>
      <c r="D131" s="604"/>
      <c r="E131" s="604"/>
      <c r="F131" s="605"/>
      <c r="G131" s="54" t="s">
        <v>272</v>
      </c>
      <c r="H131" s="55">
        <v>1058750</v>
      </c>
      <c r="I131" s="55">
        <v>201163</v>
      </c>
      <c r="J131" s="55">
        <v>1259913</v>
      </c>
    </row>
    <row r="132" spans="1:10" ht="15.75" customHeight="1">
      <c r="A132" s="53">
        <v>118</v>
      </c>
      <c r="B132" s="603" t="s">
        <v>412</v>
      </c>
      <c r="C132" s="604"/>
      <c r="D132" s="604"/>
      <c r="E132" s="604"/>
      <c r="F132" s="605"/>
      <c r="G132" s="54" t="s">
        <v>272</v>
      </c>
      <c r="H132" s="55">
        <v>1625</v>
      </c>
      <c r="I132" s="56">
        <v>309</v>
      </c>
      <c r="J132" s="55">
        <v>1934</v>
      </c>
    </row>
    <row r="133" spans="1:10" ht="15.75" customHeight="1">
      <c r="A133" s="53">
        <v>119</v>
      </c>
      <c r="B133" s="603" t="s">
        <v>413</v>
      </c>
      <c r="C133" s="604"/>
      <c r="D133" s="604"/>
      <c r="E133" s="604"/>
      <c r="F133" s="605"/>
      <c r="G133" s="54" t="s">
        <v>272</v>
      </c>
      <c r="H133" s="55">
        <v>1625</v>
      </c>
      <c r="I133" s="56">
        <v>309</v>
      </c>
      <c r="J133" s="55">
        <v>1934</v>
      </c>
    </row>
    <row r="134" spans="1:10" ht="15.75" customHeight="1">
      <c r="A134" s="53">
        <v>120</v>
      </c>
      <c r="B134" s="603" t="s">
        <v>414</v>
      </c>
      <c r="C134" s="604"/>
      <c r="D134" s="604"/>
      <c r="E134" s="604"/>
      <c r="F134" s="605"/>
      <c r="G134" s="54" t="s">
        <v>308</v>
      </c>
      <c r="H134" s="55">
        <v>46120</v>
      </c>
      <c r="I134" s="55">
        <v>8763</v>
      </c>
      <c r="J134" s="55">
        <v>54883</v>
      </c>
    </row>
    <row r="135" spans="1:10" ht="15.75" customHeight="1">
      <c r="A135" s="53">
        <v>121</v>
      </c>
      <c r="B135" s="603" t="s">
        <v>415</v>
      </c>
      <c r="C135" s="604"/>
      <c r="D135" s="604"/>
      <c r="E135" s="604"/>
      <c r="F135" s="605"/>
      <c r="G135" s="54" t="s">
        <v>272</v>
      </c>
      <c r="H135" s="55">
        <v>1713750</v>
      </c>
      <c r="I135" s="55">
        <v>325613</v>
      </c>
      <c r="J135" s="55">
        <v>2039363</v>
      </c>
    </row>
    <row r="136" spans="1:10" ht="15.75" customHeight="1">
      <c r="A136" s="57">
        <v>122</v>
      </c>
      <c r="B136" s="631" t="s">
        <v>416</v>
      </c>
      <c r="C136" s="607"/>
      <c r="D136" s="607"/>
      <c r="E136" s="607"/>
      <c r="F136" s="608"/>
      <c r="G136" s="58" t="s">
        <v>272</v>
      </c>
      <c r="H136" s="64">
        <v>4050</v>
      </c>
      <c r="I136" s="65">
        <v>770</v>
      </c>
      <c r="J136" s="59">
        <v>4820</v>
      </c>
    </row>
    <row r="137" spans="1:10" ht="15.75" customHeight="1">
      <c r="A137" s="57">
        <v>123</v>
      </c>
      <c r="B137" s="622" t="s">
        <v>1</v>
      </c>
      <c r="C137" s="607"/>
      <c r="D137" s="607"/>
      <c r="E137" s="607"/>
      <c r="F137" s="608"/>
      <c r="G137" s="58" t="s">
        <v>417</v>
      </c>
      <c r="H137" s="64">
        <v>4400</v>
      </c>
      <c r="I137" s="62">
        <v>836</v>
      </c>
      <c r="J137" s="79">
        <v>5236</v>
      </c>
    </row>
    <row r="138" spans="1:10" s="78" customFormat="1" ht="21.75" customHeight="1">
      <c r="A138" s="623" t="s">
        <v>135</v>
      </c>
      <c r="B138" s="624"/>
      <c r="C138" s="624"/>
      <c r="D138" s="624"/>
      <c r="E138" s="624"/>
      <c r="F138" s="624"/>
      <c r="G138" s="624"/>
      <c r="H138" s="624"/>
      <c r="I138" s="624"/>
      <c r="J138" s="80">
        <f>SUM(J15:J137)</f>
        <v>15445850</v>
      </c>
    </row>
    <row r="139" spans="1:10" ht="9" customHeight="1">
      <c r="A139" s="625"/>
      <c r="B139" s="626"/>
      <c r="C139" s="626"/>
      <c r="D139" s="626"/>
      <c r="E139" s="626"/>
      <c r="F139" s="626"/>
      <c r="G139" s="626"/>
      <c r="H139" s="626"/>
      <c r="I139" s="626"/>
      <c r="J139" s="627"/>
    </row>
    <row r="140" spans="1:10" ht="74.099999999999994" customHeight="1">
      <c r="A140" s="606" t="s">
        <v>418</v>
      </c>
      <c r="B140" s="607"/>
      <c r="C140" s="607"/>
      <c r="D140" s="607"/>
      <c r="E140" s="607"/>
      <c r="F140" s="607"/>
      <c r="G140" s="607"/>
      <c r="H140" s="607"/>
      <c r="I140" s="607"/>
      <c r="J140" s="607"/>
    </row>
    <row r="141" spans="1:10" ht="67.5" customHeight="1">
      <c r="A141" s="628" t="s">
        <v>419</v>
      </c>
      <c r="B141" s="629"/>
      <c r="C141" s="629"/>
      <c r="D141" s="629"/>
      <c r="E141" s="629"/>
      <c r="F141" s="629"/>
      <c r="G141" s="629"/>
      <c r="H141" s="629"/>
      <c r="I141" s="629"/>
      <c r="J141" s="630"/>
    </row>
    <row r="142" spans="1:10" ht="11.25" customHeight="1">
      <c r="A142" s="616" t="s">
        <v>420</v>
      </c>
      <c r="B142" s="617"/>
      <c r="C142" s="617"/>
      <c r="D142" s="617"/>
      <c r="E142" s="617"/>
      <c r="F142" s="617"/>
      <c r="G142" s="617"/>
      <c r="H142" s="617"/>
      <c r="I142" s="617"/>
      <c r="J142" s="618"/>
    </row>
    <row r="143" spans="1:10" ht="11.25" customHeight="1">
      <c r="A143" s="616" t="s">
        <v>421</v>
      </c>
      <c r="B143" s="617"/>
      <c r="C143" s="617"/>
      <c r="D143" s="617"/>
      <c r="E143" s="617"/>
      <c r="F143" s="617"/>
      <c r="G143" s="617"/>
      <c r="H143" s="617"/>
      <c r="I143" s="617"/>
      <c r="J143" s="618"/>
    </row>
    <row r="144" spans="1:10" ht="11.25" customHeight="1">
      <c r="A144" s="619" t="s">
        <v>422</v>
      </c>
      <c r="B144" s="620"/>
      <c r="C144" s="620"/>
      <c r="D144" s="620"/>
      <c r="E144" s="620"/>
      <c r="F144" s="620"/>
      <c r="G144" s="620"/>
      <c r="H144" s="620"/>
      <c r="I144" s="620"/>
      <c r="J144" s="621"/>
    </row>
    <row r="145"/>
    <row r="146"/>
  </sheetData>
  <autoFilter ref="A14:J138" xr:uid="{4A0E467D-654B-4D09-800C-EA8CF9666198}">
    <filterColumn colId="1" showButton="0"/>
    <filterColumn colId="2" showButton="0"/>
    <filterColumn colId="3" showButton="0"/>
    <filterColumn colId="4" showButton="0"/>
  </autoFilter>
  <mergeCells count="147">
    <mergeCell ref="A143:J143"/>
    <mergeCell ref="A144:J144"/>
    <mergeCell ref="B137:F137"/>
    <mergeCell ref="A138:I138"/>
    <mergeCell ref="A139:J139"/>
    <mergeCell ref="A140:J140"/>
    <mergeCell ref="A141:J141"/>
    <mergeCell ref="A142:J142"/>
    <mergeCell ref="B131:F131"/>
    <mergeCell ref="B132:F132"/>
    <mergeCell ref="B133:F133"/>
    <mergeCell ref="B134:F134"/>
    <mergeCell ref="B135:F135"/>
    <mergeCell ref="B136:F136"/>
    <mergeCell ref="B125:F125"/>
    <mergeCell ref="B126:F126"/>
    <mergeCell ref="B127:F127"/>
    <mergeCell ref="B128:F128"/>
    <mergeCell ref="B129:F129"/>
    <mergeCell ref="B130:F130"/>
    <mergeCell ref="B119:F119"/>
    <mergeCell ref="B120:F120"/>
    <mergeCell ref="B121:F121"/>
    <mergeCell ref="B122:F122"/>
    <mergeCell ref="B123:F123"/>
    <mergeCell ref="B124:F124"/>
    <mergeCell ref="B113:F113"/>
    <mergeCell ref="B114:F114"/>
    <mergeCell ref="B115:F115"/>
    <mergeCell ref="B116:F116"/>
    <mergeCell ref="B117:F117"/>
    <mergeCell ref="B118:F118"/>
    <mergeCell ref="B107:F107"/>
    <mergeCell ref="B108:F108"/>
    <mergeCell ref="B109:F109"/>
    <mergeCell ref="B110:F110"/>
    <mergeCell ref="B111:F111"/>
    <mergeCell ref="B112:F112"/>
    <mergeCell ref="B101:F101"/>
    <mergeCell ref="B102:F102"/>
    <mergeCell ref="B103:F103"/>
    <mergeCell ref="B104:F104"/>
    <mergeCell ref="B105:F105"/>
    <mergeCell ref="B106:F106"/>
    <mergeCell ref="B95:F95"/>
    <mergeCell ref="B96:F96"/>
    <mergeCell ref="B97:F97"/>
    <mergeCell ref="B98:F98"/>
    <mergeCell ref="B99:F99"/>
    <mergeCell ref="B100:F100"/>
    <mergeCell ref="B89:F89"/>
    <mergeCell ref="B90:F90"/>
    <mergeCell ref="B91:F91"/>
    <mergeCell ref="B92:F92"/>
    <mergeCell ref="B93:F93"/>
    <mergeCell ref="B94:F94"/>
    <mergeCell ref="B83:F83"/>
    <mergeCell ref="B84:F84"/>
    <mergeCell ref="B85:F85"/>
    <mergeCell ref="B86:F86"/>
    <mergeCell ref="B87:F87"/>
    <mergeCell ref="B88:F88"/>
    <mergeCell ref="B77:F77"/>
    <mergeCell ref="B78:F78"/>
    <mergeCell ref="B79:F79"/>
    <mergeCell ref="B80:F80"/>
    <mergeCell ref="B81:F81"/>
    <mergeCell ref="B82:F82"/>
    <mergeCell ref="B71:F71"/>
    <mergeCell ref="B72:F72"/>
    <mergeCell ref="B73:F73"/>
    <mergeCell ref="B74:F74"/>
    <mergeCell ref="B75:F75"/>
    <mergeCell ref="B76:F76"/>
    <mergeCell ref="B65:F65"/>
    <mergeCell ref="B66:F66"/>
    <mergeCell ref="B67:F67"/>
    <mergeCell ref="B68:F68"/>
    <mergeCell ref="B69:F69"/>
    <mergeCell ref="B70:F70"/>
    <mergeCell ref="B59:F59"/>
    <mergeCell ref="B60:F60"/>
    <mergeCell ref="B61:F61"/>
    <mergeCell ref="B62:F62"/>
    <mergeCell ref="B63:F63"/>
    <mergeCell ref="B64:F64"/>
    <mergeCell ref="B53:F53"/>
    <mergeCell ref="B54:F54"/>
    <mergeCell ref="B55:F55"/>
    <mergeCell ref="B56:F56"/>
    <mergeCell ref="B57:F57"/>
    <mergeCell ref="B58:F58"/>
    <mergeCell ref="B47:F47"/>
    <mergeCell ref="B48:F48"/>
    <mergeCell ref="B49:F49"/>
    <mergeCell ref="B50:F50"/>
    <mergeCell ref="B51:F51"/>
    <mergeCell ref="B52:F52"/>
    <mergeCell ref="B41:F41"/>
    <mergeCell ref="B42:F42"/>
    <mergeCell ref="B43:F43"/>
    <mergeCell ref="B44:F44"/>
    <mergeCell ref="B45:F45"/>
    <mergeCell ref="B46:F46"/>
    <mergeCell ref="B35:F35"/>
    <mergeCell ref="B36:F36"/>
    <mergeCell ref="B37:F37"/>
    <mergeCell ref="B38:F38"/>
    <mergeCell ref="B39:F39"/>
    <mergeCell ref="B40:F40"/>
    <mergeCell ref="B29:F29"/>
    <mergeCell ref="B30:F30"/>
    <mergeCell ref="B31:F31"/>
    <mergeCell ref="B32:F32"/>
    <mergeCell ref="B33:F33"/>
    <mergeCell ref="B34:F34"/>
    <mergeCell ref="B23:F23"/>
    <mergeCell ref="B24:F24"/>
    <mergeCell ref="B25:F25"/>
    <mergeCell ref="B26:F26"/>
    <mergeCell ref="B27:F27"/>
    <mergeCell ref="B28:F28"/>
    <mergeCell ref="B17:F17"/>
    <mergeCell ref="B18:F18"/>
    <mergeCell ref="B19:F19"/>
    <mergeCell ref="B20:F20"/>
    <mergeCell ref="B21:F21"/>
    <mergeCell ref="B22:F22"/>
    <mergeCell ref="A10:J10"/>
    <mergeCell ref="A12:C12"/>
    <mergeCell ref="D12:G12"/>
    <mergeCell ref="B14:F14"/>
    <mergeCell ref="B15:F15"/>
    <mergeCell ref="B16:F16"/>
    <mergeCell ref="B7:D7"/>
    <mergeCell ref="F7:G7"/>
    <mergeCell ref="I7:J7"/>
    <mergeCell ref="B8:D8"/>
    <mergeCell ref="F8:G8"/>
    <mergeCell ref="I8:J8"/>
    <mergeCell ref="A1:J1"/>
    <mergeCell ref="A2:J2"/>
    <mergeCell ref="A4:C4"/>
    <mergeCell ref="D4:J4"/>
    <mergeCell ref="B6:D6"/>
    <mergeCell ref="F6:G6"/>
    <mergeCell ref="I6:J6"/>
  </mergeCells>
  <hyperlinks>
    <hyperlink ref="F8" r:id="rId1" display="mailto:LICITACION@BELPAPEL.COM" xr:uid="{0FECB591-10F6-4BFC-A787-A9E278272E4E}"/>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HISTORICOS</vt:lpstr>
      <vt:lpstr>PRESUPUESTO</vt:lpstr>
      <vt:lpstr>ANÁLISIS CONSOLIDADO</vt:lpstr>
      <vt:lpstr>PRECIOS UNITARIOS TECHO</vt:lpstr>
      <vt:lpstr>BELPAPEL (2a COTIZACION) </vt:lpstr>
      <vt:lpstr>GRUPO LOS LAGOS SAS</vt:lpstr>
      <vt:lpstr>SUMICORP LTDA</vt:lpstr>
      <vt:lpstr>TELEAMARKETER (2a COTIZACION)</vt:lpstr>
      <vt:lpstr>TELEAMARKETER BPO &amp; LOGISTICS S</vt:lpstr>
      <vt:lpstr>CONSTRUCTORA PINEDA SAS</vt:lpstr>
      <vt:lpstr>BELPAPEL S.A.S (1a COTIZACION)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Arcila Suarez</dc:creator>
  <cp:lastModifiedBy>Hugo Alejandro Lopez Lopez</cp:lastModifiedBy>
  <cp:lastPrinted>2026-09-14T23:24:06Z</cp:lastPrinted>
  <dcterms:created xsi:type="dcterms:W3CDTF">2026-05-21T21:44:41Z</dcterms:created>
  <dcterms:modified xsi:type="dcterms:W3CDTF">2026-09-22T17:46:58Z</dcterms:modified>
</cp:coreProperties>
</file>