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MarllyFaisulyZuluaga\Documents\CHIQUINQUIRA\"/>
    </mc:Choice>
  </mc:AlternateContent>
  <xr:revisionPtr revIDLastSave="0" documentId="8_{A53073C6-52FA-4511-8453-31FD24CBFE91}" xr6:coauthVersionLast="47" xr6:coauthVersionMax="47" xr10:uidLastSave="{00000000-0000-0000-0000-000000000000}"/>
  <bookViews>
    <workbookView xWindow="-120" yWindow="-120" windowWidth="29040" windowHeight="15720" tabRatio="500" xr2:uid="{00000000-000D-0000-FFFF-FFFF00000000}"/>
    <workbookView xWindow="-120" yWindow="-120" windowWidth="29040" windowHeight="15720" xr2:uid="{5D381F07-E369-440D-80D6-663C829A5E91}"/>
  </bookViews>
  <sheets>
    <sheet name="Portada" sheetId="1" r:id="rId1"/>
    <sheet name="1. Datos fuente" sheetId="2" r:id="rId2"/>
    <sheet name="2. SMMLV" sheetId="3" r:id="rId3"/>
    <sheet name="3. Depuracion datos" sheetId="4" r:id="rId4"/>
    <sheet name="4. Area implicita" sheetId="5" r:id="rId5"/>
    <sheet name="5. Exponentes escala" sheetId="6" r:id="rId6"/>
    <sheet name="6. Calculo componentes" sheetId="7" r:id="rId7"/>
    <sheet name="7. Valor total" sheetId="8" r:id="rId8"/>
    <sheet name="8. Notas y fuentes" sheetId="9" r:id="rId9"/>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7" i="6" l="1" a="1"/>
  <c r="J16" i="6" a="1"/>
  <c r="J15" i="6" a="1"/>
  <c r="J14" i="6" a="1"/>
  <c r="J13" i="6" a="1"/>
  <c r="J12" i="6" a="1"/>
  <c r="J11" i="6" a="1"/>
  <c r="J10" i="6" a="1"/>
  <c r="J7" i="6" a="1"/>
  <c r="J6" i="6" a="1"/>
  <c r="H17" i="6" a="1"/>
  <c r="I16" i="6" a="1"/>
  <c r="I15" i="6" a="1"/>
  <c r="I14" i="6" a="1"/>
  <c r="I13" i="6" a="1"/>
  <c r="I12" i="6" a="1"/>
  <c r="I11" i="6" a="1"/>
  <c r="I10" i="6" a="1"/>
  <c r="I7" i="6" a="1"/>
  <c r="I6" i="6" a="1"/>
  <c r="H7" i="6" a="1"/>
  <c r="H6" i="6" a="1"/>
  <c r="H16" i="6" a="1"/>
  <c r="H15" i="6" a="1"/>
  <c r="H14" i="6" a="1"/>
  <c r="H13" i="6" a="1"/>
  <c r="H10" i="6" a="1"/>
  <c r="B24" i="5"/>
  <c r="B23" i="5"/>
  <c r="B22" i="5"/>
  <c r="E7" i="6"/>
  <c r="E6" i="6"/>
  <c r="E5" i="6"/>
  <c r="C5" i="6"/>
  <c r="D5" i="6"/>
  <c r="B5" i="6"/>
  <c r="D70" i="7"/>
  <c r="G70" i="7"/>
  <c r="G42" i="7"/>
  <c r="G69" i="7"/>
  <c r="F69" i="7"/>
  <c r="E69" i="7"/>
  <c r="D69" i="7"/>
  <c r="C69" i="7"/>
  <c r="B69" i="7"/>
  <c r="G62" i="7"/>
  <c r="F62" i="7"/>
  <c r="E62" i="7"/>
  <c r="D62" i="7"/>
  <c r="C62" i="7"/>
  <c r="B62" i="7"/>
  <c r="G55" i="7"/>
  <c r="F55" i="7"/>
  <c r="E55" i="7"/>
  <c r="D55" i="7"/>
  <c r="C55" i="7"/>
  <c r="B55" i="7"/>
  <c r="G48" i="7"/>
  <c r="F48" i="7"/>
  <c r="E48" i="7"/>
  <c r="D48" i="7"/>
  <c r="C48" i="7"/>
  <c r="B48" i="7"/>
  <c r="G41" i="7"/>
  <c r="F41" i="7"/>
  <c r="E41" i="7"/>
  <c r="D41" i="7"/>
  <c r="C41" i="7"/>
  <c r="B41" i="7"/>
  <c r="G34" i="7"/>
  <c r="F34" i="7"/>
  <c r="E34" i="7"/>
  <c r="D34" i="7"/>
  <c r="C34" i="7"/>
  <c r="B34" i="7"/>
  <c r="G27" i="7"/>
  <c r="F27" i="7"/>
  <c r="E27" i="7"/>
  <c r="D27" i="7"/>
  <c r="C27" i="7"/>
  <c r="B27" i="7"/>
  <c r="C20" i="7"/>
  <c r="D20" i="7"/>
  <c r="E20" i="7"/>
  <c r="F20" i="7"/>
  <c r="G20" i="7"/>
  <c r="B20" i="7"/>
  <c r="G28" i="7"/>
  <c r="B28" i="7"/>
  <c r="E21" i="7"/>
  <c r="E12" i="6"/>
  <c r="E17" i="6"/>
  <c r="E16" i="6"/>
  <c r="E13" i="6"/>
  <c r="E11" i="6"/>
  <c r="E10" i="6"/>
  <c r="C6" i="6"/>
  <c r="D6" i="6"/>
  <c r="B6" i="6"/>
  <c r="G17" i="2"/>
  <c r="G49" i="2" s="1"/>
  <c r="C11" i="5" s="1"/>
  <c r="G37" i="2"/>
  <c r="G51" i="2" s="1"/>
  <c r="E9" i="6"/>
  <c r="G11" i="6"/>
  <c r="B11" i="6"/>
  <c r="F11" i="6"/>
  <c r="F12" i="6"/>
  <c r="G12" i="6"/>
  <c r="F16" i="6"/>
  <c r="G16" i="6"/>
  <c r="F10" i="6"/>
  <c r="G10" i="6"/>
  <c r="G47" i="2"/>
  <c r="G46" i="2"/>
  <c r="G48" i="2"/>
  <c r="G45" i="2"/>
  <c r="G44" i="2"/>
  <c r="G43" i="2"/>
  <c r="G42" i="2"/>
  <c r="G41" i="2"/>
  <c r="G40" i="2"/>
  <c r="G16" i="2"/>
  <c r="B11" i="5"/>
  <c r="B10" i="5"/>
  <c r="B9" i="5"/>
  <c r="C11" i="4"/>
  <c r="C10" i="4"/>
  <c r="C9" i="4"/>
  <c r="C8" i="4"/>
  <c r="C7" i="4"/>
  <c r="C6" i="4"/>
  <c r="B11" i="4"/>
  <c r="B10" i="4"/>
  <c r="B9" i="4"/>
  <c r="B8" i="4"/>
  <c r="D8" i="4" s="1"/>
  <c r="E8" i="4" s="1"/>
  <c r="B7" i="4"/>
  <c r="D7" i="4" s="1"/>
  <c r="E7" i="4" s="1"/>
  <c r="B6" i="4"/>
  <c r="C5" i="4"/>
  <c r="B5" i="4"/>
  <c r="E23" i="4"/>
  <c r="E26" i="4" s="1"/>
  <c r="E24" i="4"/>
  <c r="E25" i="4"/>
  <c r="A6" i="6"/>
  <c r="C9" i="6"/>
  <c r="D9" i="6"/>
  <c r="F9" i="6"/>
  <c r="G9" i="6"/>
  <c r="B9" i="6"/>
  <c r="J49" i="2"/>
  <c r="J41" i="2"/>
  <c r="J42" i="2"/>
  <c r="J43" i="2"/>
  <c r="J44" i="2"/>
  <c r="J45" i="2"/>
  <c r="J46" i="2"/>
  <c r="J47" i="2"/>
  <c r="J48" i="2"/>
  <c r="J40" i="2"/>
  <c r="H53" i="2"/>
  <c r="H52" i="2"/>
  <c r="G52" i="2"/>
  <c r="I52" i="2"/>
  <c r="F53" i="2"/>
  <c r="G53" i="2"/>
  <c r="I53" i="2"/>
  <c r="I41" i="2"/>
  <c r="I42" i="2"/>
  <c r="I43" i="2"/>
  <c r="I44" i="2"/>
  <c r="I45" i="2"/>
  <c r="I46" i="2"/>
  <c r="I47" i="2"/>
  <c r="I48" i="2"/>
  <c r="I49" i="2"/>
  <c r="I40" i="2"/>
  <c r="G71" i="7" l="1"/>
  <c r="D71" i="7"/>
  <c r="D5" i="4"/>
  <c r="D9" i="4"/>
  <c r="E9" i="4" s="1"/>
  <c r="D10" i="4"/>
  <c r="E10" i="4" s="1"/>
  <c r="D11" i="4"/>
  <c r="E11" i="4" s="1"/>
  <c r="D6" i="4"/>
  <c r="E6" i="4" s="1"/>
  <c r="E5" i="4"/>
  <c r="H41" i="2"/>
  <c r="H42" i="2"/>
  <c r="H43" i="2"/>
  <c r="H44" i="2"/>
  <c r="H45" i="2"/>
  <c r="H46" i="2"/>
  <c r="H47" i="2"/>
  <c r="H48" i="2"/>
  <c r="H49" i="2"/>
  <c r="H40" i="2"/>
  <c r="F45" i="2"/>
  <c r="F46" i="2"/>
  <c r="F47" i="2"/>
  <c r="F48" i="2"/>
  <c r="F49" i="2"/>
  <c r="F42" i="2"/>
  <c r="F43" i="2"/>
  <c r="F44" i="2"/>
  <c r="E40" i="2"/>
  <c r="C40" i="2"/>
  <c r="C14" i="4" l="1"/>
  <c r="E14" i="4"/>
  <c r="D11" i="5"/>
  <c r="D10" i="5"/>
  <c r="D9" i="5"/>
  <c r="B40" i="2"/>
  <c r="D12" i="4" l="1"/>
  <c r="C12" i="4"/>
  <c r="D13" i="7"/>
  <c r="C13" i="7"/>
  <c r="B13" i="7"/>
  <c r="D6" i="7"/>
  <c r="C6" i="7"/>
  <c r="B6" i="7"/>
  <c r="B8" i="5"/>
  <c r="D8" i="5" s="1"/>
  <c r="B7" i="5"/>
  <c r="D7" i="5" s="1"/>
  <c r="B6" i="5"/>
  <c r="D6" i="5" s="1"/>
  <c r="D13" i="3"/>
  <c r="C13" i="3"/>
  <c r="D12" i="3"/>
  <c r="G35" i="7" s="1"/>
  <c r="C12" i="3"/>
  <c r="D11" i="3"/>
  <c r="C11" i="3"/>
  <c r="D10" i="3"/>
  <c r="C10" i="3"/>
  <c r="D9" i="3"/>
  <c r="C49" i="2" s="1"/>
  <c r="C9" i="3"/>
  <c r="D8" i="3"/>
  <c r="C8" i="3"/>
  <c r="D7" i="3"/>
  <c r="B48" i="2" s="1"/>
  <c r="C7" i="3"/>
  <c r="D6" i="3"/>
  <c r="E49" i="2"/>
  <c r="D49" i="2"/>
  <c r="D17" i="6" s="1"/>
  <c r="F63" i="7"/>
  <c r="E48" i="2"/>
  <c r="E63" i="7" s="1"/>
  <c r="D48" i="2"/>
  <c r="E47" i="2"/>
  <c r="D47" i="2"/>
  <c r="D56" i="7" s="1"/>
  <c r="E46" i="2"/>
  <c r="D46" i="2"/>
  <c r="D14" i="6" s="1"/>
  <c r="E45" i="2"/>
  <c r="D45" i="2"/>
  <c r="F35" i="7"/>
  <c r="E44" i="2"/>
  <c r="E35" i="7" s="1"/>
  <c r="D44" i="2"/>
  <c r="D35" i="7" s="1"/>
  <c r="F28" i="7"/>
  <c r="E43" i="2"/>
  <c r="E28" i="7" s="1"/>
  <c r="D43" i="2"/>
  <c r="F21" i="7"/>
  <c r="E42" i="2"/>
  <c r="D42" i="2"/>
  <c r="D21" i="7" s="1"/>
  <c r="E41" i="2"/>
  <c r="D41" i="2"/>
  <c r="D14" i="7" s="1"/>
  <c r="D40" i="2"/>
  <c r="D7" i="7" s="1"/>
  <c r="D8" i="7" l="1"/>
  <c r="F40" i="2"/>
  <c r="E12" i="4"/>
  <c r="C9" i="5"/>
  <c r="E9" i="5" s="1"/>
  <c r="D50" i="2"/>
  <c r="D28" i="7" s="1"/>
  <c r="D42" i="7"/>
  <c r="D13" i="6"/>
  <c r="B63" i="7"/>
  <c r="B16" i="6"/>
  <c r="D63" i="7"/>
  <c r="D16" i="6"/>
  <c r="C17" i="6"/>
  <c r="C70" i="7"/>
  <c r="C71" i="7" s="1"/>
  <c r="C41" i="2"/>
  <c r="C43" i="2"/>
  <c r="C50" i="2" s="1"/>
  <c r="C45" i="2"/>
  <c r="C46" i="2"/>
  <c r="C48" i="2"/>
  <c r="D7" i="6"/>
  <c r="D15" i="6"/>
  <c r="G63" i="7"/>
  <c r="B42" i="2"/>
  <c r="B44" i="2"/>
  <c r="B47" i="2"/>
  <c r="B49" i="2"/>
  <c r="D49" i="7"/>
  <c r="D51" i="2"/>
  <c r="C8" i="5" s="1"/>
  <c r="E8" i="5" s="1"/>
  <c r="C42" i="2"/>
  <c r="C44" i="2"/>
  <c r="C47" i="2"/>
  <c r="D10" i="6"/>
  <c r="D12" i="6"/>
  <c r="G21" i="7"/>
  <c r="B41" i="2"/>
  <c r="B43" i="2"/>
  <c r="B45" i="2"/>
  <c r="B46" i="2"/>
  <c r="F41" i="2" l="1"/>
  <c r="C10" i="5"/>
  <c r="E10" i="5" s="1"/>
  <c r="E11" i="5"/>
  <c r="D11" i="6"/>
  <c r="C6" i="5"/>
  <c r="E6" i="5" s="1"/>
  <c r="B17" i="6"/>
  <c r="B70" i="7"/>
  <c r="B71" i="7" s="1"/>
  <c r="C63" i="7"/>
  <c r="C16" i="6"/>
  <c r="C42" i="7"/>
  <c r="C13" i="6"/>
  <c r="C56" i="7"/>
  <c r="C15" i="6"/>
  <c r="B42" i="7"/>
  <c r="B13" i="6"/>
  <c r="B21" i="7"/>
  <c r="B10" i="6"/>
  <c r="B15" i="6"/>
  <c r="B56" i="7"/>
  <c r="C14" i="6"/>
  <c r="C49" i="7"/>
  <c r="B7" i="7"/>
  <c r="B8" i="7" s="1"/>
  <c r="C11" i="6"/>
  <c r="C28" i="7"/>
  <c r="C7" i="6"/>
  <c r="C14" i="7"/>
  <c r="C35" i="7"/>
  <c r="C12" i="6"/>
  <c r="C21" i="7"/>
  <c r="C10" i="6"/>
  <c r="C7" i="7"/>
  <c r="C8" i="7" s="1"/>
  <c r="J8" i="7" s="1"/>
  <c r="H8" i="7" s="1"/>
  <c r="C7" i="5"/>
  <c r="E7" i="5" s="1"/>
  <c r="B7" i="6"/>
  <c r="B14" i="7"/>
  <c r="B14" i="6"/>
  <c r="B49" i="7"/>
  <c r="B35" i="7"/>
  <c r="B12" i="6"/>
  <c r="H12" i="6" l="1" a="1"/>
  <c r="D43" i="7"/>
  <c r="H11" i="6" a="1"/>
  <c r="D50" i="7"/>
  <c r="B17" i="5"/>
  <c r="B16" i="5"/>
  <c r="B18" i="5" s="1"/>
  <c r="B15" i="5"/>
  <c r="D22" i="7"/>
  <c r="D15" i="7"/>
  <c r="I17" i="6"/>
  <c r="G29" i="7" l="1"/>
  <c r="D29" i="7"/>
  <c r="G43" i="7"/>
  <c r="D36" i="7"/>
  <c r="B64" i="7"/>
  <c r="D64" i="7"/>
  <c r="C64" i="7"/>
  <c r="B43" i="7"/>
  <c r="C43" i="7"/>
  <c r="B29" i="7"/>
  <c r="C24" i="5"/>
  <c r="J5" i="2" s="1"/>
  <c r="B22" i="7"/>
  <c r="C15" i="7"/>
  <c r="C23" i="5"/>
  <c r="I5" i="2" s="1"/>
  <c r="B50" i="7"/>
  <c r="C29" i="7"/>
  <c r="B36" i="7"/>
  <c r="I8" i="7"/>
  <c r="B5" i="8"/>
  <c r="C50" i="7"/>
  <c r="D57" i="7"/>
  <c r="C57" i="7"/>
  <c r="C36" i="7"/>
  <c r="C22" i="5"/>
  <c r="H5" i="2" s="1"/>
  <c r="C22" i="7"/>
  <c r="B15" i="7"/>
  <c r="B57" i="7"/>
  <c r="J43" i="7" l="1"/>
  <c r="J50" i="7"/>
  <c r="H50" i="7" s="1"/>
  <c r="B11" i="8" s="1"/>
  <c r="E29" i="7"/>
  <c r="E22" i="7"/>
  <c r="E64" i="7"/>
  <c r="E36" i="7"/>
  <c r="J57" i="7"/>
  <c r="I57" i="7" s="1"/>
  <c r="J71" i="7"/>
  <c r="I71" i="7" s="1"/>
  <c r="F64" i="7"/>
  <c r="F36" i="7"/>
  <c r="F22" i="7"/>
  <c r="F29" i="7"/>
  <c r="G64" i="7"/>
  <c r="G36" i="7"/>
  <c r="G22" i="7"/>
  <c r="I50" i="7" l="1"/>
  <c r="H57" i="7"/>
  <c r="B12" i="8" s="1"/>
  <c r="I43" i="7"/>
  <c r="H43" i="7"/>
  <c r="B10" i="8" s="1"/>
  <c r="H71" i="7"/>
  <c r="B14" i="8" s="1"/>
  <c r="J64" i="7"/>
  <c r="J36" i="7"/>
  <c r="H36" i="7" s="1"/>
  <c r="B9" i="8" s="1"/>
  <c r="J15" i="7"/>
  <c r="J29" i="7"/>
  <c r="I29" i="7" s="1"/>
  <c r="J22" i="7"/>
  <c r="H22" i="7" s="1"/>
  <c r="B7" i="8" s="1"/>
  <c r="I15" i="7" l="1"/>
  <c r="H15" i="7"/>
  <c r="B6" i="8" s="1"/>
  <c r="I36" i="7"/>
  <c r="H64" i="7"/>
  <c r="B13" i="8" s="1"/>
  <c r="I64" i="7"/>
  <c r="H29" i="7"/>
  <c r="B8" i="8" s="1"/>
  <c r="I22" i="7"/>
  <c r="B15" i="8" l="1"/>
  <c r="B1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author>
    <author>Unknown Author</author>
  </authors>
  <commentList>
    <comment ref="B8" authorId="0" shapeId="0" xr:uid="{1F672E79-3854-478B-A1C2-8A8009705C1A}">
      <text>
        <r>
          <rPr>
            <b/>
            <sz val="9"/>
            <color indexed="81"/>
            <rFont val="Tahoma"/>
            <family val="2"/>
          </rPr>
          <t>Andres:</t>
        </r>
        <r>
          <rPr>
            <sz val="9"/>
            <color indexed="81"/>
            <rFont val="Tahoma"/>
            <family val="2"/>
          </rPr>
          <t xml:space="preserve">
Análisis del Sector Cundinamarca</t>
        </r>
      </text>
    </comment>
    <comment ref="C8" authorId="0" shapeId="0" xr:uid="{DD77E656-B85A-4ABB-848B-7BC9251FB759}">
      <text>
        <r>
          <rPr>
            <b/>
            <sz val="9"/>
            <color indexed="81"/>
            <rFont val="Tahoma"/>
            <family val="2"/>
          </rPr>
          <t>Andres:</t>
        </r>
        <r>
          <rPr>
            <sz val="9"/>
            <color indexed="81"/>
            <rFont val="Tahoma"/>
            <family val="2"/>
          </rPr>
          <t xml:space="preserve">
Estudio Económico del Sector Cúcuta</t>
        </r>
      </text>
    </comment>
    <comment ref="D8" authorId="0" shapeId="0" xr:uid="{9BAAB4AE-F8FA-49A0-A40E-513FBEF44939}">
      <text>
        <r>
          <rPr>
            <b/>
            <sz val="9"/>
            <color indexed="81"/>
            <rFont val="Tahoma"/>
            <family val="2"/>
          </rPr>
          <t>Andres:</t>
        </r>
        <r>
          <rPr>
            <sz val="9"/>
            <color indexed="81"/>
            <rFont val="Tahoma"/>
            <family val="2"/>
          </rPr>
          <t xml:space="preserve">
Anexo Estudio de Mercado Chocó.xlsx</t>
        </r>
      </text>
    </comment>
    <comment ref="E8" authorId="0" shapeId="0" xr:uid="{4CE56C61-B0ED-410A-973D-CC623D93C5D8}">
      <text>
        <r>
          <rPr>
            <b/>
            <sz val="9"/>
            <color indexed="81"/>
            <rFont val="Tahoma"/>
            <family val="2"/>
          </rPr>
          <t>Andres:</t>
        </r>
        <r>
          <rPr>
            <sz val="9"/>
            <color indexed="81"/>
            <rFont val="Tahoma"/>
            <family val="2"/>
          </rPr>
          <t xml:space="preserve">
Estudio de Mercado Villavicencio</t>
        </r>
      </text>
    </comment>
    <comment ref="F8" authorId="0" shapeId="0" xr:uid="{06A36FB2-991C-4878-8B00-31B2F40E17DA}">
      <text>
        <r>
          <rPr>
            <b/>
            <sz val="9"/>
            <color indexed="81"/>
            <rFont val="Tahoma"/>
            <family val="2"/>
          </rPr>
          <t>Andres:</t>
        </r>
        <r>
          <rPr>
            <sz val="9"/>
            <color indexed="81"/>
            <rFont val="Tahoma"/>
            <family val="2"/>
          </rPr>
          <t xml:space="preserve">
Estudios previos Sora 2024</t>
        </r>
      </text>
    </comment>
    <comment ref="G8" authorId="0" shapeId="0" xr:uid="{100BD543-8654-46A2-977B-6C3B253040DB}">
      <text>
        <r>
          <rPr>
            <b/>
            <sz val="9"/>
            <color indexed="81"/>
            <rFont val="Tahoma"/>
            <family val="2"/>
          </rPr>
          <t>Andres:</t>
        </r>
        <r>
          <rPr>
            <sz val="9"/>
            <color indexed="81"/>
            <rFont val="Tahoma"/>
            <family val="2"/>
          </rPr>
          <t xml:space="preserve">
Estudios Previos Pitalito</t>
        </r>
      </text>
    </comment>
    <comment ref="H8" authorId="1" shapeId="0" xr:uid="{B1B11AA8-1712-4F50-990D-8FFF6261AEBD}">
      <text>
        <r>
          <rPr>
            <sz val="10"/>
            <rFont val="Arial"/>
            <family val="2"/>
          </rPr>
          <t>1. Estudio de Mercado Villavicencio (OCR), pág. 11-12 (presupuesto oficial)</t>
        </r>
      </text>
    </comment>
    <comment ref="I8" authorId="0" shapeId="0" xr:uid="{E7C412B3-F087-436E-AF1F-2E4F7091ADB6}">
      <text>
        <r>
          <rPr>
            <b/>
            <sz val="9"/>
            <color indexed="81"/>
            <rFont val="Tahoma"/>
            <family val="2"/>
          </rPr>
          <t>Andres:</t>
        </r>
        <r>
          <rPr>
            <sz val="9"/>
            <color indexed="81"/>
            <rFont val="Tahoma"/>
            <family val="2"/>
          </rPr>
          <t xml:space="preserve">
Estudios y Diseños Ciudad de Asís </t>
        </r>
      </text>
    </comment>
    <comment ref="J8" authorId="0" shapeId="0" xr:uid="{AFFB9292-8543-49F0-8825-17DC4A4F18F7}">
      <text>
        <r>
          <rPr>
            <b/>
            <sz val="9"/>
            <color indexed="81"/>
            <rFont val="Tahoma"/>
            <family val="2"/>
          </rPr>
          <t>Andres:</t>
        </r>
        <r>
          <rPr>
            <sz val="9"/>
            <color indexed="81"/>
            <rFont val="Tahoma"/>
            <family val="2"/>
          </rPr>
          <t xml:space="preserve">
Estudios previos La Paz</t>
        </r>
      </text>
    </comment>
    <comment ref="E20" authorId="0" shapeId="0" xr:uid="{7E008AF9-3B01-4896-9C1A-E7E1159F0DAF}">
      <text>
        <r>
          <rPr>
            <b/>
            <sz val="9"/>
            <color indexed="81"/>
            <rFont val="Tahoma"/>
            <family val="2"/>
          </rPr>
          <t>Andres:</t>
        </r>
        <r>
          <rPr>
            <sz val="9"/>
            <color indexed="81"/>
            <rFont val="Tahoma"/>
            <family val="2"/>
          </rPr>
          <t xml:space="preserve">
incluye diseño bioclimático (ítem combinado)</t>
        </r>
      </text>
    </comment>
    <comment ref="H20" authorId="1" shapeId="0" xr:uid="{2C8E5CFF-D257-463A-B52B-3813B67B9403}">
      <text>
        <r>
          <rPr>
            <sz val="10"/>
            <rFont val="Arial"/>
            <family val="2"/>
          </rPr>
          <t>incluye diseño bioclimático (ítem combinado)</t>
        </r>
      </text>
    </comment>
    <comment ref="F23" authorId="0" shapeId="0" xr:uid="{4518207A-F4C7-4B66-B4CC-2EEB45D0F343}">
      <text>
        <r>
          <rPr>
            <b/>
            <sz val="9"/>
            <color indexed="81"/>
            <rFont val="Tahoma"/>
            <family val="2"/>
          </rPr>
          <t>Andres:</t>
        </r>
        <r>
          <rPr>
            <sz val="9"/>
            <color indexed="81"/>
            <rFont val="Tahoma"/>
            <family val="2"/>
          </rPr>
          <t xml:space="preserve">
Costo esta embebido levantamiento topografico y estudio de suelos.</t>
        </r>
      </text>
    </comment>
    <comment ref="G23" authorId="0" shapeId="0" xr:uid="{B2C6448B-7D91-48D4-90F1-06C71EF4B718}">
      <text>
        <r>
          <rPr>
            <b/>
            <sz val="9"/>
            <color indexed="81"/>
            <rFont val="Tahoma"/>
            <family val="2"/>
          </rPr>
          <t>Andres:</t>
        </r>
        <r>
          <rPr>
            <sz val="9"/>
            <color indexed="81"/>
            <rFont val="Tahoma"/>
            <family val="2"/>
          </rPr>
          <t xml:space="preserve">
Costo esta embebido levantamiento topografico y estudio de suelos.</t>
        </r>
      </text>
    </comment>
    <comment ref="F40" authorId="0" shapeId="0" xr:uid="{2BB5A24D-3AF4-48F5-A980-2BAD86970184}">
      <text>
        <r>
          <rPr>
            <b/>
            <sz val="9"/>
            <color indexed="81"/>
            <rFont val="Tahoma"/>
            <family val="2"/>
          </rPr>
          <t xml:space="preserve">Andres: </t>
        </r>
        <r>
          <rPr>
            <sz val="9"/>
            <color indexed="81"/>
            <rFont val="Tahoma"/>
            <family val="2"/>
          </rPr>
          <t xml:space="preserve">
Valor depurado en la hoja 3</t>
        </r>
      </text>
    </comment>
    <comment ref="G40" authorId="0" shapeId="0" xr:uid="{86CC7A5B-972B-4DCA-9866-0D139FEFF8B4}">
      <text>
        <r>
          <rPr>
            <b/>
            <sz val="9"/>
            <color indexed="81"/>
            <rFont val="Tahoma"/>
            <family val="2"/>
          </rPr>
          <t>Andres:</t>
        </r>
        <r>
          <rPr>
            <sz val="9"/>
            <color indexed="81"/>
            <rFont val="Tahoma"/>
            <family val="2"/>
          </rPr>
          <t xml:space="preserve">
Valor depurado en la hoja 3</t>
        </r>
      </text>
    </comment>
    <comment ref="F41" authorId="0" shapeId="0" xr:uid="{3ADCD540-EB14-40CA-860A-08B7FDC30930}">
      <text>
        <r>
          <rPr>
            <b/>
            <sz val="9"/>
            <color indexed="81"/>
            <rFont val="Tahoma"/>
            <family val="2"/>
          </rPr>
          <t>Andres:</t>
        </r>
        <r>
          <rPr>
            <sz val="9"/>
            <color indexed="81"/>
            <rFont val="Tahoma"/>
            <family val="2"/>
          </rPr>
          <t xml:space="preserve">
Valor depurado en la hoja 3</t>
        </r>
      </text>
    </comment>
    <comment ref="G41" authorId="0" shapeId="0" xr:uid="{7147CDFE-E3B1-487C-AC4D-1F851168F933}">
      <text>
        <r>
          <rPr>
            <b/>
            <sz val="9"/>
            <color indexed="81"/>
            <rFont val="Tahoma"/>
            <family val="2"/>
          </rPr>
          <t>Andres:</t>
        </r>
        <r>
          <rPr>
            <sz val="9"/>
            <color indexed="81"/>
            <rFont val="Tahoma"/>
            <family val="2"/>
          </rPr>
          <t xml:space="preserve">
Valor depurado en la hoja 3</t>
        </r>
      </text>
    </comment>
    <comment ref="C50" authorId="0" shapeId="0" xr:uid="{7EAE7526-2D96-4E5A-87EA-7538E2E3DA91}">
      <text>
        <r>
          <rPr>
            <b/>
            <sz val="9"/>
            <color indexed="81"/>
            <rFont val="Tahoma"/>
            <family val="2"/>
          </rPr>
          <t>Andres:</t>
        </r>
        <r>
          <rPr>
            <sz val="9"/>
            <color indexed="81"/>
            <rFont val="Tahoma"/>
            <family val="2"/>
          </rPr>
          <t xml:space="preserve">
Aplica depuración de gases especiales.</t>
        </r>
      </text>
    </comment>
    <comment ref="D50" authorId="0" shapeId="0" xr:uid="{8058AED9-FF19-44DB-B7A8-41C100F61FDD}">
      <text>
        <r>
          <rPr>
            <b/>
            <sz val="9"/>
            <color indexed="81"/>
            <rFont val="Tahoma"/>
            <family val="2"/>
          </rPr>
          <t>Andres:</t>
        </r>
        <r>
          <rPr>
            <sz val="9"/>
            <color indexed="81"/>
            <rFont val="Tahoma"/>
            <family val="2"/>
          </rPr>
          <t xml:space="preserve">
Aplica depuración de gases especiales.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<sst xmlns="http://schemas.openxmlformats.org/spreadsheetml/2006/main" count="533" uniqueCount="220">
  <si>
    <t>DETERMINACIÓN DEL PRESUPUESTO — ESTUDIOS Y DISEÑOS UNIDAD BÁSICA CHIQUINQUIRÁ</t>
  </si>
  <si>
    <t>1. Objeto y alcance</t>
  </si>
  <si>
    <t>3. Método de escalado por magnitud (costo-capacidad)</t>
  </si>
  <si>
    <t>4. Indexación temporal</t>
  </si>
  <si>
    <t>5. Criterio de agrupación estadística</t>
  </si>
  <si>
    <t>Índice de hojas</t>
  </si>
  <si>
    <t>Ítem</t>
  </si>
  <si>
    <t>Cundinamarca 2020</t>
  </si>
  <si>
    <t>Cúcuta 2022</t>
  </si>
  <si>
    <t>Quibdó 2025</t>
  </si>
  <si>
    <t>Villavicencio 2025</t>
  </si>
  <si>
    <t>Puerto Asís 2026</t>
  </si>
  <si>
    <t>La Paz 2025</t>
  </si>
  <si>
    <t>Área construida (m²)</t>
  </si>
  <si>
    <t>Convención de impuestos de la fuente</t>
  </si>
  <si>
    <t>Levantamiento topográfico</t>
  </si>
  <si>
    <t>Estudio de suelos y diseño de pavimentos</t>
  </si>
  <si>
    <t>Diseño estructural</t>
  </si>
  <si>
    <t>Diseño hidráulico, sanitario y RCI (bruto, sin depurar)</t>
  </si>
  <si>
    <t>Diseño eléctrico y de telecomunicaciones</t>
  </si>
  <si>
    <t>Diseño de ventilación mecánica</t>
  </si>
  <si>
    <t>No incluido en el alcance</t>
  </si>
  <si>
    <t>Diseño de accesibilidad</t>
  </si>
  <si>
    <t>Integración de estudios y modelación BIM</t>
  </si>
  <si>
    <t>Presupuesto, especificaciones técnicas y programación de obra</t>
  </si>
  <si>
    <t>No aplica</t>
  </si>
  <si>
    <t>Coordinación de estudios y gestión técnica — Quibdó (ítem propio, aparte de la licencia)</t>
  </si>
  <si>
    <t>No existe ítem de coordinación en esta fuente</t>
  </si>
  <si>
    <t>Otros ítems excluidos por completo (sin analogía; solo citados para trazabilidad, no entran en ningún cálculo)</t>
  </si>
  <si>
    <t>Revisor independiente de diseños estructurales</t>
  </si>
  <si>
    <t>—</t>
  </si>
  <si>
    <t>Plan de manejo ambiental (PMA)</t>
  </si>
  <si>
    <t>Plan de manejo de tránsito (PMT)</t>
  </si>
  <si>
    <t>Diagnóstico / formulación del proyecto (soporte MGA)</t>
  </si>
  <si>
    <t>Estudio geoeléctrico</t>
  </si>
  <si>
    <t>Protocolo de bioseguridad</t>
  </si>
  <si>
    <t>Personal — Director General de Consultoría (La Paz)</t>
  </si>
  <si>
    <t>Diseño estructural — indexado 2026</t>
  </si>
  <si>
    <t>Diseño hidráulico, sanitario y RCI (bruto, sin depurar) — indexado 2026</t>
  </si>
  <si>
    <t>Diseño eléctrico y de telecomunicaciones — indexado 2026</t>
  </si>
  <si>
    <t>Diseño de ventilación mecánica — indexado 2026</t>
  </si>
  <si>
    <t>Diseño de accesibilidad — indexado 2026</t>
  </si>
  <si>
    <t>Integración de estudios y modelación BIM — indexado 2026</t>
  </si>
  <si>
    <t>Presupuesto, especificaciones técnicas y programación de obra — indexado 2026</t>
  </si>
  <si>
    <t>Trámite y expedición de licencia de construcción (o coordinación que lo embebe) — indexado 2026</t>
  </si>
  <si>
    <t>Hidrosanitario — indexado, DEPURADO de gases especiales (Hoja 3)</t>
  </si>
  <si>
    <t>Red contraincendios y seguridad — Villavicencio, indexada (solo para el total comparable de la Hoja 4)</t>
  </si>
  <si>
    <t>FÓRMULA: Multiplicador(año X → 2026) = SMMLV(2026) / SMMLV(año X)</t>
  </si>
  <si>
    <t>Año</t>
  </si>
  <si>
    <t>SMMLV mensual
(COP)</t>
  </si>
  <si>
    <t>Incremento %
vs. año anterior</t>
  </si>
  <si>
    <t>Multiplicador
a 2026</t>
  </si>
  <si>
    <t>Fuente</t>
  </si>
  <si>
    <t>Ministerio del Trabajo — decreto anual de fijación del SMMLV (valor base tomado del Estudio de Mercado v2)</t>
  </si>
  <si>
    <t>Ministerio del Trabajo — decreto anual de fijación del SMMLV para 2020</t>
  </si>
  <si>
    <t>Ministerio del Trabajo — decreto anual de fijación del SMMLV para 2021 (usado para el valor especial de BIM de Cúcuta — ver Hoja 8, num. 8.3)</t>
  </si>
  <si>
    <t>Ministerio del Trabajo — decreto anual de fijación del SMMLV para 2022</t>
  </si>
  <si>
    <t>Ministerio del Trabajo — decreto anual de fijación del SMMLV para 2023</t>
  </si>
  <si>
    <t>Ministerio del Trabajo — decreto anual de fijación del SMMLV para 2024</t>
  </si>
  <si>
    <t>Ministerio del Trabajo — decreto anual de fijación del SMMLV para 2025</t>
  </si>
  <si>
    <t>Decreto 1469 del 29 de diciembre de 2025, ratificado transitoriamente por el Decreto 0159 del 19 de febrero de 2026 (Ministerio del Trabajo).</t>
  </si>
  <si>
    <t>3. DEPURACIÓN DE GASES ESPECIALES DEL COMPONENTE HIDROSANITARIO</t>
  </si>
  <si>
    <t>Cúcuta 2022 — cotización discriminada de gases especiales forenses (%)</t>
  </si>
  <si>
    <t>Promedio adoptado — % de depuración de gases especiales</t>
  </si>
  <si>
    <t>Comparador</t>
  </si>
  <si>
    <t>Área (m²)</t>
  </si>
  <si>
    <t>Valor total
comparable 2026</t>
  </si>
  <si>
    <t>ln(Área)</t>
  </si>
  <si>
    <t>ln(Valor)</t>
  </si>
  <si>
    <t>Ecuación resultante</t>
  </si>
  <si>
    <t>4.3 Áreas implícitas estimadas (Área = EXP((ln(Valor) − b) / a))</t>
  </si>
  <si>
    <t>Valor total comparable 2026</t>
  </si>
  <si>
    <t>Área implícita (m²)</t>
  </si>
  <si>
    <t>Componente</t>
  </si>
  <si>
    <t>6. CÁLCULO DEL VALOR DE REFERENCIA POR COMPONENTE (1 A 11)</t>
  </si>
  <si>
    <t>1. Levantamiento topográfico</t>
  </si>
  <si>
    <t>Cundinamarca
2020</t>
  </si>
  <si>
    <t>Cúcuta
2022</t>
  </si>
  <si>
    <t>Quibdó
2025</t>
  </si>
  <si>
    <t>Valor de
referencia</t>
  </si>
  <si>
    <t>Estadístico
aplicado</t>
  </si>
  <si>
    <t>CV</t>
  </si>
  <si>
    <t>Valor indexado 2026</t>
  </si>
  <si>
    <t>2. Estudio de suelos y diseño de pavimentos</t>
  </si>
  <si>
    <t>Valor escalado a 112,5 m²</t>
  </si>
  <si>
    <t>3. Diseño estructural</t>
  </si>
  <si>
    <t>4. Diseño hidráulico, sanitario y RCI</t>
  </si>
  <si>
    <t>5. Diseño eléctrico y de telecomunicaciones</t>
  </si>
  <si>
    <t>6. Diseño de ventilación mecánica</t>
  </si>
  <si>
    <t>8. Diseño de accesibilidad</t>
  </si>
  <si>
    <t>9. Integración de estudios y modelación BIM</t>
  </si>
  <si>
    <t>10. Presupuesto, especificaciones técnicas y programación de obra</t>
  </si>
  <si>
    <t>11. Trámite y expedición de licencia de construcción</t>
  </si>
  <si>
    <t>7. VALOR TOTAL DE REFERENCIA — ESTUDIOS Y DISEÑOS UNIDAD BÁSICA CHIQUINQUIRÁ</t>
  </si>
  <si>
    <t>Valor de referencia
(incl. IVA)</t>
  </si>
  <si>
    <t>VALOR TOTAL DE REFERENCIA</t>
  </si>
  <si>
    <t>Equivalente en SMMLV 2026</t>
  </si>
  <si>
    <t>• SMMLV: Ministerio del Trabajo — decretos anuales de fijación del SMMLV 2019-2025; Decreto 1469 del 29 de diciembre de 2025 y Decreto 0159 del 19 de febrero de 2026 (SMMLV 2026).</t>
  </si>
  <si>
    <t xml:space="preserve">En el siguiente documento se presentarán la metodología y los calculos para la estimación del presupuesto del proceso "ESTUDIOS Y DISEÑOS TÉCNICOS COMPLEMENTARIOS, TRÁMITE DE LICENCIA DE CONSTRUCCIÓN, PRESUPUESTO Y PROGRAMACIÓN PARA LA CONSTRUCCIÓN DE LA UNIDAD BÁSICA DE CHIQUINQUIRÁ DE LA SECCIONAL BOYACÁ – DIRECCIÓN REGIONAL ORIENTE DEL INSTITUTO NACIONAL DE MEDICINA LEGAL Y CIENCIAS FORENSES" </t>
  </si>
  <si>
    <t>Establecer el valor del proceso de estudios y diseños para la unidad basica de Chiquinquira (Boyacá) teniendo en cuenta las variables propios del mismo.
Explicar la metodologia usada para la estimación de precios desde la escogencia de los procesos de referencia hasta los calculos de indexación, escalamiento y escogencia de cada itém.</t>
  </si>
  <si>
    <t>Luego de tener los valores escalados por magnitud e indexados a 2026, la agrupación estadistica se estableció en primera medida se determina individualmente (por itém) el valor de la media geométrica, media aritmética y media armónica calculando finalmente el Coeficiente de Variación, según el valor arrojado del Coeficiente de Variación que nos dirá el nivel de dispersión de las medidas estadísticas vamos a adota criterios de aceptación asi:
- CV &lt; 25% → Se optará por escoger la media aritmética para el calculo del costo final. 
- 25% ≤ CV &lt; 50% → Se optará por escoger la media aritmética media geométrica para el calculo del costo final. 
- CV ≥ 50% → Se optará por escoger la media armónica para el calculo del costo final. 
 Para los tres componentes con solo antecedentes propios del INMLYCF (bioclimático, accesibilidad, BIM), se aplica media geométrica de forma congruente con este criterio basados en la alta equivalencia que se evidencia en alcance, items y demás aspectos propios de este proceso.</t>
  </si>
  <si>
    <t>Valor incluido en tramites y licencia</t>
  </si>
  <si>
    <t>Los valores incluyen el IVA</t>
  </si>
  <si>
    <t>Valores sin IVA incluido.</t>
  </si>
  <si>
    <t>Los valores incluyen el IVA.</t>
  </si>
  <si>
    <t>No especifica valor discriminado</t>
  </si>
  <si>
    <t xml:space="preserve">ÍTEMS ADICIONALES — no se tuvieron en cuenta para el calculo de áreas </t>
  </si>
  <si>
    <t>Trámite y expedición de licencia de construcción (Costo parcialmente reembolsable)</t>
  </si>
  <si>
    <t>Primer cuadro (valores en azul) correspondiente a los valores de los procesos reales discriminados por items como los reporta cada fuente. 
Cuadro inferior corresponde a los mismos valores indexados a 2026 (fórmula).</t>
  </si>
  <si>
    <t>VALORES INDEXADOS A 2026 (fórmula = valor real × factor SMMLV × IVA(según inclusión de cada fuente)</t>
  </si>
  <si>
    <t>Diseño arquitectónico (EXCLUIDO de todas las fuentes)</t>
  </si>
  <si>
    <t xml:space="preserve">Presupuesto Oficial Consultoría Galapa(2026): ítem 7 'Diseño hidrosanitario y RCI' $15.400.000 + ítem 8 'Diseño de suministro de gases medicinales' $6.040.000 </t>
  </si>
  <si>
    <t xml:space="preserve">NOTA: </t>
  </si>
  <si>
    <t>Cálculo de la interceccion de la recta de la regresión.</t>
  </si>
  <si>
    <t>4. ÁREA IMPLÍCITA — REGRESIÓN CALCULADA CON DATOS REALES</t>
  </si>
  <si>
    <t>4.1 Valor total comparable de los 3 antecedentes de área real (excluyendo arquitectura)</t>
  </si>
  <si>
    <t>Análisis de precios de mercado (La Paz)</t>
  </si>
  <si>
    <t>Análisis de riesgos e imprevistos (La Paz)</t>
  </si>
  <si>
    <t>Diseño hidráulico, sanitario y RCI (depurado de gases especiales)</t>
  </si>
  <si>
    <t>5. EXPONENTES DE ESCALA POR COMPONENTE — REGRESIÓN LOGARÍTMICA</t>
  </si>
  <si>
    <t>Exponente n
(Pendiente)</t>
  </si>
  <si>
    <t>Intercepto
(Intersección)</t>
  </si>
  <si>
    <t>R²
(Confiabilidad)</t>
  </si>
  <si>
    <t>Trámite y expedición de licencia de construcción</t>
  </si>
  <si>
    <t>Por cada componente: área y valor indexado 2026 de cada comparador aplicable (enlazados a la Hoja 1), valor escalado a 112,5 m² (unidad basica chiquinquirá) cuando corresponde (Hoja 5), y el estadístico adoptado según el CV (&lt; 25% aritmética · 25-50% geométrica · ≥ 50% armónica).</t>
  </si>
  <si>
    <t>1. DATOS FUENTE — LAS 6 FUENTES EVALUADAS CON INDEXACIÓN AL 2026</t>
  </si>
  <si>
    <t>2. SMMLV Y FORMULA DE INDEXACIÓN A 2026</t>
  </si>
  <si>
    <t>8. NOTAS Y FUENTES DOCUMENTALES</t>
  </si>
  <si>
    <t>VALORES REALES (según la fuente, sin indexar)</t>
  </si>
  <si>
    <t>2. Procesos escogidos</t>
  </si>
  <si>
    <t>Para la estimación del costo final del proceso se usó 6 procesos de referencia que tienen caracteristicas iguales en cuanto a alcance, objetivos y necesidades a satisfacer, los procesos con sus respectivas fuentes se pueden consultar en el "Analisis de Mercado" que documenta todo el proceso de selección y justificación.
Es pertinente aclarar que que hay procesos adicionales que sirvieron de referencia para un item especifico (Galapa - Atlantico), esta referencia es adicional a las 6 mencionadas anteriormente y tambien esta ducomentada en el "Analisis de Mercado".
En la metodologia usada se escogieron procesos que tuvieran un sistema similar de costeo por items, y que en su alcance de entregables tuviera requisitos equivalentes al proceso que estamos costeando.</t>
  </si>
  <si>
    <t xml:space="preserve">El primer obstaculo encontrado en la busqueda de referencias fue la magnitud de los proyectos similares que se encuentran en la plataforma SECOP II superan muchas veces con creces el area construida de lo que se pretende estudiar y diseñar para este proyecto, es por esto que, se decidió realizar un escalado por magnitud (costo-capacidad) donde el costo del proyecto depende del área construida con un factor exponencial "n": Valor escalado = Valor proceso indexado 2026 × (Área Chiquinquirá / Área proceso) ⁿ. En la Hoja 5 se muestra mas de cerca este calculo por cada uno de los procesos de referencia. </t>
  </si>
  <si>
    <r>
      <t xml:space="preserve">Para los procesos con valores de vigencias distintas a 2026, se usará el metodo de indexación mediante el incremento del SMMLV con la siguiente formula: Multiplicador (año→2026) = SMMLV(2026) / SMMLV(año) proceso que se detalla en la Hoja 2. </t>
    </r>
    <r>
      <rPr>
        <sz val="10"/>
        <color rgb="FF00B0F0"/>
        <rFont val="Aptos Display"/>
        <family val="2"/>
      </rPr>
      <t xml:space="preserve"> </t>
    </r>
  </si>
  <si>
    <t>Acacías 2025</t>
  </si>
  <si>
    <t>Sora 2024</t>
  </si>
  <si>
    <t>Pitalito 2022</t>
  </si>
  <si>
    <t>Valor total, IVA incluido.</t>
  </si>
  <si>
    <t>Valores SIN IVA discriminado (fuente no lo separa).</t>
  </si>
  <si>
    <t>Valores base SIN administración ni IVA; se aplican 37% (admin.) y 19% (IVA) en la indexación.</t>
  </si>
  <si>
    <t>'Permisos y/o licencias' solo como documento anexo, sin valor discriminado</t>
  </si>
  <si>
    <t>Agrupado con PMA, arqueología y otros trámites (Producto 3), sin discriminación posible</t>
  </si>
  <si>
    <t>Estudio y gestión de licencias, PMA y arqueología (La Paz, Producto 3)</t>
  </si>
  <si>
    <t>Valores base SIN valor de impuestos y estampillas; se aplican 39% (impuestos y estampillas) en la indexación.</t>
  </si>
  <si>
    <t>Red de gas — indexada (solo para depuración de la Hoja 4)</t>
  </si>
  <si>
    <t>Red de gas domiciliario — Villavicencio (ítem aparte; solo se usa para depuración)</t>
  </si>
  <si>
    <t>Red contraincendios y seguridad — Villavicencio (ítem aparte;  solo se usa para depuración)</t>
  </si>
  <si>
    <t>Diseño bioclimático  (EXCLUIDO de todas las fuentes)</t>
  </si>
  <si>
    <t>Acacias 2025</t>
  </si>
  <si>
    <t>Cundinamarca 2020
(3.700 m²)</t>
  </si>
  <si>
    <t>Cúcuta 2022
(922 m²)</t>
  </si>
  <si>
    <t>Quibdó 2025
(500 m²)</t>
  </si>
  <si>
    <t>Acacias 2025 (4779.6 m²)</t>
  </si>
  <si>
    <t>Sora 2024 (532.9 m²)</t>
  </si>
  <si>
    <t>Pitalito 2022 (8290.1 m²)</t>
  </si>
  <si>
    <t>Galapa, Atlántico — % de gases medicinales sobre (hidrosanitario+RCI + gases medicinales)</t>
  </si>
  <si>
    <t>Pitalito — presupuesto discriminado de diseño de gases especiales</t>
  </si>
  <si>
    <t>Presupuesto oficial proceso proyecto hospitalario (2022): ítem 3 'Diseños de ingeniería' Diseños hidro-sanitarios $67.680.000 - Diseños Red Contra Incendios $67.680.000 - Diseños Redes Especiales (Gases Medicinales) $37.600.000</t>
  </si>
  <si>
    <t>Estudio Económico del Sector Cúcuta (2022) — cotización discriminada de gases especiales sobre el ítem hidrosanitario (Red de gases por valor $6.504.510,74 del correspondiente total de redes por $32.522.553)</t>
  </si>
  <si>
    <t>Promedio de los datos obtenidos.
El porcentaje corresponiente a diseños hidrosanitarios y RCI corresponde a 76.7% del valor de los presupuestos correspondientes</t>
  </si>
  <si>
    <t>El documento de Estudio de Mercado (numeral 3.1) describe este 23,3% como aplicado a AMBOS antecedentes (Cúcuta 2022 y Quibdó 2025). En el calculo final se toma el 76,7% para los dos, equivalente a el valor de diseños hidrosanitarios y RCI solamente).</t>
  </si>
  <si>
    <t>Para mejorar la efectividad de la metodología vamos a establecer un valor para el componente hidrosanitario de dos de los procesos evaluados (Cúcuta 2022 y Quibdó 2025), en los cuales, se encuentran discriminados los valores especificos de diseño de gases especiales dentro del valor de diseños hidrosanitarios, (redes de gases especiales de uso forense/medicinal ajenas al alcance de Chiquinquirá). Se depura ese componente con el promedio de tres fuentes reales independientes: los procesos de Cúcuta 2022, Galapa 2024 y Pitalito 2022.</t>
  </si>
  <si>
    <t>3.2 DEPURACIÓN DE GASES ESPECIALES DEL COMPONENTE HIDROSANITARIO</t>
  </si>
  <si>
    <t>3.1 DEPURACIÓN DE LEVANTAMIENTO TOPOGRAFICO Y ESTUDIO DE SUELOS</t>
  </si>
  <si>
    <t>Componente hidráulico/sanitario</t>
  </si>
  <si>
    <t>RCI</t>
  </si>
  <si>
    <t>Gases especiales/medicinales</t>
  </si>
  <si>
    <t>Levantamieto topográfico</t>
  </si>
  <si>
    <t>Estudio de suelos</t>
  </si>
  <si>
    <t>Valor % Topografia</t>
  </si>
  <si>
    <t>Valor % Estudio de suelos</t>
  </si>
  <si>
    <t>Se evidencia que en los procesos de referencia de Sora 2024 y Pitalito 2022 se presupuesta un global de "Levantamiento topografico y Estudios de suelos" de manera conjunta, llamado "Estudios basicos para predimensionamiento arquitectonico y estrcutural", para tener valores reales de estos presupuestos y realizar el escalamiento por magnitud debemos realizar la depuración del porcentaje que corresponde a Levantamiento topografico y estudios de suelos discriminados de manera relativa. Usando los otros siete procesos en los que tenemos valores reales de estos dos valores independientes.</t>
  </si>
  <si>
    <t xml:space="preserve">Promedio adoptado — % de depuración </t>
  </si>
  <si>
    <t>Desviación Estándar</t>
  </si>
  <si>
    <t>Coeficiente de variación</t>
  </si>
  <si>
    <t>Levantamiento topografico y estudios de suelos (ítem aparte; solo se usa para depuración)</t>
  </si>
  <si>
    <t>Levantamiento topográfico — indexado 2026 (discriminado para Sora y Pitalito)</t>
  </si>
  <si>
    <t>Estudio de suelos y diseño de pavimentos — indexado 2026  (discriminado para Sora y Pitalito)</t>
  </si>
  <si>
    <t>Proceso contractual</t>
  </si>
  <si>
    <t>Cundinamarca 2020  — Presupuesto de los dos ítems discriminados</t>
  </si>
  <si>
    <t>Cúcuta 2022 — Presupuesto de los dos ítems discriminados</t>
  </si>
  <si>
    <t>Quibdó 2025 — Presupuesto de los dos ítems discriminados</t>
  </si>
  <si>
    <t>Acacías 2025 — Presupuesto de los dos ítems discriminados</t>
  </si>
  <si>
    <t>Villavicencio 2025 — Presupuesto de los dos ítems discriminados</t>
  </si>
  <si>
    <t>Perto Asís 2026 — Presupuesto de los dos ítems discriminados</t>
  </si>
  <si>
    <t>La Paz 2025 — Presupuesto de los dos ítems discriminados</t>
  </si>
  <si>
    <t>Valor % Gases especiales</t>
  </si>
  <si>
    <t>Estudios  previos  presupuesto oficial</t>
  </si>
  <si>
    <t>El documento de Estudio de Mercado (numeral 3.1) describe estos porcentajes (34,7% para topografía y 65,3 para estudio de suelos) que se aplican a AMBOS procesos (Sora 2024 y Pitalito 2022).</t>
  </si>
  <si>
    <t>Datos adicionales (solo usados para el calculo de las areas) — Quibdó (coordinación de estudios) Pitalito (visitas tecnicas y diagnosticos de fase preliminar)</t>
  </si>
  <si>
    <t>Visitas técnicas de campo, diagnostico normativo, programa medico arquitectonico, mesas tecnicas de concertacion</t>
  </si>
  <si>
    <t>Calculo del valor "n", se encuentra entre 0,6 y 0,85 los procesos definitivamente son escalables según esta metodología.</t>
  </si>
  <si>
    <t>Valor alto de confiabilidad de correlación entre los datos, la metodología puede ser usada para determinar los costos de diseños según el área de chiquinquirá.</t>
  </si>
  <si>
    <t>Para los valores que se determinaron como "escalables" se realiza el calculo del valor de cada exponente "n" según su área y discriminado por item, debemos usar la formula explicada en "Analisis de mercado" en este caso se usará de la siguiente manera:
Despejando la variable "n" de la formula original de costo capacidad obtenemos ln(Valor del componente) = ln(k) + n × ln(Área) para determinar "n"
El exponente "n" de cada componente se obtiene calculando la pendiente de la recta (ln valor, ln área) sobre los 6 procesos contractuales que reportan área real, usando el valor depurado de levantamiento topografico, estudio de suelos y gases especiales en los casos que fueron explicados en la hoja numero 3.</t>
  </si>
  <si>
    <t>Para los casos de Villavicencio (2025), Puerto Asís (2026) y La Paz (2025) no se declara área construida proyectada (la arquitectura es un producto a desarrollar en el contrato). Se estima su área implícita ajustando, por mínimos cuadrados sobre los 6 comparadores de área real, la relación ln(Valor total comparable) = b + a·ln(Área), y luego despejando el área para el valor total de cada uno de los tres: Área = EXP( (ln(Valor) − b) / a ).
El valor de "n" según la metodologia indica la manera como se relaciona el valor con el área, si n&lt;1  se confirma que el ítem se puede maneja con economia de escala, a mayor area proyectada el costo de metro cuadrado de diseño es menor. En el mejor de los casos el n se debe encontrar entre 0,5 y 0,85 para determinar un rango razonable. 
Asimismo, se realiza el cálculo de índice de confiabilidad que con el fin de evaluar los datos que estamos comparando y confirmando asi una correlación para la determinación de los valores sobre el area conocida de Chiquinquirá.</t>
  </si>
  <si>
    <t>Pendiente a = PENDIENTE(ln Valor, ln Área)</t>
  </si>
  <si>
    <t>Intersección con x; b = INTERSECCON.EJE(ln Valor, ln Área)</t>
  </si>
  <si>
    <t>R² = COEFICIENTE.R2(ln Valor, ln Área)</t>
  </si>
  <si>
    <t>Observaciones</t>
  </si>
  <si>
    <t>Valores de depurados de levantamiento topograficos no se ajustan a la metodología, (n=0,43 y R2=52%) se van a tener en cuenta solo los procesos que tengan discriminado el dato desde la fuente.</t>
  </si>
  <si>
    <t>Valores de depurados de levantamiento topograficos no se ajustan a la metodología, (n=0,37 y R2=36%) se van a tener en cuenta solo los procesos que tengan discriminado el dato desde la fuente.</t>
  </si>
  <si>
    <t>7. Diseño de accesibilidad</t>
  </si>
  <si>
    <t>8. Integración de estudios y modelación BIM</t>
  </si>
  <si>
    <t>9. Presupuesto, especificaciones técnicas y programación de obra</t>
  </si>
  <si>
    <t>10. Trámite y expedición de licencia de construcción</t>
  </si>
  <si>
    <t>Galapa (Atlántico, centro de salud): sus valores totales se incluyeron en la regresión de escalado, pero el resultado del ajuste estadístico bajaba significativamente, razón por la cual no se tuvo en cuenta en el calculo final. De Galapa se conserva únicamente el porcentaje real de su ítem de gases medicinales (Hoja 3), tomado directamente de su Formulario 1 de propuesta económica — un dato puntual y verificable, independiente del problema de validación competitiva del valor total de ese proceso.</t>
  </si>
  <si>
    <t>• Sora 2024:2. ESTUDIOS PREVIOS SORA.pdf; CPS 307 de 2025; PAGO FINAL CONSULTORÍA SORA.pdf.</t>
  </si>
  <si>
    <t>• Quibdó (Chocó) 2025: 031-Anexo Estudio de Mercado Seccional Chocó -AJUSTADOS.xlsx, hoja 'Hoja1'.</t>
  </si>
  <si>
    <t>• Cúcuta 2022: 2. Estudio Económico del Sector Cúcuta.pdf; Anexo 13 - Descripción Técnica Detallada.pdf.</t>
  </si>
  <si>
    <t>• Cundinamarca (Soacha) 2020: ANEXO 1 - Análisis del Sector Cundinamarca.pdf; Documento Complementario CM-0001-SG-2020.pdf.</t>
  </si>
  <si>
    <t>• Acacías 2025: 8. ESTUDIOS PREVIOS ACACIAS.pdf; LEGAJO N° 2 - CONTRATO DE CONSULTORÍA N° 304-2025 - PARCIAL N° 3.pdf.</t>
  </si>
  <si>
    <t>• Villavicencio 2025: 1. Estudio de Mercado Villavicencio.pdf.</t>
  </si>
  <si>
    <t>• Puerto Asís 2026: Estudios y Diseños Ciudad de Asís.pdf.</t>
  </si>
  <si>
    <t>• La Paz (Santander) 2025: Estudios Previos La Paz.pdf; Anexo Técnico - Estudios La Paz.pdf.</t>
  </si>
  <si>
    <t>• Galapa (Atlántico) — Formulario 1 - Presupuesto Oficial Consultoría Galapa.xlsx.</t>
  </si>
  <si>
    <t>8.2 Fuentes documentales por proceso</t>
  </si>
  <si>
    <t>• Pitalito 2022: PROPUESTA ECONOMICA FIRMADA.pdf; MEMORIA ARQUITECTONICA PITALITO 20230221.pdf.</t>
  </si>
  <si>
    <t>8.1 Galapa Atlántico —  se excluyen del cálculo final</t>
  </si>
  <si>
    <t>Valores de "n" y de "R²" dentro de los rangos aceptables de confiabilidad para aplicar la metodología de escalamiento por magnitud .</t>
  </si>
  <si>
    <t>Suma de los diez (10) valores de referencia calculados en la Hoja 6.</t>
  </si>
  <si>
    <t xml:space="preserve">4.2 Regresión Logarítmica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</si>
</sst>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0.00_);_(&quot;$&quot;* \(#,##0.00\);_(&quot;$&quot;* &quot;-&quot;??_);_(@_)"/>
    <numFmt numFmtId="165" formatCode="0.0&quot; m²&quot;"/>
    <numFmt numFmtId="166" formatCode="\$#,##0;&quot;($&quot;#,##0\);\-"/>
    <numFmt numFmtId="167" formatCode="0.0%"/>
    <numFmt numFmtId="168" formatCode="0.0"/>
    <numFmt numFmtId="169" formatCode="0.0000"/>
    <numFmt numFmtId="170" formatCode="0.00&quot; SMMLV&quot;"/>
    <numFmt numFmtId="171" formatCode="&quot;$ &quot;#,##0"/>
    <numFmt numFmtId="172" formatCode="_(&quot;$&quot;* #,##0_);_(&quot;$&quot;* \(#,##0\);_(&quot;$&quot;* &quot;-&quot;??_);_(@_)"/>
  </numFmts>
  <fonts count="50" x14ac:knownFonts="1">
    <font>
      <sz val="11"/>
      <color theme="1"/>
      <name val="Calibri"/>
      <family val="2"/>
      <charset val="1"/>
    </font>
    <font>
      <sz val="10"/>
      <name val="Arial"/>
      <family val="2"/>
    </font>
    <font>
      <i/>
      <sz val="10"/>
      <name val="Arial"/>
      <family val="2"/>
    </font>
    <font>
      <b/>
      <sz val="11"/>
      <name val="Arial"/>
      <family val="2"/>
    </font>
    <font>
      <sz val="10"/>
      <name val="Arial"/>
      <family val="2"/>
    </font>
    <font>
      <b/>
      <sz val="13"/>
      <name val="Arial"/>
      <family val="2"/>
    </font>
    <font>
      <b/>
      <sz val="11"/>
      <color rgb="FFFFFFFF"/>
      <name val="Arial"/>
      <family val="2"/>
    </font>
    <font>
      <b/>
      <sz val="10"/>
      <name val="Arial"/>
      <family val="2"/>
    </font>
    <font>
      <sz val="10"/>
      <color rgb="FF0000FF"/>
      <name val="Arial"/>
      <family val="2"/>
    </font>
    <font>
      <sz val="10"/>
      <color rgb="FF008000"/>
      <name val="Arial"/>
      <family val="2"/>
    </font>
    <font>
      <b/>
      <sz val="9"/>
      <name val="Arial"/>
      <family val="2"/>
    </font>
    <font>
      <sz val="9.5"/>
      <name val="Arial"/>
      <family val="2"/>
    </font>
    <font>
      <i/>
      <sz val="8"/>
      <color rgb="FF777777"/>
      <name val="Arial"/>
      <family val="2"/>
    </font>
    <font>
      <i/>
      <sz val="9"/>
      <name val="Arial"/>
      <family val="2"/>
    </font>
    <font>
      <sz val="9"/>
      <name val="Arial"/>
      <family val="2"/>
    </font>
    <font>
      <sz val="8"/>
      <color rgb="FFAAAAAA"/>
      <name val="Arial"/>
      <family val="2"/>
    </font>
    <font>
      <i/>
      <sz val="9.5"/>
      <name val="Arial"/>
      <family val="2"/>
    </font>
    <font>
      <sz val="10"/>
      <color rgb="FF000000"/>
      <name val="Arial"/>
      <family val="2"/>
    </font>
    <font>
      <sz val="10"/>
      <name val="Arial"/>
      <family val="2"/>
    </font>
    <font>
      <b/>
      <sz val="10"/>
      <color rgb="FFC00000"/>
      <name val="Arial"/>
      <family val="2"/>
    </font>
    <font>
      <b/>
      <sz val="10.5"/>
      <name val="Arial"/>
      <family val="2"/>
    </font>
    <font>
      <i/>
      <sz val="8.5"/>
      <name val="Arial"/>
      <family val="2"/>
    </font>
    <font>
      <sz val="11"/>
      <color theme="1"/>
      <name val="Aptos Display"/>
      <family val="2"/>
    </font>
    <font>
      <b/>
      <sz val="11"/>
      <name val="Aptos Display"/>
      <family val="2"/>
    </font>
    <font>
      <sz val="10"/>
      <name val="Aptos Display"/>
      <family val="2"/>
    </font>
    <font>
      <sz val="10"/>
      <color rgb="FF00B0F0"/>
      <name val="Aptos Display"/>
      <family val="2"/>
    </font>
    <font>
      <sz val="9"/>
      <color indexed="81"/>
      <name val="Tahoma"/>
      <family val="2"/>
    </font>
    <font>
      <i/>
      <sz val="8"/>
      <color rgb="FF777777"/>
      <name val="Arial"/>
      <family val="2"/>
    </font>
    <font>
      <sz val="9.5"/>
      <name val="Arial"/>
      <family val="2"/>
    </font>
    <font>
      <i/>
      <sz val="8"/>
      <color theme="0" tint="-0.249977111117893"/>
      <name val="Arial"/>
      <family val="2"/>
    </font>
    <font>
      <sz val="10"/>
      <color theme="0" tint="-0.249977111117893"/>
      <name val="Arial"/>
      <family val="2"/>
    </font>
    <font>
      <i/>
      <sz val="10"/>
      <name val="Arial"/>
      <family val="2"/>
    </font>
    <font>
      <b/>
      <sz val="10"/>
      <name val="Arial"/>
      <family val="2"/>
    </font>
    <font>
      <i/>
      <sz val="8"/>
      <color rgb="FF555555"/>
      <name val="Arial"/>
      <family val="2"/>
    </font>
    <font>
      <b/>
      <sz val="11"/>
      <name val="Arial"/>
      <family val="2"/>
    </font>
    <font>
      <i/>
      <u/>
      <sz val="9"/>
      <name val="Arial"/>
      <family val="2"/>
    </font>
    <font>
      <i/>
      <sz val="11"/>
      <color theme="1"/>
      <name val="Calibri"/>
      <family val="2"/>
    </font>
    <font>
      <b/>
      <sz val="13"/>
      <name val="Arial"/>
      <family val="2"/>
    </font>
    <font>
      <b/>
      <sz val="10.5"/>
      <name val="Arial"/>
      <family val="2"/>
    </font>
    <font>
      <sz val="9"/>
      <name val="Arial"/>
      <family val="2"/>
    </font>
    <font>
      <b/>
      <sz val="9"/>
      <color indexed="81"/>
      <name val="Tahoma"/>
      <family val="2"/>
    </font>
    <font>
      <i/>
      <sz val="8.5"/>
      <name val="Arial"/>
      <family val="2"/>
    </font>
    <font>
      <sz val="10"/>
      <color rgb="FF000000"/>
      <name val="Arial"/>
      <family val="2"/>
    </font>
    <font>
      <b/>
      <sz val="11"/>
      <color theme="0"/>
      <name val="Arial"/>
      <family val="2"/>
    </font>
    <font>
      <sz val="10"/>
      <color theme="3" tint="-0.249977111117893"/>
      <name val="Arial"/>
      <family val="2"/>
    </font>
    <font>
      <sz val="8"/>
      <color theme="3" tint="-0.249977111117893"/>
      <name val="Arial"/>
      <family val="2"/>
    </font>
    <font>
      <b/>
      <sz val="14"/>
      <color theme="0"/>
      <name val="Aptos Display"/>
      <family val="2"/>
    </font>
    <font>
      <u/>
      <sz val="11"/>
      <color theme="10"/>
      <name val="Calibri"/>
      <family val="2"/>
      <charset val="1"/>
    </font>
    <font>
      <sz val="11"/>
      <color theme="1"/>
      <name val="Calibri"/>
      <family val="2"/>
      <charset val="1"/>
    </font>
    <font>
      <sz val="8"/>
      <color theme="0" tint="-0.249977111117893"/>
      <name val="Arial"/>
      <family val="2"/>
    </font>
  </fonts>
  <fills count="14">
    <fill>
      <patternFill patternType="none"/>
    </fill>
    <fill>
      <patternFill patternType="gray125"/>
    </fill>
    <fill>
      <patternFill patternType="solid">
        <fgColor rgb="FFE2EFDA"/>
        <bgColor rgb="FFD9E1F2"/>
      </patternFill>
    </fill>
    <fill>
      <patternFill patternType="solid">
        <fgColor theme="0" tint="-4.9989318521683403E-2"/>
        <bgColor indexed="64"/>
      </patternFill>
    </fill>
    <fill>
      <patternFill patternType="solid">
        <fgColor theme="6" tint="-0.249977111117893"/>
        <bgColor rgb="FF003366"/>
      </patternFill>
    </fill>
    <fill>
      <patternFill patternType="solid">
        <fgColor theme="6" tint="-0.499984740745262"/>
        <bgColor rgb="FFE2EFDA"/>
      </patternFill>
    </fill>
    <fill>
      <patternFill patternType="solid">
        <fgColor theme="6" tint="-0.499984740745262"/>
        <bgColor rgb="FF003366"/>
      </patternFill>
    </fill>
    <fill>
      <patternFill patternType="solid">
        <fgColor theme="6" tint="0.79998168889431442"/>
        <bgColor rgb="FFE2EFDA"/>
      </patternFill>
    </fill>
    <fill>
      <patternFill patternType="solid">
        <fgColor theme="6" tint="0.39997558519241921"/>
        <bgColor rgb="FFE2EFDA"/>
      </patternFill>
    </fill>
    <fill>
      <patternFill patternType="solid">
        <fgColor theme="6" tint="0.39997558519241921"/>
        <bgColor indexed="64"/>
      </patternFill>
    </fill>
    <fill>
      <patternFill patternType="solid">
        <fgColor theme="6" tint="-0.499984740745262"/>
        <bgColor indexed="64"/>
      </patternFill>
    </fill>
    <fill>
      <patternFill patternType="solid">
        <fgColor rgb="FF1F4E78"/>
        <bgColor rgb="FF003366"/>
      </patternFill>
    </fill>
    <fill>
      <patternFill patternType="solid">
        <fgColor rgb="FFD9E1F2"/>
        <bgColor rgb="FFE2EFDA"/>
      </patternFill>
    </fill>
    <fill>
      <patternFill patternType="solid">
        <fgColor theme="5"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rgb="FFBFBFBF"/>
      </right>
      <top style="thin">
        <color rgb="FFBFBFBF"/>
      </top>
      <bottom style="thin">
        <color rgb="FFBFBFBF"/>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style="medium">
        <color indexed="64"/>
      </bottom>
      <diagonal/>
    </border>
  </borders>
  <cellStyleXfs count="4">
    <xf numFmtId="0" fontId="0" fillId="0" borderId="0"/>
    <xf numFmtId="9" fontId="1" fillId="0" borderId="0" applyBorder="0" applyAlignment="0" applyProtection="0"/>
    <xf numFmtId="0" fontId="47" fillId="0" borderId="0" applyNumberFormat="0" applyFill="0" applyBorder="0" applyAlignment="0" applyProtection="0"/>
    <xf numFmtId="164" fontId="48" fillId="0" borderId="0" applyFont="0" applyFill="0" applyBorder="0" applyAlignment="0" applyProtection="0"/>
  </cellStyleXfs>
  <cellXfs count="226">
    <xf numFmtId="0" fontId="0" fillId="0" borderId="0" xfId="0"/>
    <xf numFmtId="0" fontId="3" fillId="0" borderId="0" xfId="0" applyFont="1"/>
    <xf numFmtId="0" fontId="5" fillId="0" borderId="0" xfId="0" applyFont="1"/>
    <xf numFmtId="0" fontId="19" fillId="0" borderId="0" xfId="0" applyFont="1"/>
    <xf numFmtId="0" fontId="17" fillId="0" borderId="0" xfId="0" applyFont="1"/>
    <xf numFmtId="170" fontId="17" fillId="0" borderId="0" xfId="0" applyNumberFormat="1" applyFont="1"/>
    <xf numFmtId="0" fontId="11" fillId="0" borderId="0" xfId="0" applyFont="1" applyAlignment="1">
      <alignment vertical="top" wrapText="1"/>
    </xf>
    <xf numFmtId="0" fontId="22" fillId="0" borderId="0" xfId="0" applyFont="1"/>
    <xf numFmtId="0" fontId="22" fillId="0" borderId="0" xfId="0" applyFont="1" applyAlignment="1">
      <alignment wrapText="1"/>
    </xf>
    <xf numFmtId="0" fontId="23" fillId="0" borderId="0" xfId="0" applyFont="1"/>
    <xf numFmtId="0" fontId="24" fillId="0" borderId="0" xfId="0" applyFont="1" applyAlignment="1">
      <alignment vertical="top" wrapText="1"/>
    </xf>
    <xf numFmtId="9" fontId="1" fillId="0" borderId="0" xfId="1"/>
    <xf numFmtId="0" fontId="46" fillId="10" borderId="0" xfId="0" applyFont="1" applyFill="1"/>
    <xf numFmtId="166" fontId="8" fillId="0" borderId="1" xfId="0" applyNumberFormat="1" applyFont="1" applyBorder="1"/>
    <xf numFmtId="0" fontId="0" fillId="0" borderId="1" xfId="0" applyBorder="1" applyAlignment="1">
      <alignment horizontal="center"/>
    </xf>
    <xf numFmtId="10" fontId="17" fillId="0" borderId="1" xfId="0" applyNumberFormat="1" applyFont="1" applyBorder="1"/>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7" fillId="0" borderId="5" xfId="0" applyFont="1" applyBorder="1" applyAlignment="1">
      <alignment horizontal="center"/>
    </xf>
    <xf numFmtId="0" fontId="13" fillId="0" borderId="6" xfId="0" applyFont="1" applyBorder="1" applyAlignment="1">
      <alignment vertical="top" wrapText="1"/>
    </xf>
    <xf numFmtId="0" fontId="7" fillId="0" borderId="7" xfId="0" applyFont="1" applyBorder="1" applyAlignment="1">
      <alignment horizontal="center"/>
    </xf>
    <xf numFmtId="166" fontId="8" fillId="0" borderId="8" xfId="0" applyNumberFormat="1" applyFont="1" applyBorder="1"/>
    <xf numFmtId="10" fontId="17" fillId="0" borderId="8" xfId="0" applyNumberFormat="1" applyFont="1" applyBorder="1"/>
    <xf numFmtId="0" fontId="13" fillId="0" borderId="9" xfId="0" applyFont="1" applyBorder="1" applyAlignment="1">
      <alignment vertical="top" wrapText="1"/>
    </xf>
    <xf numFmtId="165" fontId="8" fillId="7" borderId="1" xfId="0" applyNumberFormat="1" applyFont="1" applyFill="1" applyBorder="1"/>
    <xf numFmtId="0" fontId="33" fillId="0" borderId="1" xfId="0" applyFont="1" applyBorder="1" applyAlignment="1">
      <alignment vertical="top" wrapText="1"/>
    </xf>
    <xf numFmtId="0" fontId="12" fillId="3"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0" fillId="0" borderId="1" xfId="0" applyBorder="1"/>
    <xf numFmtId="0" fontId="29" fillId="0" borderId="1" xfId="0" applyFont="1" applyBorder="1"/>
    <xf numFmtId="166" fontId="30" fillId="0" borderId="1" xfId="0" applyNumberFormat="1" applyFont="1" applyBorder="1"/>
    <xf numFmtId="0" fontId="27" fillId="3" borderId="1" xfId="0" applyFont="1" applyFill="1" applyBorder="1"/>
    <xf numFmtId="0" fontId="12" fillId="3" borderId="1" xfId="0" applyFont="1" applyFill="1" applyBorder="1"/>
    <xf numFmtId="0" fontId="32" fillId="0" borderId="5" xfId="0" applyFont="1" applyBorder="1"/>
    <xf numFmtId="0" fontId="10" fillId="0" borderId="5" xfId="0" applyFont="1" applyBorder="1"/>
    <xf numFmtId="0" fontId="11" fillId="0" borderId="5" xfId="0" applyFont="1" applyBorder="1" applyAlignment="1">
      <alignment vertical="center" wrapText="1"/>
    </xf>
    <xf numFmtId="166" fontId="8" fillId="0" borderId="6" xfId="0" applyNumberFormat="1" applyFont="1" applyBorder="1"/>
    <xf numFmtId="0" fontId="28" fillId="0" borderId="5" xfId="0" applyFont="1" applyBorder="1" applyAlignment="1">
      <alignment vertical="center" wrapText="1"/>
    </xf>
    <xf numFmtId="0" fontId="0" fillId="0" borderId="5" xfId="0" applyBorder="1"/>
    <xf numFmtId="0" fontId="0" fillId="0" borderId="6" xfId="0" applyBorder="1"/>
    <xf numFmtId="0" fontId="11" fillId="0" borderId="5" xfId="0" applyFont="1" applyBorder="1"/>
    <xf numFmtId="0" fontId="0" fillId="0" borderId="8" xfId="0" applyBorder="1"/>
    <xf numFmtId="0" fontId="0" fillId="0" borderId="9" xfId="0" applyBorder="1"/>
    <xf numFmtId="0" fontId="0" fillId="0" borderId="11" xfId="0" applyBorder="1"/>
    <xf numFmtId="0" fontId="0" fillId="0" borderId="12" xfId="0" applyBorder="1"/>
    <xf numFmtId="0" fontId="14" fillId="0" borderId="1" xfId="0" applyFont="1" applyBorder="1"/>
    <xf numFmtId="0" fontId="14" fillId="0" borderId="5" xfId="0" applyFont="1" applyBorder="1"/>
    <xf numFmtId="0" fontId="39" fillId="0" borderId="5" xfId="0" applyFont="1" applyBorder="1"/>
    <xf numFmtId="0" fontId="0" fillId="0" borderId="7" xfId="0" applyBorder="1"/>
    <xf numFmtId="166" fontId="17" fillId="0" borderId="1" xfId="0" applyNumberFormat="1" applyFont="1" applyBorder="1"/>
    <xf numFmtId="169" fontId="17" fillId="0" borderId="1" xfId="0" applyNumberFormat="1" applyFont="1" applyBorder="1"/>
    <xf numFmtId="0" fontId="17" fillId="0" borderId="5" xfId="0" applyFont="1" applyBorder="1"/>
    <xf numFmtId="0" fontId="17" fillId="0" borderId="7" xfId="0" applyFont="1" applyBorder="1"/>
    <xf numFmtId="166" fontId="17" fillId="0" borderId="8" xfId="0" applyNumberFormat="1" applyFont="1" applyBorder="1"/>
    <xf numFmtId="169" fontId="17" fillId="0" borderId="8" xfId="0" applyNumberFormat="1" applyFont="1" applyBorder="1"/>
    <xf numFmtId="165" fontId="17" fillId="2" borderId="1" xfId="0" applyNumberFormat="1" applyFont="1" applyFill="1" applyBorder="1"/>
    <xf numFmtId="165" fontId="17" fillId="2" borderId="8" xfId="0" applyNumberFormat="1" applyFont="1" applyFill="1" applyBorder="1"/>
    <xf numFmtId="0" fontId="7" fillId="0" borderId="7" xfId="0" applyFont="1" applyBorder="1"/>
    <xf numFmtId="165" fontId="8" fillId="8" borderId="1" xfId="0" applyNumberFormat="1" applyFont="1" applyFill="1" applyBorder="1"/>
    <xf numFmtId="165" fontId="8" fillId="8" borderId="1" xfId="0" applyNumberFormat="1" applyFont="1" applyFill="1" applyBorder="1" applyAlignment="1">
      <alignment horizontal="center"/>
    </xf>
    <xf numFmtId="166" fontId="9" fillId="0" borderId="1" xfId="0" applyNumberFormat="1" applyFont="1" applyBorder="1"/>
    <xf numFmtId="165" fontId="8" fillId="8" borderId="5" xfId="0" applyNumberFormat="1" applyFont="1" applyFill="1" applyBorder="1"/>
    <xf numFmtId="0" fontId="42" fillId="0" borderId="5" xfId="0" applyFont="1" applyBorder="1"/>
    <xf numFmtId="0" fontId="42" fillId="0" borderId="7" xfId="0" applyFont="1" applyBorder="1"/>
    <xf numFmtId="166" fontId="9" fillId="0" borderId="8" xfId="0" applyNumberFormat="1" applyFont="1" applyBorder="1"/>
    <xf numFmtId="0" fontId="6" fillId="4" borderId="1" xfId="0" applyFont="1" applyFill="1" applyBorder="1" applyAlignment="1">
      <alignment horizontal="center" vertical="center" wrapText="1"/>
    </xf>
    <xf numFmtId="168" fontId="44" fillId="0" borderId="1" xfId="0" applyNumberFormat="1" applyFont="1" applyBorder="1"/>
    <xf numFmtId="166" fontId="44" fillId="0" borderId="1" xfId="0" applyNumberFormat="1" applyFont="1" applyBorder="1"/>
    <xf numFmtId="166" fontId="7" fillId="2" borderId="1" xfId="0" applyNumberFormat="1" applyFont="1" applyFill="1" applyBorder="1"/>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0" borderId="5" xfId="0" applyFont="1" applyBorder="1"/>
    <xf numFmtId="167" fontId="17" fillId="0" borderId="6" xfId="0" applyNumberFormat="1" applyFont="1" applyBorder="1"/>
    <xf numFmtId="0" fontId="15" fillId="0" borderId="1" xfId="0" applyFont="1" applyBorder="1" applyAlignment="1">
      <alignment horizontal="center"/>
    </xf>
    <xf numFmtId="0" fontId="45" fillId="0" borderId="1" xfId="0" applyFont="1" applyBorder="1" applyAlignment="1">
      <alignment horizontal="center"/>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166" fontId="9" fillId="0" borderId="6" xfId="0" applyNumberFormat="1" applyFont="1" applyBorder="1"/>
    <xf numFmtId="166" fontId="7" fillId="8" borderId="9" xfId="0" applyNumberFormat="1" applyFont="1" applyFill="1" applyBorder="1"/>
    <xf numFmtId="0" fontId="6" fillId="0" borderId="19" xfId="0" applyFont="1" applyBorder="1" applyAlignment="1">
      <alignment horizontal="center" vertical="center" wrapText="1"/>
    </xf>
    <xf numFmtId="168" fontId="9" fillId="0" borderId="0" xfId="0" applyNumberFormat="1" applyFont="1"/>
    <xf numFmtId="166" fontId="17" fillId="0" borderId="0" xfId="0" applyNumberFormat="1" applyFont="1"/>
    <xf numFmtId="169" fontId="17" fillId="0" borderId="0" xfId="0" applyNumberFormat="1" applyFont="1"/>
    <xf numFmtId="0" fontId="47" fillId="0" borderId="0" xfId="2"/>
    <xf numFmtId="171" fontId="8" fillId="0" borderId="1" xfId="0" applyNumberFormat="1" applyFont="1" applyBorder="1"/>
    <xf numFmtId="167" fontId="0" fillId="0" borderId="0" xfId="0" applyNumberFormat="1"/>
    <xf numFmtId="0" fontId="6" fillId="6" borderId="15" xfId="0" applyFont="1" applyFill="1" applyBorder="1" applyAlignment="1">
      <alignment horizontal="center" vertical="center" wrapText="1"/>
    </xf>
    <xf numFmtId="167" fontId="1" fillId="0" borderId="0" xfId="1" applyNumberFormat="1"/>
    <xf numFmtId="167" fontId="1" fillId="0" borderId="0" xfId="0" applyNumberFormat="1" applyFont="1"/>
    <xf numFmtId="0" fontId="17" fillId="0" borderId="5" xfId="0" applyFont="1" applyBorder="1" applyAlignment="1">
      <alignment vertical="center" wrapText="1"/>
    </xf>
    <xf numFmtId="164" fontId="18" fillId="0" borderId="1" xfId="3" applyFont="1" applyBorder="1" applyAlignment="1">
      <alignment vertical="center"/>
    </xf>
    <xf numFmtId="0" fontId="13" fillId="0" borderId="6" xfId="0" applyFont="1" applyBorder="1" applyAlignment="1">
      <alignment vertical="center" wrapText="1"/>
    </xf>
    <xf numFmtId="0" fontId="17" fillId="0" borderId="10" xfId="0" applyFont="1" applyBorder="1" applyAlignment="1">
      <alignment vertical="center" wrapText="1"/>
    </xf>
    <xf numFmtId="0" fontId="13" fillId="0" borderId="12" xfId="0" applyFont="1" applyBorder="1" applyAlignment="1">
      <alignment vertical="center" wrapText="1"/>
    </xf>
    <xf numFmtId="0" fontId="7" fillId="0" borderId="7" xfId="0" applyFont="1" applyBorder="1" applyAlignment="1">
      <alignment vertical="center" wrapText="1"/>
    </xf>
    <xf numFmtId="167" fontId="17" fillId="8" borderId="8" xfId="0" applyNumberFormat="1" applyFont="1" applyFill="1" applyBorder="1" applyAlignment="1">
      <alignment vertical="center"/>
    </xf>
    <xf numFmtId="167" fontId="17" fillId="8" borderId="20" xfId="0" applyNumberFormat="1" applyFont="1" applyFill="1" applyBorder="1" applyAlignment="1">
      <alignment vertical="center"/>
    </xf>
    <xf numFmtId="0" fontId="13" fillId="0" borderId="9" xfId="0" applyFont="1" applyBorder="1" applyAlignment="1">
      <alignment horizontal="left" vertical="center" wrapText="1"/>
    </xf>
    <xf numFmtId="172" fontId="18" fillId="0" borderId="13" xfId="3" applyNumberFormat="1" applyFont="1" applyBorder="1" applyAlignment="1">
      <alignment vertical="center"/>
    </xf>
    <xf numFmtId="167" fontId="18" fillId="0" borderId="13" xfId="0" applyNumberFormat="1" applyFont="1" applyBorder="1" applyAlignment="1">
      <alignment horizontal="center" vertical="center"/>
    </xf>
    <xf numFmtId="167" fontId="17" fillId="8" borderId="20" xfId="0" applyNumberFormat="1" applyFont="1" applyFill="1" applyBorder="1" applyAlignment="1">
      <alignment horizontal="center" vertical="center"/>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21" fillId="0" borderId="6" xfId="0" applyFont="1" applyBorder="1"/>
    <xf numFmtId="0" fontId="41" fillId="0" borderId="6" xfId="0" applyFont="1" applyBorder="1"/>
    <xf numFmtId="0" fontId="41" fillId="0" borderId="9" xfId="0" applyFont="1" applyBorder="1"/>
    <xf numFmtId="0" fontId="17" fillId="0" borderId="2" xfId="0" applyFont="1" applyBorder="1" applyAlignment="1">
      <alignment horizontal="center" vertical="center" wrapText="1"/>
    </xf>
    <xf numFmtId="169" fontId="17" fillId="0" borderId="3" xfId="0" applyNumberFormat="1" applyFont="1" applyBorder="1" applyAlignment="1">
      <alignment horizontal="center" vertical="center" wrapText="1"/>
    </xf>
    <xf numFmtId="0" fontId="17" fillId="0" borderId="5" xfId="0" applyFont="1" applyBorder="1" applyAlignment="1">
      <alignment horizontal="center" vertical="center" wrapText="1"/>
    </xf>
    <xf numFmtId="169" fontId="17" fillId="0" borderId="1" xfId="0" applyNumberFormat="1" applyFont="1" applyBorder="1" applyAlignment="1">
      <alignment horizontal="center" vertical="center" wrapText="1"/>
    </xf>
    <xf numFmtId="167" fontId="17" fillId="0" borderId="1"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17" fillId="0" borderId="2" xfId="0" applyFont="1" applyBorder="1" applyAlignment="1">
      <alignment horizontal="center"/>
    </xf>
    <xf numFmtId="168" fontId="9" fillId="0" borderId="3" xfId="0" applyNumberFormat="1" applyFont="1" applyBorder="1" applyAlignment="1">
      <alignment horizontal="center"/>
    </xf>
    <xf numFmtId="166" fontId="17" fillId="0" borderId="3" xfId="0" applyNumberFormat="1" applyFont="1" applyBorder="1" applyAlignment="1">
      <alignment horizontal="center"/>
    </xf>
    <xf numFmtId="169" fontId="17" fillId="0" borderId="3" xfId="0" applyNumberFormat="1" applyFont="1" applyBorder="1" applyAlignment="1">
      <alignment horizontal="center"/>
    </xf>
    <xf numFmtId="169" fontId="17" fillId="0" borderId="4" xfId="0" applyNumberFormat="1" applyFont="1" applyBorder="1" applyAlignment="1">
      <alignment horizontal="center"/>
    </xf>
    <xf numFmtId="0" fontId="17" fillId="0" borderId="5" xfId="0" applyFont="1" applyBorder="1" applyAlignment="1">
      <alignment horizontal="center"/>
    </xf>
    <xf numFmtId="168" fontId="9" fillId="0" borderId="1" xfId="0" applyNumberFormat="1" applyFont="1" applyBorder="1" applyAlignment="1">
      <alignment horizontal="center"/>
    </xf>
    <xf numFmtId="166" fontId="17" fillId="0" borderId="1" xfId="0" applyNumberFormat="1" applyFont="1" applyBorder="1" applyAlignment="1">
      <alignment horizontal="center"/>
    </xf>
    <xf numFmtId="169" fontId="17" fillId="0" borderId="1" xfId="0" applyNumberFormat="1" applyFont="1" applyBorder="1" applyAlignment="1">
      <alignment horizontal="center"/>
    </xf>
    <xf numFmtId="169" fontId="17" fillId="0" borderId="6" xfId="0" applyNumberFormat="1" applyFont="1" applyBorder="1" applyAlignment="1">
      <alignment horizontal="center"/>
    </xf>
    <xf numFmtId="2" fontId="9" fillId="0" borderId="1" xfId="0" applyNumberFormat="1" applyFont="1" applyBorder="1" applyAlignment="1">
      <alignment horizontal="center"/>
    </xf>
    <xf numFmtId="0" fontId="17" fillId="0" borderId="7" xfId="0" applyFont="1" applyBorder="1" applyAlignment="1">
      <alignment horizontal="center"/>
    </xf>
    <xf numFmtId="2" fontId="9" fillId="0" borderId="8" xfId="0" applyNumberFormat="1" applyFont="1" applyBorder="1" applyAlignment="1">
      <alignment horizontal="center"/>
    </xf>
    <xf numFmtId="166" fontId="17" fillId="0" borderId="8" xfId="0" applyNumberFormat="1" applyFont="1" applyBorder="1" applyAlignment="1">
      <alignment horizontal="center"/>
    </xf>
    <xf numFmtId="169" fontId="17" fillId="0" borderId="8" xfId="0" applyNumberFormat="1" applyFont="1" applyBorder="1" applyAlignment="1">
      <alignment horizontal="center"/>
    </xf>
    <xf numFmtId="169" fontId="17" fillId="0" borderId="9" xfId="0" applyNumberFormat="1" applyFont="1" applyBorder="1" applyAlignment="1">
      <alignment horizontal="center"/>
    </xf>
    <xf numFmtId="165" fontId="1" fillId="13" borderId="6" xfId="0" applyNumberFormat="1" applyFont="1" applyFill="1" applyBorder="1" applyAlignment="1">
      <alignment wrapText="1"/>
    </xf>
    <xf numFmtId="169" fontId="17" fillId="2" borderId="1" xfId="0" applyNumberFormat="1" applyFont="1" applyFill="1" applyBorder="1" applyAlignment="1">
      <alignment horizontal="center"/>
    </xf>
    <xf numFmtId="0" fontId="17" fillId="0" borderId="5" xfId="0" applyFont="1" applyBorder="1" applyAlignment="1">
      <alignment vertical="center"/>
    </xf>
    <xf numFmtId="165" fontId="9" fillId="12" borderId="1" xfId="0" applyNumberFormat="1" applyFont="1" applyFill="1" applyBorder="1"/>
    <xf numFmtId="0" fontId="12" fillId="0" borderId="1" xfId="0" applyFont="1" applyBorder="1" applyAlignment="1">
      <alignment horizontal="center" vertical="center" wrapText="1"/>
    </xf>
    <xf numFmtId="0" fontId="12" fillId="0" borderId="1" xfId="0" applyFont="1" applyBorder="1"/>
    <xf numFmtId="0" fontId="15" fillId="0" borderId="1" xfId="0" applyFont="1" applyBorder="1"/>
    <xf numFmtId="0" fontId="6" fillId="11" borderId="3" xfId="0" applyFont="1" applyFill="1" applyBorder="1" applyAlignment="1">
      <alignment horizontal="center" vertical="center" wrapText="1"/>
    </xf>
    <xf numFmtId="0" fontId="6" fillId="11" borderId="4" xfId="0" applyFont="1" applyFill="1" applyBorder="1" applyAlignment="1">
      <alignment horizontal="center" vertical="center" wrapText="1"/>
    </xf>
    <xf numFmtId="165" fontId="9" fillId="12" borderId="6" xfId="0" applyNumberFormat="1" applyFont="1" applyFill="1" applyBorder="1"/>
    <xf numFmtId="0" fontId="33" fillId="0" borderId="6" xfId="0" applyFont="1" applyBorder="1" applyAlignment="1">
      <alignment vertical="top" wrapText="1"/>
    </xf>
    <xf numFmtId="0" fontId="12" fillId="0" borderId="6" xfId="0" applyFont="1" applyBorder="1" applyAlignment="1">
      <alignment horizontal="center" vertical="center" wrapText="1"/>
    </xf>
    <xf numFmtId="0" fontId="12" fillId="0" borderId="6" xfId="0" applyFont="1" applyBorder="1"/>
    <xf numFmtId="0" fontId="7" fillId="8" borderId="5" xfId="0" applyFont="1" applyFill="1" applyBorder="1"/>
    <xf numFmtId="0" fontId="7" fillId="8" borderId="1" xfId="0" applyFont="1" applyFill="1" applyBorder="1"/>
    <xf numFmtId="0" fontId="7" fillId="8" borderId="6" xfId="0" applyFont="1" applyFill="1" applyBorder="1"/>
    <xf numFmtId="0" fontId="32" fillId="8" borderId="5" xfId="0" applyFont="1" applyFill="1" applyBorder="1"/>
    <xf numFmtId="0" fontId="32" fillId="8" borderId="1" xfId="0" applyFont="1" applyFill="1" applyBorder="1"/>
    <xf numFmtId="0" fontId="32" fillId="8" borderId="6" xfId="0" applyFont="1" applyFill="1" applyBorder="1"/>
    <xf numFmtId="0" fontId="35" fillId="9" borderId="5" xfId="0" applyFont="1" applyFill="1" applyBorder="1"/>
    <xf numFmtId="0" fontId="35" fillId="9" borderId="1" xfId="0" applyFont="1" applyFill="1" applyBorder="1"/>
    <xf numFmtId="0" fontId="35" fillId="9" borderId="6" xfId="0" applyFont="1" applyFill="1" applyBorder="1"/>
    <xf numFmtId="165" fontId="8" fillId="7" borderId="13" xfId="0" applyNumberFormat="1" applyFont="1" applyFill="1" applyBorder="1"/>
    <xf numFmtId="0" fontId="33" fillId="0" borderId="13" xfId="0" applyFont="1" applyBorder="1" applyAlignment="1">
      <alignment vertical="top" wrapText="1"/>
    </xf>
    <xf numFmtId="0" fontId="7" fillId="8" borderId="13" xfId="0" applyFont="1" applyFill="1" applyBorder="1"/>
    <xf numFmtId="166" fontId="8" fillId="0" borderId="13" xfId="0" applyNumberFormat="1" applyFont="1" applyBorder="1"/>
    <xf numFmtId="0" fontId="12" fillId="3" borderId="13" xfId="0" applyFont="1" applyFill="1" applyBorder="1" applyAlignment="1">
      <alignment horizontal="center" vertical="center" wrapText="1"/>
    </xf>
    <xf numFmtId="0" fontId="0" fillId="0" borderId="13" xfId="0" applyBorder="1"/>
    <xf numFmtId="0" fontId="32" fillId="8" borderId="13" xfId="0" applyFont="1" applyFill="1" applyBorder="1"/>
    <xf numFmtId="0" fontId="12" fillId="3" borderId="13" xfId="0" applyFont="1" applyFill="1" applyBorder="1"/>
    <xf numFmtId="0" fontId="35" fillId="9" borderId="13" xfId="0" applyFont="1" applyFill="1" applyBorder="1"/>
    <xf numFmtId="0" fontId="29" fillId="0" borderId="13" xfId="0" applyFont="1" applyBorder="1"/>
    <xf numFmtId="0" fontId="6" fillId="11" borderId="2" xfId="0" applyFont="1" applyFill="1" applyBorder="1" applyAlignment="1">
      <alignment horizontal="center" vertical="center" wrapText="1"/>
    </xf>
    <xf numFmtId="165" fontId="9" fillId="12" borderId="5" xfId="0" applyNumberFormat="1" applyFont="1" applyFill="1" applyBorder="1"/>
    <xf numFmtId="0" fontId="33" fillId="0" borderId="5" xfId="0" applyFont="1" applyBorder="1" applyAlignment="1">
      <alignment vertical="top" wrapText="1"/>
    </xf>
    <xf numFmtId="166" fontId="8" fillId="0" borderId="5" xfId="0" applyNumberFormat="1" applyFont="1" applyBorder="1"/>
    <xf numFmtId="0" fontId="12" fillId="0" borderId="5" xfId="0" applyFont="1" applyBorder="1" applyAlignment="1">
      <alignment horizontal="center" vertical="center" wrapText="1"/>
    </xf>
    <xf numFmtId="0" fontId="12" fillId="0" borderId="5" xfId="0" applyFont="1" applyBorder="1"/>
    <xf numFmtId="166" fontId="30" fillId="0" borderId="5" xfId="0" applyNumberFormat="1" applyFont="1" applyBorder="1"/>
    <xf numFmtId="0" fontId="49" fillId="0" borderId="1" xfId="0" applyFont="1" applyBorder="1"/>
    <xf numFmtId="0" fontId="49" fillId="0" borderId="6" xfId="0" applyFont="1" applyBorder="1"/>
    <xf numFmtId="0" fontId="49" fillId="0" borderId="5" xfId="0" applyFont="1" applyBorder="1"/>
    <xf numFmtId="166" fontId="30" fillId="0" borderId="6" xfId="0" applyNumberFormat="1" applyFont="1" applyBorder="1"/>
    <xf numFmtId="166" fontId="30" fillId="0" borderId="13" xfId="0" applyNumberFormat="1" applyFont="1" applyBorder="1"/>
    <xf numFmtId="0" fontId="0" fillId="0" borderId="10" xfId="0" applyBorder="1"/>
    <xf numFmtId="0" fontId="0" fillId="0" borderId="24" xfId="0" applyBorder="1"/>
    <xf numFmtId="166" fontId="14" fillId="0" borderId="1" xfId="0" applyNumberFormat="1" applyFont="1" applyBorder="1"/>
    <xf numFmtId="0" fontId="34" fillId="8" borderId="2" xfId="0" applyFont="1" applyFill="1" applyBorder="1"/>
    <xf numFmtId="0" fontId="34" fillId="8" borderId="3" xfId="0" applyFont="1" applyFill="1" applyBorder="1"/>
    <xf numFmtId="0" fontId="34" fillId="8" borderId="4" xfId="0" applyFont="1" applyFill="1" applyBorder="1"/>
    <xf numFmtId="0" fontId="16" fillId="0" borderId="5" xfId="0" applyFont="1" applyBorder="1"/>
    <xf numFmtId="166" fontId="14" fillId="0" borderId="6" xfId="0" applyNumberFormat="1" applyFont="1" applyBorder="1"/>
    <xf numFmtId="0" fontId="29" fillId="0" borderId="6" xfId="0" applyFont="1" applyBorder="1"/>
    <xf numFmtId="0" fontId="16" fillId="0" borderId="7" xfId="0" applyFont="1" applyBorder="1"/>
    <xf numFmtId="0" fontId="29" fillId="0" borderId="8" xfId="0" applyFont="1" applyBorder="1"/>
    <xf numFmtId="166" fontId="14" fillId="0" borderId="5" xfId="0" applyNumberFormat="1" applyFont="1" applyBorder="1"/>
    <xf numFmtId="0" fontId="29" fillId="0" borderId="5" xfId="0" applyFont="1" applyBorder="1"/>
    <xf numFmtId="166" fontId="14" fillId="0" borderId="7" xfId="0" applyNumberFormat="1" applyFont="1" applyBorder="1"/>
    <xf numFmtId="0" fontId="29" fillId="0" borderId="1" xfId="0" applyFont="1" applyBorder="1" applyAlignment="1">
      <alignment wrapText="1"/>
    </xf>
    <xf numFmtId="0" fontId="29" fillId="0" borderId="6" xfId="0" applyFont="1" applyBorder="1" applyAlignment="1">
      <alignment wrapText="1"/>
    </xf>
    <xf numFmtId="0" fontId="29" fillId="0" borderId="9" xfId="0" applyFont="1" applyBorder="1"/>
    <xf numFmtId="166" fontId="29" fillId="0" borderId="5" xfId="0" applyNumberFormat="1" applyFont="1" applyBorder="1"/>
    <xf numFmtId="166" fontId="29" fillId="0" borderId="1" xfId="0" applyNumberFormat="1" applyFont="1" applyBorder="1"/>
    <xf numFmtId="166" fontId="29" fillId="0" borderId="6" xfId="0" applyNumberFormat="1" applyFont="1" applyBorder="1"/>
    <xf numFmtId="0" fontId="1" fillId="0" borderId="0" xfId="0" applyFont="1" applyAlignment="1">
      <alignment vertical="top" wrapText="1"/>
    </xf>
    <xf numFmtId="0" fontId="1" fillId="0" borderId="5" xfId="0" applyFont="1" applyBorder="1"/>
    <xf numFmtId="172" fontId="0" fillId="0" borderId="0" xfId="3" applyNumberFormat="1" applyFont="1"/>
    <xf numFmtId="0" fontId="5" fillId="0" borderId="0" xfId="0" applyFont="1"/>
    <xf numFmtId="0" fontId="31" fillId="0" borderId="0" xfId="0" applyFont="1" applyAlignment="1">
      <alignment horizontal="left" wrapText="1"/>
    </xf>
    <xf numFmtId="0" fontId="3" fillId="0" borderId="0" xfId="0" applyFont="1"/>
    <xf numFmtId="0" fontId="2" fillId="0" borderId="0" xfId="0" applyFont="1" applyAlignment="1">
      <alignment vertical="top" wrapText="1"/>
    </xf>
    <xf numFmtId="0" fontId="16" fillId="0" borderId="0" xfId="0" applyFont="1" applyAlignment="1">
      <alignment vertical="top" wrapText="1"/>
    </xf>
    <xf numFmtId="0" fontId="6" fillId="6" borderId="15" xfId="0" applyFont="1" applyFill="1" applyBorder="1" applyAlignment="1">
      <alignment horizontal="center" vertical="center" wrapText="1"/>
    </xf>
    <xf numFmtId="0" fontId="6" fillId="6" borderId="17" xfId="0" applyFont="1" applyFill="1" applyBorder="1" applyAlignment="1">
      <alignment horizontal="center" vertical="center" wrapText="1"/>
    </xf>
    <xf numFmtId="165" fontId="17" fillId="2" borderId="13" xfId="0" applyNumberFormat="1" applyFont="1" applyFill="1" applyBorder="1" applyAlignment="1">
      <alignment horizontal="center"/>
    </xf>
    <xf numFmtId="165" fontId="17" fillId="2" borderId="18" xfId="0" applyNumberFormat="1" applyFont="1" applyFill="1" applyBorder="1" applyAlignment="1">
      <alignment horizontal="center"/>
    </xf>
    <xf numFmtId="165" fontId="17" fillId="2" borderId="20" xfId="0" applyNumberFormat="1" applyFont="1" applyFill="1" applyBorder="1" applyAlignment="1">
      <alignment horizontal="center"/>
    </xf>
    <xf numFmtId="165" fontId="17" fillId="2" borderId="25" xfId="0" applyNumberFormat="1" applyFont="1" applyFill="1" applyBorder="1" applyAlignment="1">
      <alignment horizontal="center"/>
    </xf>
    <xf numFmtId="0" fontId="20" fillId="0" borderId="0" xfId="0" applyFont="1"/>
    <xf numFmtId="0" fontId="37" fillId="0" borderId="0" xfId="0" applyFont="1"/>
    <xf numFmtId="0" fontId="38" fillId="0" borderId="0" xfId="0" applyFont="1"/>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36" fillId="9" borderId="15" xfId="0" applyFont="1" applyFill="1" applyBorder="1" applyAlignment="1">
      <alignment horizontal="left" vertical="center" wrapText="1"/>
    </xf>
    <xf numFmtId="0" fontId="36" fillId="9" borderId="16" xfId="0" applyFont="1" applyFill="1" applyBorder="1" applyAlignment="1">
      <alignment horizontal="left" vertical="center" wrapText="1"/>
    </xf>
    <xf numFmtId="0" fontId="36" fillId="9" borderId="17" xfId="0" applyFont="1" applyFill="1" applyBorder="1" applyAlignment="1">
      <alignment horizontal="left" vertical="center" wrapText="1"/>
    </xf>
    <xf numFmtId="0" fontId="36" fillId="9" borderId="13" xfId="0" applyFont="1" applyFill="1" applyBorder="1" applyAlignment="1">
      <alignment horizontal="left" vertical="center" wrapText="1"/>
    </xf>
    <xf numFmtId="0" fontId="36" fillId="9" borderId="14" xfId="0" applyFont="1" applyFill="1" applyBorder="1" applyAlignment="1">
      <alignment horizontal="left" vertical="center" wrapText="1"/>
    </xf>
    <xf numFmtId="0" fontId="36" fillId="9" borderId="18" xfId="0" applyFont="1" applyFill="1" applyBorder="1" applyAlignment="1">
      <alignment horizontal="left" vertical="center" wrapText="1"/>
    </xf>
    <xf numFmtId="0" fontId="0" fillId="0" borderId="0" xfId="0" applyAlignment="1">
      <alignment horizontal="center"/>
    </xf>
    <xf numFmtId="0" fontId="43" fillId="5" borderId="2" xfId="0" applyFont="1" applyFill="1" applyBorder="1"/>
    <xf numFmtId="0" fontId="43" fillId="5" borderId="3" xfId="0" applyFont="1" applyFill="1" applyBorder="1"/>
    <xf numFmtId="0" fontId="43" fillId="5" borderId="4" xfId="0" applyFont="1" applyFill="1" applyBorder="1"/>
    <xf numFmtId="0" fontId="31" fillId="0" borderId="0" xfId="0" applyFont="1" applyAlignment="1">
      <alignment wrapText="1"/>
    </xf>
    <xf numFmtId="0" fontId="2" fillId="0" borderId="0" xfId="0" applyFont="1" applyAlignment="1">
      <alignment wrapText="1"/>
    </xf>
    <xf numFmtId="0" fontId="2" fillId="0" borderId="0" xfId="0" applyFont="1"/>
  </cellXfs>
  <cellStyles count="4">
    <cellStyle name="Hipervínculo" xfId="2" builtinId="8"/>
    <cellStyle name="Moneda" xfId="3" builtinId="4"/>
    <cellStyle name="Normal" xfId="0" builtinId="0"/>
    <cellStyle name="Porcentaje" xfId="1" builtinId="5"/>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777777"/>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555555"/>
      <rgbColor rgb="FFAAAAAA"/>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29"/>
  <sheetViews>
    <sheetView showGridLines="0" tabSelected="1" zoomScaleNormal="100" workbookViewId="0">
      <selection activeCell="B16" sqref="B16"/>
    </sheetView>
    <sheetView tabSelected="1" topLeftCell="A4" workbookViewId="1">
      <selection activeCell="B16" sqref="B16"/>
    </sheetView>
  </sheetViews>
  <sheetFormatPr baseColWidth="10" defaultColWidth="8.7109375" defaultRowHeight="15" x14ac:dyDescent="0.25"/>
  <cols>
    <col min="1" max="1" width="4" style="7" customWidth="1"/>
    <col min="2" max="2" width="119.85546875" style="7" customWidth="1"/>
    <col min="3" max="3" width="119.42578125" style="7" customWidth="1"/>
    <col min="4" max="16384" width="8.7109375" style="7"/>
  </cols>
  <sheetData>
    <row r="2" spans="2:3" ht="18.75" x14ac:dyDescent="0.3">
      <c r="B2" s="12" t="s">
        <v>0</v>
      </c>
    </row>
    <row r="4" spans="2:3" ht="60" x14ac:dyDescent="0.25">
      <c r="B4" s="8" t="s">
        <v>98</v>
      </c>
      <c r="C4" s="8"/>
    </row>
    <row r="6" spans="2:3" x14ac:dyDescent="0.25">
      <c r="B6" s="9" t="s">
        <v>1</v>
      </c>
    </row>
    <row r="7" spans="2:3" ht="44.25" customHeight="1" x14ac:dyDescent="0.25">
      <c r="B7" s="10" t="s">
        <v>99</v>
      </c>
    </row>
    <row r="9" spans="2:3" x14ac:dyDescent="0.25">
      <c r="B9" s="9" t="s">
        <v>129</v>
      </c>
    </row>
    <row r="10" spans="2:3" ht="93" customHeight="1" x14ac:dyDescent="0.25">
      <c r="B10" s="10" t="s">
        <v>130</v>
      </c>
      <c r="C10" s="8"/>
    </row>
    <row r="12" spans="2:3" x14ac:dyDescent="0.25">
      <c r="B12" s="9" t="s">
        <v>2</v>
      </c>
    </row>
    <row r="13" spans="2:3" ht="57.75" customHeight="1" x14ac:dyDescent="0.25">
      <c r="B13" s="10" t="s">
        <v>131</v>
      </c>
      <c r="C13" s="8"/>
    </row>
    <row r="15" spans="2:3" x14ac:dyDescent="0.25">
      <c r="B15" s="9" t="s">
        <v>3</v>
      </c>
    </row>
    <row r="16" spans="2:3" ht="27" x14ac:dyDescent="0.25">
      <c r="B16" s="10" t="s">
        <v>132</v>
      </c>
    </row>
    <row r="18" spans="2:2" x14ac:dyDescent="0.25">
      <c r="B18" s="9" t="s">
        <v>4</v>
      </c>
    </row>
    <row r="19" spans="2:2" ht="125.25" customHeight="1" x14ac:dyDescent="0.25">
      <c r="B19" s="10" t="s">
        <v>100</v>
      </c>
    </row>
    <row r="21" spans="2:2" x14ac:dyDescent="0.25">
      <c r="B21" s="9" t="s">
        <v>5</v>
      </c>
    </row>
    <row r="22" spans="2:2" x14ac:dyDescent="0.25">
      <c r="B22" s="10" t="s">
        <v>125</v>
      </c>
    </row>
    <row r="23" spans="2:2" x14ac:dyDescent="0.25">
      <c r="B23" s="10" t="s">
        <v>126</v>
      </c>
    </row>
    <row r="24" spans="2:2" x14ac:dyDescent="0.25">
      <c r="B24" s="10" t="s">
        <v>61</v>
      </c>
    </row>
    <row r="25" spans="2:2" x14ac:dyDescent="0.25">
      <c r="B25" s="10" t="s">
        <v>114</v>
      </c>
    </row>
    <row r="26" spans="2:2" x14ac:dyDescent="0.25">
      <c r="B26" s="10" t="s">
        <v>119</v>
      </c>
    </row>
    <row r="27" spans="2:2" x14ac:dyDescent="0.25">
      <c r="B27" s="10" t="s">
        <v>74</v>
      </c>
    </row>
    <row r="28" spans="2:2" x14ac:dyDescent="0.25">
      <c r="B28" s="10" t="s">
        <v>93</v>
      </c>
    </row>
    <row r="29" spans="2:2" x14ac:dyDescent="0.25">
      <c r="B29" s="10" t="s">
        <v>127</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3"/>
  <sheetViews>
    <sheetView showGridLines="0" zoomScaleNormal="100" workbookViewId="0">
      <pane xSplit="1" ySplit="4" topLeftCell="B36" activePane="bottomRight" state="frozen"/>
      <selection pane="topRight" activeCell="B1" sqref="B1"/>
      <selection pane="bottomLeft" activeCell="A5" sqref="A5"/>
      <selection pane="bottomRight" activeCell="F8" sqref="F8"/>
    </sheetView>
    <sheetView topLeftCell="A16" workbookViewId="1">
      <selection activeCell="D45" sqref="D45"/>
    </sheetView>
  </sheetViews>
  <sheetFormatPr baseColWidth="10" defaultColWidth="8.7109375" defaultRowHeight="15" x14ac:dyDescent="0.25"/>
  <cols>
    <col min="1" max="1" width="50" customWidth="1"/>
    <col min="2" max="2" width="21" customWidth="1"/>
    <col min="3" max="6" width="19" customWidth="1"/>
    <col min="7" max="10" width="19.42578125" customWidth="1"/>
  </cols>
  <sheetData>
    <row r="1" spans="1:10" ht="16.5" x14ac:dyDescent="0.25">
      <c r="A1" s="197" t="s">
        <v>125</v>
      </c>
      <c r="B1" s="197"/>
      <c r="C1" s="197"/>
      <c r="D1" s="197"/>
      <c r="E1" s="197"/>
      <c r="F1" s="197"/>
      <c r="G1" s="197"/>
    </row>
    <row r="2" spans="1:10" ht="30" customHeight="1" x14ac:dyDescent="0.25">
      <c r="A2" s="198" t="s">
        <v>108</v>
      </c>
      <c r="B2" s="198"/>
      <c r="C2" s="198"/>
      <c r="D2" s="198"/>
      <c r="E2" s="198"/>
      <c r="F2" s="198"/>
      <c r="G2" s="198"/>
    </row>
    <row r="3" spans="1:10" ht="15.75" thickBot="1" x14ac:dyDescent="0.3"/>
    <row r="4" spans="1:10" ht="19.5" customHeight="1" x14ac:dyDescent="0.25">
      <c r="A4" s="16" t="s">
        <v>6</v>
      </c>
      <c r="B4" s="17" t="s">
        <v>7</v>
      </c>
      <c r="C4" s="17" t="s">
        <v>8</v>
      </c>
      <c r="D4" s="17" t="s">
        <v>9</v>
      </c>
      <c r="E4" s="17" t="s">
        <v>133</v>
      </c>
      <c r="F4" s="17" t="s">
        <v>134</v>
      </c>
      <c r="G4" s="87" t="s">
        <v>135</v>
      </c>
      <c r="H4" s="162" t="s">
        <v>10</v>
      </c>
      <c r="I4" s="137" t="s">
        <v>11</v>
      </c>
      <c r="J4" s="138" t="s">
        <v>12</v>
      </c>
    </row>
    <row r="5" spans="1:10" ht="15.75" customHeight="1" x14ac:dyDescent="0.25">
      <c r="A5" s="34" t="s">
        <v>13</v>
      </c>
      <c r="B5" s="25">
        <v>3700</v>
      </c>
      <c r="C5" s="25">
        <v>922</v>
      </c>
      <c r="D5" s="25">
        <v>500</v>
      </c>
      <c r="E5" s="25">
        <v>4779.58</v>
      </c>
      <c r="F5" s="25">
        <v>532.85</v>
      </c>
      <c r="G5" s="152">
        <v>8290.1299999999992</v>
      </c>
      <c r="H5" s="163">
        <f>'4. Area implicita'!C22</f>
        <v>809.36108408864163</v>
      </c>
      <c r="I5" s="133">
        <f>'4. Area implicita'!C23</f>
        <v>1204.9240603342339</v>
      </c>
      <c r="J5" s="139">
        <f>'4. Area implicita'!C24</f>
        <v>488.28911421378854</v>
      </c>
    </row>
    <row r="6" spans="1:10" ht="67.5" x14ac:dyDescent="0.25">
      <c r="A6" s="35" t="s">
        <v>14</v>
      </c>
      <c r="B6" s="26" t="s">
        <v>104</v>
      </c>
      <c r="C6" s="26" t="s">
        <v>104</v>
      </c>
      <c r="D6" s="26" t="s">
        <v>103</v>
      </c>
      <c r="E6" s="26" t="s">
        <v>102</v>
      </c>
      <c r="F6" s="26" t="s">
        <v>102</v>
      </c>
      <c r="G6" s="153" t="s">
        <v>142</v>
      </c>
      <c r="H6" s="164" t="s">
        <v>136</v>
      </c>
      <c r="I6" s="26" t="s">
        <v>137</v>
      </c>
      <c r="J6" s="140" t="s">
        <v>138</v>
      </c>
    </row>
    <row r="7" spans="1:10" x14ac:dyDescent="0.25">
      <c r="A7" s="143" t="s">
        <v>128</v>
      </c>
      <c r="B7" s="144"/>
      <c r="C7" s="144"/>
      <c r="D7" s="144"/>
      <c r="E7" s="144"/>
      <c r="F7" s="144"/>
      <c r="G7" s="154"/>
      <c r="H7" s="143"/>
      <c r="I7" s="144"/>
      <c r="J7" s="145"/>
    </row>
    <row r="8" spans="1:10" ht="24" customHeight="1" x14ac:dyDescent="0.25">
      <c r="A8" s="36" t="s">
        <v>15</v>
      </c>
      <c r="B8" s="13">
        <v>14131900</v>
      </c>
      <c r="C8" s="13">
        <v>7480391</v>
      </c>
      <c r="D8" s="13">
        <v>10877698</v>
      </c>
      <c r="E8" s="13">
        <v>39108800</v>
      </c>
      <c r="F8" s="13"/>
      <c r="G8" s="155"/>
      <c r="H8" s="165">
        <v>17189000</v>
      </c>
      <c r="I8" s="13">
        <v>11608082</v>
      </c>
      <c r="J8" s="37">
        <v>30539711</v>
      </c>
    </row>
    <row r="9" spans="1:10" ht="24" customHeight="1" x14ac:dyDescent="0.25">
      <c r="A9" s="36" t="s">
        <v>16</v>
      </c>
      <c r="B9" s="13">
        <v>51493200</v>
      </c>
      <c r="C9" s="13">
        <v>17772622</v>
      </c>
      <c r="D9" s="13">
        <v>26703619</v>
      </c>
      <c r="E9" s="13">
        <v>50060000</v>
      </c>
      <c r="F9" s="13"/>
      <c r="G9" s="155"/>
      <c r="H9" s="165">
        <v>19357000</v>
      </c>
      <c r="I9" s="13">
        <v>53216274</v>
      </c>
      <c r="J9" s="37">
        <v>26200092</v>
      </c>
    </row>
    <row r="10" spans="1:10" ht="24" customHeight="1" x14ac:dyDescent="0.25">
      <c r="A10" s="36" t="s">
        <v>17</v>
      </c>
      <c r="B10" s="13">
        <v>62854200</v>
      </c>
      <c r="C10" s="13">
        <v>25357607</v>
      </c>
      <c r="D10" s="13">
        <v>33478261</v>
      </c>
      <c r="E10" s="13">
        <v>148852000</v>
      </c>
      <c r="F10" s="13">
        <v>16500000</v>
      </c>
      <c r="G10" s="155">
        <v>78960000</v>
      </c>
      <c r="H10" s="165">
        <v>44878000</v>
      </c>
      <c r="I10" s="13">
        <v>105528022</v>
      </c>
      <c r="J10" s="37">
        <v>18154036</v>
      </c>
    </row>
    <row r="11" spans="1:10" ht="24" customHeight="1" x14ac:dyDescent="0.25">
      <c r="A11" s="36" t="s">
        <v>18</v>
      </c>
      <c r="B11" s="13">
        <v>43508100</v>
      </c>
      <c r="C11" s="13">
        <v>17164554</v>
      </c>
      <c r="D11" s="13">
        <v>22085849</v>
      </c>
      <c r="E11" s="13">
        <v>82510000</v>
      </c>
      <c r="F11" s="85">
        <v>33000000</v>
      </c>
      <c r="G11" s="155">
        <v>135360000</v>
      </c>
      <c r="H11" s="165">
        <v>28595000</v>
      </c>
      <c r="I11" s="13">
        <v>80127820</v>
      </c>
      <c r="J11" s="37">
        <v>11989080</v>
      </c>
    </row>
    <row r="12" spans="1:10" ht="24" customHeight="1" x14ac:dyDescent="0.25">
      <c r="A12" s="36" t="s">
        <v>19</v>
      </c>
      <c r="B12" s="13">
        <v>71140600</v>
      </c>
      <c r="C12" s="13">
        <v>39183457</v>
      </c>
      <c r="D12" s="13">
        <v>24382812</v>
      </c>
      <c r="E12" s="85">
        <v>117282000</v>
      </c>
      <c r="F12" s="85">
        <v>23000000</v>
      </c>
      <c r="G12" s="155">
        <v>63920000</v>
      </c>
      <c r="H12" s="165">
        <v>23793000</v>
      </c>
      <c r="I12" s="13">
        <v>72391926</v>
      </c>
      <c r="J12" s="37">
        <v>25986503</v>
      </c>
    </row>
    <row r="13" spans="1:10" ht="24" customHeight="1" x14ac:dyDescent="0.25">
      <c r="A13" s="36" t="s">
        <v>20</v>
      </c>
      <c r="B13" s="13">
        <v>33617700</v>
      </c>
      <c r="C13" s="13">
        <v>16068245</v>
      </c>
      <c r="D13" s="13">
        <v>21596639</v>
      </c>
      <c r="E13" s="27" t="s">
        <v>21</v>
      </c>
      <c r="F13" s="27" t="s">
        <v>21</v>
      </c>
      <c r="G13" s="155">
        <v>60160000</v>
      </c>
      <c r="H13" s="166" t="s">
        <v>21</v>
      </c>
      <c r="I13" s="134" t="s">
        <v>21</v>
      </c>
      <c r="J13" s="141" t="s">
        <v>21</v>
      </c>
    </row>
    <row r="14" spans="1:10" ht="24" customHeight="1" x14ac:dyDescent="0.25">
      <c r="A14" s="36" t="s">
        <v>22</v>
      </c>
      <c r="B14" s="13">
        <v>33241300</v>
      </c>
      <c r="C14" s="13">
        <v>13363519</v>
      </c>
      <c r="D14" s="13">
        <v>11705286</v>
      </c>
      <c r="E14" s="27" t="s">
        <v>21</v>
      </c>
      <c r="F14" s="27" t="s">
        <v>21</v>
      </c>
      <c r="G14" s="156" t="s">
        <v>21</v>
      </c>
      <c r="H14" s="166" t="s">
        <v>21</v>
      </c>
      <c r="I14" s="134" t="s">
        <v>21</v>
      </c>
      <c r="J14" s="141" t="s">
        <v>21</v>
      </c>
    </row>
    <row r="15" spans="1:10" ht="24" customHeight="1" x14ac:dyDescent="0.25">
      <c r="A15" s="36" t="s">
        <v>23</v>
      </c>
      <c r="B15" s="13">
        <v>43328000</v>
      </c>
      <c r="C15" s="13">
        <v>13743052</v>
      </c>
      <c r="D15" s="13">
        <v>20713282</v>
      </c>
      <c r="E15" s="27" t="s">
        <v>21</v>
      </c>
      <c r="F15" s="27" t="s">
        <v>21</v>
      </c>
      <c r="G15" s="156" t="s">
        <v>21</v>
      </c>
      <c r="H15" s="166" t="s">
        <v>21</v>
      </c>
      <c r="I15" s="134" t="s">
        <v>21</v>
      </c>
      <c r="J15" s="141" t="s">
        <v>21</v>
      </c>
    </row>
    <row r="16" spans="1:10" ht="24" customHeight="1" x14ac:dyDescent="0.25">
      <c r="A16" s="36" t="s">
        <v>24</v>
      </c>
      <c r="B16" s="13">
        <v>46361600</v>
      </c>
      <c r="C16" s="13">
        <v>11125682</v>
      </c>
      <c r="D16" s="13">
        <v>13287871</v>
      </c>
      <c r="E16" s="13">
        <v>68806000</v>
      </c>
      <c r="F16" s="13">
        <v>8490000</v>
      </c>
      <c r="G16" s="155">
        <f>15120000</f>
        <v>15120000</v>
      </c>
      <c r="H16" s="165">
        <v>18091000</v>
      </c>
      <c r="I16" s="13">
        <v>33165949</v>
      </c>
      <c r="J16" s="37">
        <v>7482262</v>
      </c>
    </row>
    <row r="17" spans="1:10" ht="24" customHeight="1" x14ac:dyDescent="0.25">
      <c r="A17" s="38" t="s">
        <v>107</v>
      </c>
      <c r="B17" s="13">
        <v>70316500</v>
      </c>
      <c r="C17" s="13">
        <v>27405952</v>
      </c>
      <c r="D17" s="13">
        <v>12010399</v>
      </c>
      <c r="E17" s="28" t="s">
        <v>105</v>
      </c>
      <c r="F17" s="28" t="s">
        <v>105</v>
      </c>
      <c r="G17" s="155">
        <f>26880000+27600000</f>
        <v>54480000</v>
      </c>
      <c r="H17" s="165">
        <v>53655000</v>
      </c>
      <c r="I17" s="134" t="s">
        <v>139</v>
      </c>
      <c r="J17" s="141" t="s">
        <v>140</v>
      </c>
    </row>
    <row r="18" spans="1:10" x14ac:dyDescent="0.25">
      <c r="A18" s="39"/>
      <c r="B18" s="29"/>
      <c r="C18" s="29"/>
      <c r="D18" s="29"/>
      <c r="E18" s="29"/>
      <c r="F18" s="29"/>
      <c r="G18" s="157"/>
      <c r="H18" s="39"/>
      <c r="I18" s="29"/>
      <c r="J18" s="40"/>
    </row>
    <row r="19" spans="1:10" x14ac:dyDescent="0.25">
      <c r="A19" s="146" t="s">
        <v>106</v>
      </c>
      <c r="B19" s="147"/>
      <c r="C19" s="147"/>
      <c r="D19" s="147"/>
      <c r="E19" s="147"/>
      <c r="F19" s="147"/>
      <c r="G19" s="158"/>
      <c r="H19" s="146"/>
      <c r="I19" s="147"/>
      <c r="J19" s="148"/>
    </row>
    <row r="20" spans="1:10" x14ac:dyDescent="0.25">
      <c r="A20" s="41" t="s">
        <v>110</v>
      </c>
      <c r="B20" s="13">
        <v>161298400</v>
      </c>
      <c r="C20" s="13">
        <v>47245068</v>
      </c>
      <c r="D20" s="13">
        <v>65343915</v>
      </c>
      <c r="E20" s="13">
        <v>50426000</v>
      </c>
      <c r="F20" s="13">
        <v>107468424</v>
      </c>
      <c r="G20" s="155">
        <v>22698065</v>
      </c>
      <c r="H20" s="165">
        <v>50426000</v>
      </c>
      <c r="I20" s="13">
        <v>107468424</v>
      </c>
      <c r="J20" s="37">
        <v>22698065</v>
      </c>
    </row>
    <row r="21" spans="1:10" ht="14.25" customHeight="1" x14ac:dyDescent="0.25">
      <c r="A21" s="36" t="s">
        <v>146</v>
      </c>
      <c r="B21" s="13">
        <v>37674100</v>
      </c>
      <c r="C21" s="13">
        <v>12395135</v>
      </c>
      <c r="D21" s="13">
        <v>11035497</v>
      </c>
      <c r="E21" s="27" t="s">
        <v>21</v>
      </c>
      <c r="F21" s="27" t="s">
        <v>21</v>
      </c>
      <c r="G21" s="156" t="s">
        <v>21</v>
      </c>
      <c r="H21" s="166" t="s">
        <v>21</v>
      </c>
      <c r="I21" s="134" t="s">
        <v>21</v>
      </c>
      <c r="J21" s="141" t="s">
        <v>21</v>
      </c>
    </row>
    <row r="22" spans="1:10" x14ac:dyDescent="0.25">
      <c r="A22" s="41" t="s">
        <v>26</v>
      </c>
      <c r="B22" s="32" t="s">
        <v>101</v>
      </c>
      <c r="C22" s="32" t="s">
        <v>101</v>
      </c>
      <c r="D22" s="13">
        <v>24680412</v>
      </c>
      <c r="E22" s="33" t="s">
        <v>27</v>
      </c>
      <c r="F22" s="33" t="s">
        <v>27</v>
      </c>
      <c r="G22" s="159" t="s">
        <v>27</v>
      </c>
      <c r="H22" s="167" t="s">
        <v>27</v>
      </c>
      <c r="I22" s="135" t="s">
        <v>27</v>
      </c>
      <c r="J22" s="142" t="s">
        <v>27</v>
      </c>
    </row>
    <row r="23" spans="1:10" x14ac:dyDescent="0.25">
      <c r="A23" s="41" t="s">
        <v>174</v>
      </c>
      <c r="B23" s="32"/>
      <c r="C23" s="32"/>
      <c r="D23" s="13"/>
      <c r="E23" s="33"/>
      <c r="F23" s="13">
        <v>12000000</v>
      </c>
      <c r="G23" s="155">
        <v>29900000</v>
      </c>
      <c r="H23" s="167"/>
      <c r="I23" s="135"/>
      <c r="J23" s="142"/>
    </row>
    <row r="24" spans="1:10" x14ac:dyDescent="0.25">
      <c r="A24" s="41" t="s">
        <v>144</v>
      </c>
      <c r="B24" s="29"/>
      <c r="C24" s="29"/>
      <c r="D24" s="29"/>
      <c r="E24" s="13"/>
      <c r="F24" s="29"/>
      <c r="G24" s="157"/>
      <c r="H24" s="165">
        <v>9524000</v>
      </c>
      <c r="I24" s="29"/>
      <c r="J24" s="40"/>
    </row>
    <row r="25" spans="1:10" x14ac:dyDescent="0.25">
      <c r="A25" s="41" t="s">
        <v>145</v>
      </c>
      <c r="B25" s="29"/>
      <c r="C25" s="29"/>
      <c r="D25" s="29"/>
      <c r="E25" s="13"/>
      <c r="F25" s="29"/>
      <c r="G25" s="157"/>
      <c r="H25" s="165">
        <v>21788000</v>
      </c>
      <c r="I25" s="29"/>
      <c r="J25" s="40"/>
    </row>
    <row r="26" spans="1:10" x14ac:dyDescent="0.25">
      <c r="A26" s="149" t="s">
        <v>28</v>
      </c>
      <c r="B26" s="150"/>
      <c r="C26" s="150"/>
      <c r="D26" s="150"/>
      <c r="E26" s="150"/>
      <c r="F26" s="150"/>
      <c r="G26" s="160"/>
      <c r="H26" s="149"/>
      <c r="I26" s="150"/>
      <c r="J26" s="151"/>
    </row>
    <row r="27" spans="1:10" ht="19.5" customHeight="1" x14ac:dyDescent="0.25">
      <c r="A27" s="47" t="s">
        <v>29</v>
      </c>
      <c r="B27" s="31">
        <v>19803700</v>
      </c>
      <c r="C27" s="30" t="s">
        <v>25</v>
      </c>
      <c r="D27" s="30" t="s">
        <v>25</v>
      </c>
      <c r="E27" s="30" t="s">
        <v>25</v>
      </c>
      <c r="F27" s="30" t="s">
        <v>25</v>
      </c>
      <c r="G27" s="161" t="s">
        <v>25</v>
      </c>
      <c r="H27" s="168">
        <v>6352000</v>
      </c>
      <c r="I27" s="169" t="s">
        <v>30</v>
      </c>
      <c r="J27" s="170" t="s">
        <v>30</v>
      </c>
    </row>
    <row r="28" spans="1:10" ht="19.5" customHeight="1" x14ac:dyDescent="0.25">
      <c r="A28" s="47" t="s">
        <v>31</v>
      </c>
      <c r="B28" s="30" t="s">
        <v>25</v>
      </c>
      <c r="C28" s="30" t="s">
        <v>25</v>
      </c>
      <c r="D28" s="30" t="s">
        <v>25</v>
      </c>
      <c r="E28" s="30" t="s">
        <v>25</v>
      </c>
      <c r="F28" s="30" t="s">
        <v>25</v>
      </c>
      <c r="G28" s="161" t="s">
        <v>25</v>
      </c>
      <c r="H28" s="168">
        <v>6352000</v>
      </c>
      <c r="I28" s="169" t="s">
        <v>30</v>
      </c>
      <c r="J28" s="170" t="s">
        <v>30</v>
      </c>
    </row>
    <row r="29" spans="1:10" ht="19.5" customHeight="1" x14ac:dyDescent="0.25">
      <c r="A29" s="47" t="s">
        <v>32</v>
      </c>
      <c r="B29" s="30" t="s">
        <v>25</v>
      </c>
      <c r="C29" s="30" t="s">
        <v>25</v>
      </c>
      <c r="D29" s="30" t="s">
        <v>25</v>
      </c>
      <c r="E29" s="30" t="s">
        <v>25</v>
      </c>
      <c r="F29" s="30" t="s">
        <v>25</v>
      </c>
      <c r="G29" s="161" t="s">
        <v>25</v>
      </c>
      <c r="H29" s="171" t="s">
        <v>30</v>
      </c>
      <c r="I29" s="31">
        <v>12060345</v>
      </c>
      <c r="J29" s="172">
        <v>5050856</v>
      </c>
    </row>
    <row r="30" spans="1:10" ht="19.5" customHeight="1" x14ac:dyDescent="0.25">
      <c r="A30" s="47" t="s">
        <v>33</v>
      </c>
      <c r="B30" s="30" t="s">
        <v>25</v>
      </c>
      <c r="C30" s="30" t="s">
        <v>25</v>
      </c>
      <c r="D30" s="30" t="s">
        <v>25</v>
      </c>
      <c r="E30" s="30" t="s">
        <v>25</v>
      </c>
      <c r="F30" s="30" t="s">
        <v>25</v>
      </c>
      <c r="G30" s="161" t="s">
        <v>25</v>
      </c>
      <c r="H30" s="171" t="s">
        <v>30</v>
      </c>
      <c r="I30" s="31">
        <v>10448319</v>
      </c>
      <c r="J30" s="170" t="s">
        <v>30</v>
      </c>
    </row>
    <row r="31" spans="1:10" ht="19.5" customHeight="1" x14ac:dyDescent="0.25">
      <c r="A31" s="47" t="s">
        <v>34</v>
      </c>
      <c r="B31" s="30" t="s">
        <v>25</v>
      </c>
      <c r="C31" s="30" t="s">
        <v>25</v>
      </c>
      <c r="D31" s="30" t="s">
        <v>25</v>
      </c>
      <c r="E31" s="30" t="s">
        <v>25</v>
      </c>
      <c r="F31" s="30" t="s">
        <v>25</v>
      </c>
      <c r="G31" s="161" t="s">
        <v>25</v>
      </c>
      <c r="H31" s="171" t="s">
        <v>30</v>
      </c>
      <c r="I31" s="31">
        <v>7236207</v>
      </c>
      <c r="J31" s="170" t="s">
        <v>30</v>
      </c>
    </row>
    <row r="32" spans="1:10" ht="19.5" customHeight="1" x14ac:dyDescent="0.25">
      <c r="A32" s="47" t="s">
        <v>35</v>
      </c>
      <c r="B32" s="30" t="s">
        <v>25</v>
      </c>
      <c r="C32" s="30" t="s">
        <v>25</v>
      </c>
      <c r="D32" s="30" t="s">
        <v>25</v>
      </c>
      <c r="E32" s="30" t="s">
        <v>25</v>
      </c>
      <c r="F32" s="30" t="s">
        <v>25</v>
      </c>
      <c r="G32" s="161" t="s">
        <v>25</v>
      </c>
      <c r="H32" s="171" t="s">
        <v>30</v>
      </c>
      <c r="I32" s="169" t="s">
        <v>30</v>
      </c>
      <c r="J32" s="172">
        <v>22000000</v>
      </c>
    </row>
    <row r="33" spans="1:10" ht="19.5" customHeight="1" x14ac:dyDescent="0.25">
      <c r="A33" s="47" t="s">
        <v>36</v>
      </c>
      <c r="B33" s="30" t="s">
        <v>25</v>
      </c>
      <c r="C33" s="30" t="s">
        <v>25</v>
      </c>
      <c r="D33" s="30" t="s">
        <v>25</v>
      </c>
      <c r="E33" s="30" t="s">
        <v>25</v>
      </c>
      <c r="F33" s="30" t="s">
        <v>25</v>
      </c>
      <c r="G33" s="161" t="s">
        <v>25</v>
      </c>
      <c r="H33" s="171" t="s">
        <v>30</v>
      </c>
      <c r="I33" s="169" t="s">
        <v>30</v>
      </c>
      <c r="J33" s="172">
        <v>1782889</v>
      </c>
    </row>
    <row r="34" spans="1:10" ht="19.5" customHeight="1" x14ac:dyDescent="0.25">
      <c r="A34" s="48" t="s">
        <v>116</v>
      </c>
      <c r="B34" s="30" t="s">
        <v>25</v>
      </c>
      <c r="C34" s="30" t="s">
        <v>25</v>
      </c>
      <c r="D34" s="30" t="s">
        <v>25</v>
      </c>
      <c r="E34" s="30" t="s">
        <v>25</v>
      </c>
      <c r="F34" s="30" t="s">
        <v>25</v>
      </c>
      <c r="G34" s="161" t="s">
        <v>25</v>
      </c>
      <c r="H34" s="171" t="s">
        <v>30</v>
      </c>
      <c r="I34" s="169" t="s">
        <v>30</v>
      </c>
      <c r="J34" s="172">
        <v>2039639</v>
      </c>
    </row>
    <row r="35" spans="1:10" ht="19.5" customHeight="1" x14ac:dyDescent="0.25">
      <c r="A35" s="48" t="s">
        <v>117</v>
      </c>
      <c r="B35" s="30" t="s">
        <v>25</v>
      </c>
      <c r="C35" s="30" t="s">
        <v>25</v>
      </c>
      <c r="D35" s="30" t="s">
        <v>25</v>
      </c>
      <c r="E35" s="30" t="s">
        <v>25</v>
      </c>
      <c r="F35" s="30" t="s">
        <v>25</v>
      </c>
      <c r="G35" s="161" t="s">
        <v>25</v>
      </c>
      <c r="H35" s="171" t="s">
        <v>30</v>
      </c>
      <c r="I35" s="169" t="s">
        <v>30</v>
      </c>
      <c r="J35" s="172">
        <v>2039639</v>
      </c>
    </row>
    <row r="36" spans="1:10" ht="19.5" customHeight="1" x14ac:dyDescent="0.25">
      <c r="A36" s="47" t="s">
        <v>141</v>
      </c>
      <c r="B36" s="136" t="s">
        <v>30</v>
      </c>
      <c r="C36" s="136" t="s">
        <v>30</v>
      </c>
      <c r="D36" s="136" t="s">
        <v>30</v>
      </c>
      <c r="E36" s="30" t="s">
        <v>25</v>
      </c>
      <c r="F36" s="30" t="s">
        <v>25</v>
      </c>
      <c r="G36" s="161" t="s">
        <v>25</v>
      </c>
      <c r="H36" s="171"/>
      <c r="I36" s="169"/>
      <c r="J36" s="172">
        <v>2039639</v>
      </c>
    </row>
    <row r="37" spans="1:10" ht="19.5" customHeight="1" x14ac:dyDescent="0.25">
      <c r="A37" s="47" t="s">
        <v>189</v>
      </c>
      <c r="B37" s="136"/>
      <c r="C37" s="136"/>
      <c r="D37" s="136"/>
      <c r="E37" s="136"/>
      <c r="F37" s="136"/>
      <c r="G37" s="173">
        <f>18400000+27600000</f>
        <v>46000000</v>
      </c>
      <c r="H37" s="171"/>
      <c r="I37" s="169"/>
      <c r="J37" s="172"/>
    </row>
    <row r="38" spans="1:10" ht="15.75" thickBot="1" x14ac:dyDescent="0.3">
      <c r="A38" s="174"/>
      <c r="B38" s="44"/>
      <c r="C38" s="44"/>
      <c r="D38" s="44"/>
      <c r="E38" s="44"/>
      <c r="F38" s="44"/>
      <c r="G38" s="175"/>
      <c r="H38" s="174"/>
      <c r="I38" s="44"/>
      <c r="J38" s="45"/>
    </row>
    <row r="39" spans="1:10" x14ac:dyDescent="0.25">
      <c r="A39" s="177" t="s">
        <v>109</v>
      </c>
      <c r="B39" s="178"/>
      <c r="C39" s="178"/>
      <c r="D39" s="178"/>
      <c r="E39" s="178"/>
      <c r="F39" s="178"/>
      <c r="G39" s="179"/>
      <c r="H39" s="177"/>
      <c r="I39" s="178"/>
      <c r="J39" s="179"/>
    </row>
    <row r="40" spans="1:10" ht="21.75" customHeight="1" x14ac:dyDescent="0.25">
      <c r="A40" s="180" t="s">
        <v>175</v>
      </c>
      <c r="B40" s="50">
        <f>B8*'2. SMMLV'!$D$7</f>
        <v>28188117.80034928</v>
      </c>
      <c r="C40" s="50">
        <f>C8*'2. SMMLV'!$D$9</f>
        <v>13097454.003854999</v>
      </c>
      <c r="D40" s="50">
        <f>D8*1.19*'2. SMMLV'!$D$12</f>
        <v>15921686.562599998</v>
      </c>
      <c r="E40" s="176">
        <f>IF(ISNUMBER(E8),E8*'2. SMMLV'!$D$12,E8)</f>
        <v>48103824</v>
      </c>
      <c r="F40" s="176">
        <f>IF(ISNUMBER(F23),F23*'3. Depuracion datos'!D12*'2. SMMLV'!$D$11,F23)</f>
        <v>5604237.6700925743</v>
      </c>
      <c r="G40" s="181">
        <f>IF(ISNUMBER(G23),G23*1.39*'3. Depuracion datos'!D12*'2. SMMLV'!$D$11,G23)</f>
        <v>19409810.15055979</v>
      </c>
      <c r="H40" s="185">
        <f>IF(ISNUMBER(H8),H8*'2. SMMLV'!$D$12,H8)</f>
        <v>21142470</v>
      </c>
      <c r="I40" s="176">
        <f>IF(ISNUMBER(I8),I8*1,I8)</f>
        <v>11608082</v>
      </c>
      <c r="J40" s="181">
        <f>IF(ISNUMBER(J8),J8*1.39*'2. SMMLV'!$D$12,J8)</f>
        <v>52213743.896699995</v>
      </c>
    </row>
    <row r="41" spans="1:10" ht="21.75" customHeight="1" x14ac:dyDescent="0.25">
      <c r="A41" s="180" t="s">
        <v>176</v>
      </c>
      <c r="B41" s="50">
        <f>B9*'2. SMMLV'!$D$7</f>
        <v>102710632.50638241</v>
      </c>
      <c r="C41" s="50">
        <f>C9*'2. SMMLV'!$D$9</f>
        <v>31118172.722909998</v>
      </c>
      <c r="D41" s="50">
        <f>D9*1.19*'2. SMMLV'!$D$12</f>
        <v>39086087.1303</v>
      </c>
      <c r="E41" s="176">
        <f>IF(ISNUMBER(E9),E9*'2. SMMLV'!$D$12,E9)</f>
        <v>61573800</v>
      </c>
      <c r="F41" s="176">
        <f>IF(ISNUMBER(F23),F23*'3. Depuracion datos'!E12*'2. SMMLV'!$D$11,F23)</f>
        <v>10557962.329907427</v>
      </c>
      <c r="G41" s="181">
        <f>IF(ISNUMBER(G23),G23*1.39*'3. Depuracion datos'!E12*'2. SMMLV'!$D$11,G23)</f>
        <v>36566622.699440211</v>
      </c>
      <c r="H41" s="185">
        <f>IF(ISNUMBER(H9),H9*'2. SMMLV'!$D$12,H9)</f>
        <v>23809110</v>
      </c>
      <c r="I41" s="176">
        <f t="shared" ref="I41:I49" si="0">IF(ISNUMBER(I9),I9*1,I9)</f>
        <v>53216274</v>
      </c>
      <c r="J41" s="181">
        <f>IF(ISNUMBER(J9),J9*1.39*'2. SMMLV'!$D$12,J9)</f>
        <v>44794297.292399995</v>
      </c>
    </row>
    <row r="42" spans="1:10" ht="21.75" customHeight="1" x14ac:dyDescent="0.25">
      <c r="A42" s="180" t="s">
        <v>37</v>
      </c>
      <c r="B42" s="50">
        <f>B10*'2. SMMLV'!$D$7</f>
        <v>125371789.62819676</v>
      </c>
      <c r="C42" s="50">
        <f>C10*'2. SMMLV'!$D$9</f>
        <v>44398760.884334996</v>
      </c>
      <c r="D42" s="50">
        <f>D10*1.19*'2. SMMLV'!$D$12</f>
        <v>49002130.625699997</v>
      </c>
      <c r="E42" s="176">
        <f>IF(ISNUMBER(E10),E10*'2. SMMLV'!$D$12,E10)</f>
        <v>183087960</v>
      </c>
      <c r="F42" s="176">
        <f>IF(ISNUMBER(F10),F10*'2. SMMLV'!$D$11,F10)</f>
        <v>22223025</v>
      </c>
      <c r="G42" s="181">
        <f>IF(ISNUMBER(G10),G10*1.39*'2. SMMLV'!$D$9,G10)</f>
        <v>192169527.73199996</v>
      </c>
      <c r="H42" s="185">
        <f>IF(ISNUMBER(H10),H10*'2. SMMLV'!$D$12,H10)</f>
        <v>55199940</v>
      </c>
      <c r="I42" s="176">
        <f t="shared" si="0"/>
        <v>105528022</v>
      </c>
      <c r="J42" s="181">
        <f>IF(ISNUMBER(J10),J10*1.39*'2. SMMLV'!$D$12,J10)</f>
        <v>31037955.349199999</v>
      </c>
    </row>
    <row r="43" spans="1:10" ht="21.75" customHeight="1" x14ac:dyDescent="0.25">
      <c r="A43" s="180" t="s">
        <v>38</v>
      </c>
      <c r="B43" s="50">
        <f>B11*'2. SMMLV'!$D$7</f>
        <v>86783196.036582246</v>
      </c>
      <c r="C43" s="50">
        <f>C11*'2. SMMLV'!$D$9</f>
        <v>30053503.42137</v>
      </c>
      <c r="D43" s="50">
        <f>D11*1.19*'2. SMMLV'!$D$12</f>
        <v>32327057.181299999</v>
      </c>
      <c r="E43" s="176">
        <f>IF(ISNUMBER(E11),E11*'2. SMMLV'!$D$12,E11)</f>
        <v>101487300</v>
      </c>
      <c r="F43" s="176">
        <f>IF(ISNUMBER(F11),F11*'2. SMMLV'!$D$11,F11)</f>
        <v>44446050</v>
      </c>
      <c r="G43" s="181">
        <f>IF(ISNUMBER(G11),G11*1.39*'2. SMMLV'!$D$9,G11)</f>
        <v>329433476.11199999</v>
      </c>
      <c r="H43" s="185">
        <f>IF(ISNUMBER(H11),H11*'2. SMMLV'!$D$12,H11)</f>
        <v>35171850</v>
      </c>
      <c r="I43" s="176">
        <f t="shared" si="0"/>
        <v>80127820</v>
      </c>
      <c r="J43" s="181">
        <f>IF(ISNUMBER(J11),J11*1.39*'2. SMMLV'!$D$12,J11)</f>
        <v>20497730.075999998</v>
      </c>
    </row>
    <row r="44" spans="1:10" ht="21.75" customHeight="1" x14ac:dyDescent="0.25">
      <c r="A44" s="180" t="s">
        <v>39</v>
      </c>
      <c r="B44" s="50">
        <f>B12*'2. SMMLV'!$D$7</f>
        <v>141900212.51123545</v>
      </c>
      <c r="C44" s="50">
        <f>C12*'2. SMMLV'!$D$9</f>
        <v>68606510.778585002</v>
      </c>
      <c r="D44" s="50">
        <f>D12*1.19*'2. SMMLV'!$D$12</f>
        <v>35689121.924399994</v>
      </c>
      <c r="E44" s="176">
        <f>IF(ISNUMBER(E12),E12*'2. SMMLV'!$D$12,E12)</f>
        <v>144256860</v>
      </c>
      <c r="F44" s="176">
        <f>IF(ISNUMBER(F12),F12*'2. SMMLV'!$D$11,F12)</f>
        <v>30977550.000000004</v>
      </c>
      <c r="G44" s="181">
        <f>IF(ISNUMBER(G12),G12*1.39*'2. SMMLV'!$D$9,G12)</f>
        <v>155565808.164</v>
      </c>
      <c r="H44" s="185">
        <f>IF(ISNUMBER(H12),H12*'2. SMMLV'!$D$12,H12)</f>
        <v>29265390</v>
      </c>
      <c r="I44" s="176">
        <f t="shared" si="0"/>
        <v>72391926</v>
      </c>
      <c r="J44" s="181">
        <f>IF(ISNUMBER(J12),J12*1.39*'2. SMMLV'!$D$12,J12)</f>
        <v>44429124.179099992</v>
      </c>
    </row>
    <row r="45" spans="1:10" ht="21.75" customHeight="1" x14ac:dyDescent="0.25">
      <c r="A45" s="180" t="s">
        <v>40</v>
      </c>
      <c r="B45" s="50">
        <f>B13*'2. SMMLV'!$D$7</f>
        <v>67055363.240385368</v>
      </c>
      <c r="C45" s="50">
        <f>C13*'2. SMMLV'!$D$9</f>
        <v>28133970.511724997</v>
      </c>
      <c r="D45" s="50">
        <f>D13*1.19*'2. SMMLV'!$D$12</f>
        <v>31611000.504299998</v>
      </c>
      <c r="E45" s="192" t="str">
        <f>IF(ISNUMBER(E13),E13*'2. SMMLV'!$D$12,E13)</f>
        <v>No incluido en el alcance</v>
      </c>
      <c r="F45" s="192" t="str">
        <f>IF(ISNUMBER(F13),F13*'2. SMMLV'!$D$11,F13)</f>
        <v>No incluido en el alcance</v>
      </c>
      <c r="G45" s="181">
        <f>IF(ISNUMBER(G13),G13*1.39*'2. SMMLV'!$D$9,G13)</f>
        <v>146414878.27199998</v>
      </c>
      <c r="H45" s="191" t="str">
        <f>IF(ISNUMBER(H13),H13*'2. SMMLV'!$D$12,H13)</f>
        <v>No incluido en el alcance</v>
      </c>
      <c r="I45" s="192" t="str">
        <f t="shared" si="0"/>
        <v>No incluido en el alcance</v>
      </c>
      <c r="J45" s="193" t="str">
        <f>IF(ISNUMBER(J13),J13*1.39*'2. SMMLV'!$D$12,J13)</f>
        <v>No incluido en el alcance</v>
      </c>
    </row>
    <row r="46" spans="1:10" ht="21.75" customHeight="1" x14ac:dyDescent="0.25">
      <c r="A46" s="180" t="s">
        <v>41</v>
      </c>
      <c r="B46" s="50">
        <f>B14*'2. SMMLV'!$D$7</f>
        <v>66304579.0188687</v>
      </c>
      <c r="C46" s="50">
        <f>C14*'2. SMMLV'!$D$9</f>
        <v>23398252.234694999</v>
      </c>
      <c r="D46" s="50">
        <f>D14*1.19*'2. SMMLV'!$D$12</f>
        <v>17133027.1182</v>
      </c>
      <c r="E46" s="192" t="str">
        <f>IF(ISNUMBER(E14),E14*'2. SMMLV'!$D$12,E14)</f>
        <v>No incluido en el alcance</v>
      </c>
      <c r="F46" s="192" t="str">
        <f>IF(ISNUMBER(F14),F14*'2. SMMLV'!$D$11,F14)</f>
        <v>No incluido en el alcance</v>
      </c>
      <c r="G46" s="193" t="str">
        <f>IF(ISNUMBER(G14),G14*1.39*'2. SMMLV'!$D$9,G14)</f>
        <v>No incluido en el alcance</v>
      </c>
      <c r="H46" s="191" t="str">
        <f>IF(ISNUMBER(H14),H14*'2. SMMLV'!$D$12,H14)</f>
        <v>No incluido en el alcance</v>
      </c>
      <c r="I46" s="192" t="str">
        <f t="shared" si="0"/>
        <v>No incluido en el alcance</v>
      </c>
      <c r="J46" s="193" t="str">
        <f>IF(ISNUMBER(J14),J14*1.39*'2. SMMLV'!$D$12,J14)</f>
        <v>No incluido en el alcance</v>
      </c>
    </row>
    <row r="47" spans="1:10" ht="21.75" customHeight="1" x14ac:dyDescent="0.25">
      <c r="A47" s="180" t="s">
        <v>42</v>
      </c>
      <c r="B47" s="50">
        <f>B15*'2. SMMLV'!$D$7</f>
        <v>86423960.546956435</v>
      </c>
      <c r="C47" s="50">
        <f>C15*'2. SMMLV'!$D$9</f>
        <v>24062778.462060001</v>
      </c>
      <c r="D47" s="50">
        <f>D15*1.19*'2. SMMLV'!$D$12</f>
        <v>30318030.863399997</v>
      </c>
      <c r="E47" s="192" t="str">
        <f>IF(ISNUMBER(E15),E15*'2. SMMLV'!$D$12,E15)</f>
        <v>No incluido en el alcance</v>
      </c>
      <c r="F47" s="192" t="str">
        <f>IF(ISNUMBER(F15),F15*'2. SMMLV'!$D$11,F15)</f>
        <v>No incluido en el alcance</v>
      </c>
      <c r="G47" s="193" t="str">
        <f>IF(ISNUMBER(G15),G15*1.39*'2. SMMLV'!$D$9,G15)</f>
        <v>No incluido en el alcance</v>
      </c>
      <c r="H47" s="191" t="str">
        <f>IF(ISNUMBER(H15),H15*'2. SMMLV'!$D$12,H15)</f>
        <v>No incluido en el alcance</v>
      </c>
      <c r="I47" s="192" t="str">
        <f t="shared" si="0"/>
        <v>No incluido en el alcance</v>
      </c>
      <c r="J47" s="193" t="str">
        <f>IF(ISNUMBER(J15),J15*1.39*'2. SMMLV'!$D$12,J15)</f>
        <v>No incluido en el alcance</v>
      </c>
    </row>
    <row r="48" spans="1:10" ht="21.75" customHeight="1" x14ac:dyDescent="0.25">
      <c r="A48" s="180" t="s">
        <v>43</v>
      </c>
      <c r="B48" s="50">
        <f>B16*'2. SMMLV'!$D$7</f>
        <v>92474914.357777312</v>
      </c>
      <c r="C48" s="50">
        <f>C16*'2. SMMLV'!$D$9</f>
        <v>19480012.242210001</v>
      </c>
      <c r="D48" s="50">
        <f>D16*1.19*'2. SMMLV'!$D$12</f>
        <v>19449456.782699998</v>
      </c>
      <c r="E48" s="176">
        <f>IF(ISNUMBER(E16),E16*'2. SMMLV'!$D$12,E16)</f>
        <v>84631380</v>
      </c>
      <c r="F48" s="176">
        <f>IF(ISNUMBER(F16),F16*'2. SMMLV'!$D$11,F16)</f>
        <v>11434756.5</v>
      </c>
      <c r="G48" s="181">
        <f>IF(ISNUMBER(G16),G16*1.39*'2. SMMLV'!$D$9,G16)</f>
        <v>36798420.203999996</v>
      </c>
      <c r="H48" s="185">
        <f>IF(ISNUMBER(H16),H16*'2. SMMLV'!$D$12,H16)</f>
        <v>22251930</v>
      </c>
      <c r="I48" s="176">
        <f t="shared" si="0"/>
        <v>33165949</v>
      </c>
      <c r="J48" s="181">
        <f>IF(ISNUMBER(J16),J16*1.39*'2. SMMLV'!$D$12,J16)</f>
        <v>12792423.341399999</v>
      </c>
    </row>
    <row r="49" spans="1:10" ht="21.75" customHeight="1" x14ac:dyDescent="0.25">
      <c r="A49" s="180" t="s">
        <v>44</v>
      </c>
      <c r="B49" s="50">
        <f>B17*'2. SMMLV'!$D$7</f>
        <v>140256425.90934414</v>
      </c>
      <c r="C49" s="50">
        <f>C17*'2. SMMLV'!$D$9</f>
        <v>47985218.38656</v>
      </c>
      <c r="D49" s="50">
        <f>D17*1.19*'2. SMMLV'!$D$12</f>
        <v>17579621.016299997</v>
      </c>
      <c r="E49" s="176" t="str">
        <f>IF(ISNUMBER(E17),E17*'2. SMMLV'!$D$12,E17)</f>
        <v>No especifica valor discriminado</v>
      </c>
      <c r="F49" s="176" t="str">
        <f>IF(ISNUMBER(F17),F17*'2. SMMLV'!$D$11,F17)</f>
        <v>No especifica valor discriminado</v>
      </c>
      <c r="G49" s="181">
        <f>IF(ISNUMBER(G17),G17*1.39*'2. SMMLV'!$D$9,G17)</f>
        <v>132591133.116</v>
      </c>
      <c r="H49" s="185">
        <f>IF(ISNUMBER(H17),H17*'2. SMMLV'!$D$12,H17)</f>
        <v>65995650</v>
      </c>
      <c r="I49" s="188" t="str">
        <f t="shared" si="0"/>
        <v>'Permisos y/o licencias' solo como documento anexo, sin valor discriminado</v>
      </c>
      <c r="J49" s="189" t="str">
        <f>IF(ISNUMBER(J17),J17*1.39*'2. SMMLV'!$D$12,J17)</f>
        <v>Agrupado con PMA, arqueología y otros trámites (Producto 3), sin discriminación posible</v>
      </c>
    </row>
    <row r="50" spans="1:10" x14ac:dyDescent="0.25">
      <c r="A50" s="180" t="s">
        <v>45</v>
      </c>
      <c r="B50" s="30" t="s">
        <v>25</v>
      </c>
      <c r="C50" s="50">
        <f>C43*(1-'3. Depuracion datos'!$B$12)</f>
        <v>30053503.42137</v>
      </c>
      <c r="D50" s="50">
        <f>D43*(1-'3. Depuracion datos'!$B$12)</f>
        <v>32327057.181299999</v>
      </c>
      <c r="E50" s="30" t="s">
        <v>25</v>
      </c>
      <c r="F50" s="30" t="s">
        <v>25</v>
      </c>
      <c r="G50" s="182" t="s">
        <v>25</v>
      </c>
      <c r="H50" s="186" t="s">
        <v>25</v>
      </c>
      <c r="I50" s="30" t="s">
        <v>25</v>
      </c>
      <c r="J50" s="182" t="s">
        <v>25</v>
      </c>
    </row>
    <row r="51" spans="1:10" x14ac:dyDescent="0.25">
      <c r="A51" s="180" t="s">
        <v>188</v>
      </c>
      <c r="B51" s="30" t="s">
        <v>25</v>
      </c>
      <c r="C51" s="30" t="s">
        <v>25</v>
      </c>
      <c r="D51" s="50">
        <f>D22*1.19*'2. SMMLV'!$D$12</f>
        <v>36124719.044399999</v>
      </c>
      <c r="E51" s="30" t="s">
        <v>25</v>
      </c>
      <c r="F51" s="30" t="s">
        <v>25</v>
      </c>
      <c r="G51" s="181">
        <f>IF(ISNUMBER(G37),G37*1.39*'2. SMMLV'!$D$9,G19)</f>
        <v>111952865.69999999</v>
      </c>
      <c r="H51" s="186" t="s">
        <v>25</v>
      </c>
      <c r="I51" s="30" t="s">
        <v>25</v>
      </c>
      <c r="J51" s="182" t="s">
        <v>25</v>
      </c>
    </row>
    <row r="52" spans="1:10" x14ac:dyDescent="0.25">
      <c r="A52" s="180" t="s">
        <v>143</v>
      </c>
      <c r="B52" s="30" t="s">
        <v>25</v>
      </c>
      <c r="C52" s="30" t="s">
        <v>25</v>
      </c>
      <c r="D52" s="30" t="s">
        <v>25</v>
      </c>
      <c r="E52" s="30" t="s">
        <v>25</v>
      </c>
      <c r="F52" s="30" t="s">
        <v>25</v>
      </c>
      <c r="G52" s="182" t="str">
        <f>IF(ISNUMBER(G21),G21*1.19*'2. SMMLV'!$D$9,G21)</f>
        <v>No incluido en el alcance</v>
      </c>
      <c r="H52" s="185">
        <f>IF(ISNUMBER(H24),H24*'2. SMMLV'!$D$12,H24)</f>
        <v>11714520</v>
      </c>
      <c r="I52" s="30" t="str">
        <f>IF(ISNUMBER(I21),I21*1,I21)</f>
        <v>No incluido en el alcance</v>
      </c>
      <c r="J52" s="182"/>
    </row>
    <row r="53" spans="1:10" ht="15.75" thickBot="1" x14ac:dyDescent="0.3">
      <c r="A53" s="183" t="s">
        <v>46</v>
      </c>
      <c r="B53" s="184" t="s">
        <v>25</v>
      </c>
      <c r="C53" s="184" t="s">
        <v>25</v>
      </c>
      <c r="D53" s="184" t="s">
        <v>25</v>
      </c>
      <c r="E53" s="184" t="s">
        <v>25</v>
      </c>
      <c r="F53" s="184">
        <f>IF(ISNUMBER(F24),F24*'2. SMMLV'!$D$11,F24)</f>
        <v>0</v>
      </c>
      <c r="G53" s="190" t="str">
        <f>IF(ISNUMBER(G22),G22*1.19*'2. SMMLV'!$D$9,G22)</f>
        <v>No existe ítem de coordinación en esta fuente</v>
      </c>
      <c r="H53" s="187">
        <f>IF(ISNUMBER(H25),H25*'2. SMMLV'!$D$12,H25)</f>
        <v>26799240</v>
      </c>
      <c r="I53" s="184" t="str">
        <f>IF(ISNUMBER(I22),I22*1,I22)</f>
        <v>No existe ítem de coordinación en esta fuente</v>
      </c>
      <c r="J53" s="190"/>
    </row>
  </sheetData>
  <mergeCells count="2">
    <mergeCell ref="A1:G1"/>
    <mergeCell ref="A2:G2"/>
  </mergeCells>
  <pageMargins left="0.75" right="0.75" top="1" bottom="1" header="0.511811023622047" footer="0.511811023622047"/>
  <pageSetup paperSize="9" orientation="portrait" horizontalDpi="300" verticalDpi="30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3"/>
  <sheetViews>
    <sheetView showGridLines="0" zoomScaleNormal="100" workbookViewId="0">
      <pane ySplit="5" topLeftCell="A6" activePane="bottomLeft" state="frozen"/>
      <selection pane="bottomLeft" activeCell="E27" sqref="E27"/>
    </sheetView>
    <sheetView workbookViewId="1">
      <selection sqref="A1:E1"/>
    </sheetView>
  </sheetViews>
  <sheetFormatPr baseColWidth="10" defaultColWidth="8.7109375" defaultRowHeight="15" x14ac:dyDescent="0.25"/>
  <cols>
    <col min="1" max="1" width="10" customWidth="1"/>
    <col min="2" max="3" width="18" customWidth="1"/>
    <col min="4" max="4" width="16" customWidth="1"/>
    <col min="5" max="5" width="70" customWidth="1"/>
  </cols>
  <sheetData>
    <row r="1" spans="1:5" ht="16.5" x14ac:dyDescent="0.25">
      <c r="A1" s="197" t="s">
        <v>126</v>
      </c>
      <c r="B1" s="197"/>
      <c r="C1" s="197"/>
      <c r="D1" s="197"/>
      <c r="E1" s="197"/>
    </row>
    <row r="3" spans="1:5" x14ac:dyDescent="0.25">
      <c r="A3" s="199" t="s">
        <v>47</v>
      </c>
      <c r="B3" s="199"/>
      <c r="C3" s="199"/>
      <c r="D3" s="199"/>
      <c r="E3" s="199"/>
    </row>
    <row r="4" spans="1:5" ht="15.75" thickBot="1" x14ac:dyDescent="0.3"/>
    <row r="5" spans="1:5" ht="31.5" customHeight="1" x14ac:dyDescent="0.25">
      <c r="A5" s="16" t="s">
        <v>48</v>
      </c>
      <c r="B5" s="17" t="s">
        <v>49</v>
      </c>
      <c r="C5" s="17" t="s">
        <v>50</v>
      </c>
      <c r="D5" s="17" t="s">
        <v>51</v>
      </c>
      <c r="E5" s="18" t="s">
        <v>52</v>
      </c>
    </row>
    <row r="6" spans="1:5" ht="27.75" customHeight="1" x14ac:dyDescent="0.25">
      <c r="A6" s="19">
        <v>2019</v>
      </c>
      <c r="B6" s="13">
        <v>828116</v>
      </c>
      <c r="C6" s="14" t="s">
        <v>30</v>
      </c>
      <c r="D6" s="51">
        <f t="shared" ref="D6:D13" si="0">$B$13/B6</f>
        <v>2.1143233556651482</v>
      </c>
      <c r="E6" s="20" t="s">
        <v>53</v>
      </c>
    </row>
    <row r="7" spans="1:5" ht="27.75" customHeight="1" x14ac:dyDescent="0.25">
      <c r="A7" s="19">
        <v>2020</v>
      </c>
      <c r="B7" s="13">
        <v>877803</v>
      </c>
      <c r="C7" s="15">
        <f t="shared" ref="C7:C13" si="1">B7/B6-1</f>
        <v>6.0000048302411679E-2</v>
      </c>
      <c r="D7" s="51">
        <f t="shared" si="0"/>
        <v>1.9946445842632117</v>
      </c>
      <c r="E7" s="20" t="s">
        <v>54</v>
      </c>
    </row>
    <row r="8" spans="1:5" ht="27.75" customHeight="1" x14ac:dyDescent="0.25">
      <c r="A8" s="19">
        <v>2021</v>
      </c>
      <c r="B8" s="13">
        <v>908526</v>
      </c>
      <c r="C8" s="15">
        <f t="shared" si="1"/>
        <v>3.4999880383183912E-2</v>
      </c>
      <c r="D8" s="51">
        <f t="shared" si="0"/>
        <v>1.9271930577660958</v>
      </c>
      <c r="E8" s="20" t="s">
        <v>55</v>
      </c>
    </row>
    <row r="9" spans="1:5" ht="27.75" customHeight="1" x14ac:dyDescent="0.25">
      <c r="A9" s="19">
        <v>2022</v>
      </c>
      <c r="B9" s="13">
        <v>1000000</v>
      </c>
      <c r="C9" s="15">
        <f t="shared" si="1"/>
        <v>0.10068396501586085</v>
      </c>
      <c r="D9" s="51">
        <f t="shared" si="0"/>
        <v>1.7509049999999999</v>
      </c>
      <c r="E9" s="20" t="s">
        <v>56</v>
      </c>
    </row>
    <row r="10" spans="1:5" ht="27.75" customHeight="1" x14ac:dyDescent="0.25">
      <c r="A10" s="19">
        <v>2023</v>
      </c>
      <c r="B10" s="13">
        <v>1160000</v>
      </c>
      <c r="C10" s="15">
        <f t="shared" si="1"/>
        <v>0.15999999999999992</v>
      </c>
      <c r="D10" s="51">
        <f t="shared" si="0"/>
        <v>1.5094008620689656</v>
      </c>
      <c r="E10" s="20" t="s">
        <v>57</v>
      </c>
    </row>
    <row r="11" spans="1:5" ht="27.75" customHeight="1" x14ac:dyDescent="0.25">
      <c r="A11" s="19">
        <v>2024</v>
      </c>
      <c r="B11" s="13">
        <v>1300000</v>
      </c>
      <c r="C11" s="15">
        <f t="shared" si="1"/>
        <v>0.1206896551724137</v>
      </c>
      <c r="D11" s="51">
        <f t="shared" si="0"/>
        <v>1.3468500000000001</v>
      </c>
      <c r="E11" s="20" t="s">
        <v>58</v>
      </c>
    </row>
    <row r="12" spans="1:5" ht="27.75" customHeight="1" x14ac:dyDescent="0.25">
      <c r="A12" s="19">
        <v>2025</v>
      </c>
      <c r="B12" s="13">
        <v>1423500</v>
      </c>
      <c r="C12" s="15">
        <f t="shared" si="1"/>
        <v>9.4999999999999973E-2</v>
      </c>
      <c r="D12" s="51">
        <f t="shared" si="0"/>
        <v>1.23</v>
      </c>
      <c r="E12" s="20" t="s">
        <v>59</v>
      </c>
    </row>
    <row r="13" spans="1:5" ht="27.75" customHeight="1" thickBot="1" x14ac:dyDescent="0.3">
      <c r="A13" s="21">
        <v>2026</v>
      </c>
      <c r="B13" s="22">
        <v>1750905</v>
      </c>
      <c r="C13" s="23">
        <f t="shared" si="1"/>
        <v>0.22999999999999998</v>
      </c>
      <c r="D13" s="55">
        <f t="shared" si="0"/>
        <v>1</v>
      </c>
      <c r="E13" s="24" t="s">
        <v>60</v>
      </c>
    </row>
  </sheetData>
  <mergeCells count="2">
    <mergeCell ref="A1:E1"/>
    <mergeCell ref="A3:E3"/>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1"/>
  <sheetViews>
    <sheetView showGridLines="0" zoomScale="85" zoomScaleNormal="85" workbookViewId="0">
      <selection activeCell="A2" sqref="A2:F2"/>
    </sheetView>
    <sheetView workbookViewId="1">
      <selection sqref="A1:F1"/>
    </sheetView>
  </sheetViews>
  <sheetFormatPr baseColWidth="10" defaultColWidth="8.7109375" defaultRowHeight="15" x14ac:dyDescent="0.25"/>
  <cols>
    <col min="1" max="1" width="46" customWidth="1"/>
    <col min="2" max="2" width="22" customWidth="1"/>
    <col min="3" max="3" width="20.28515625" customWidth="1"/>
    <col min="4" max="4" width="24" customWidth="1"/>
    <col min="5" max="5" width="19.140625" customWidth="1"/>
    <col min="6" max="6" width="70" customWidth="1"/>
    <col min="8" max="8" width="11" bestFit="1" customWidth="1"/>
    <col min="9" max="9" width="13.42578125" bestFit="1" customWidth="1"/>
  </cols>
  <sheetData>
    <row r="1" spans="1:9" ht="16.5" x14ac:dyDescent="0.25">
      <c r="A1" s="197" t="s">
        <v>162</v>
      </c>
      <c r="B1" s="197"/>
      <c r="C1" s="197"/>
      <c r="D1" s="197"/>
      <c r="E1" s="197"/>
      <c r="F1" s="197"/>
    </row>
    <row r="2" spans="1:9" ht="60" customHeight="1" x14ac:dyDescent="0.25">
      <c r="A2" s="200" t="s">
        <v>170</v>
      </c>
      <c r="B2" s="200"/>
      <c r="C2" s="200"/>
      <c r="D2" s="200"/>
      <c r="E2" s="200"/>
      <c r="F2" s="200"/>
    </row>
    <row r="3" spans="1:9" ht="15.75" thickBot="1" x14ac:dyDescent="0.3"/>
    <row r="4" spans="1:9" ht="39.75" customHeight="1" x14ac:dyDescent="0.25">
      <c r="A4" s="16" t="s">
        <v>177</v>
      </c>
      <c r="B4" s="17" t="s">
        <v>166</v>
      </c>
      <c r="C4" s="87" t="s">
        <v>167</v>
      </c>
      <c r="D4" s="87" t="s">
        <v>168</v>
      </c>
      <c r="E4" s="87" t="s">
        <v>169</v>
      </c>
      <c r="F4" s="18" t="s">
        <v>52</v>
      </c>
    </row>
    <row r="5" spans="1:9" ht="25.5" x14ac:dyDescent="0.25">
      <c r="A5" s="90" t="s">
        <v>178</v>
      </c>
      <c r="B5" s="91">
        <f>+'1. Datos fuente'!B8</f>
        <v>14131900</v>
      </c>
      <c r="C5" s="91">
        <f>+'1. Datos fuente'!B9</f>
        <v>51493200</v>
      </c>
      <c r="D5" s="100">
        <f>+B5/(B5+C5)</f>
        <v>0.21534290995366101</v>
      </c>
      <c r="E5" s="100">
        <f>1-D5</f>
        <v>0.78465709004633899</v>
      </c>
      <c r="F5" s="92" t="s">
        <v>186</v>
      </c>
      <c r="I5" s="11"/>
    </row>
    <row r="6" spans="1:9" ht="25.5" x14ac:dyDescent="0.25">
      <c r="A6" s="90" t="s">
        <v>179</v>
      </c>
      <c r="B6" s="91">
        <f>+'1. Datos fuente'!C8</f>
        <v>7480391</v>
      </c>
      <c r="C6" s="91">
        <f>+'1. Datos fuente'!C9</f>
        <v>17772622</v>
      </c>
      <c r="D6" s="100">
        <f t="shared" ref="D6:D11" si="0">+B6/(B6+C6)</f>
        <v>0.29621776221316642</v>
      </c>
      <c r="E6" s="100">
        <f t="shared" ref="E6:E12" si="1">1-D6</f>
        <v>0.70378223778683358</v>
      </c>
      <c r="F6" s="92" t="s">
        <v>186</v>
      </c>
      <c r="I6" s="11"/>
    </row>
    <row r="7" spans="1:9" ht="25.5" x14ac:dyDescent="0.25">
      <c r="A7" s="90" t="s">
        <v>180</v>
      </c>
      <c r="B7" s="91">
        <f>+'1. Datos fuente'!D8</f>
        <v>10877698</v>
      </c>
      <c r="C7" s="91">
        <f>+'1. Datos fuente'!D9</f>
        <v>26703619</v>
      </c>
      <c r="D7" s="100">
        <f t="shared" si="0"/>
        <v>0.28944430020906398</v>
      </c>
      <c r="E7" s="100">
        <f t="shared" si="1"/>
        <v>0.71055569979093602</v>
      </c>
      <c r="F7" s="92" t="s">
        <v>186</v>
      </c>
      <c r="I7" s="11"/>
    </row>
    <row r="8" spans="1:9" ht="25.5" x14ac:dyDescent="0.25">
      <c r="A8" s="90" t="s">
        <v>181</v>
      </c>
      <c r="B8" s="91">
        <f>+'1. Datos fuente'!E8</f>
        <v>39108800</v>
      </c>
      <c r="C8" s="91">
        <f>+'1. Datos fuente'!E9</f>
        <v>50060000</v>
      </c>
      <c r="D8" s="100">
        <f t="shared" si="0"/>
        <v>0.43859287104906647</v>
      </c>
      <c r="E8" s="100">
        <f t="shared" si="1"/>
        <v>0.56140712895093348</v>
      </c>
      <c r="F8" s="92" t="s">
        <v>186</v>
      </c>
      <c r="I8" s="11"/>
    </row>
    <row r="9" spans="1:9" ht="25.5" x14ac:dyDescent="0.25">
      <c r="A9" s="90" t="s">
        <v>182</v>
      </c>
      <c r="B9" s="91">
        <f>+'1. Datos fuente'!H8</f>
        <v>17189000</v>
      </c>
      <c r="C9" s="91">
        <f>+'1. Datos fuente'!H9</f>
        <v>19357000</v>
      </c>
      <c r="D9" s="100">
        <f t="shared" si="0"/>
        <v>0.47033875116291796</v>
      </c>
      <c r="E9" s="100">
        <f t="shared" si="1"/>
        <v>0.52966124883708199</v>
      </c>
      <c r="F9" s="92" t="s">
        <v>186</v>
      </c>
      <c r="I9" s="11"/>
    </row>
    <row r="10" spans="1:9" ht="25.5" x14ac:dyDescent="0.25">
      <c r="A10" s="90" t="s">
        <v>183</v>
      </c>
      <c r="B10" s="91">
        <f>+'1. Datos fuente'!I8</f>
        <v>11608082</v>
      </c>
      <c r="C10" s="91">
        <f>+'1. Datos fuente'!I9</f>
        <v>53216274</v>
      </c>
      <c r="D10" s="100">
        <f t="shared" si="0"/>
        <v>0.17906976198884259</v>
      </c>
      <c r="E10" s="100">
        <f t="shared" si="1"/>
        <v>0.82093023801115739</v>
      </c>
      <c r="F10" s="92" t="s">
        <v>186</v>
      </c>
    </row>
    <row r="11" spans="1:9" ht="25.5" x14ac:dyDescent="0.25">
      <c r="A11" s="93" t="s">
        <v>184</v>
      </c>
      <c r="B11" s="91">
        <f>+'1. Datos fuente'!J8</f>
        <v>30539711</v>
      </c>
      <c r="C11" s="91">
        <f>+'1. Datos fuente'!J9</f>
        <v>26200092</v>
      </c>
      <c r="D11" s="100">
        <f t="shared" si="0"/>
        <v>0.53824139995692266</v>
      </c>
      <c r="E11" s="100">
        <f t="shared" si="1"/>
        <v>0.46175860004307734</v>
      </c>
      <c r="F11" s="92" t="s">
        <v>186</v>
      </c>
    </row>
    <row r="12" spans="1:9" ht="39.75" customHeight="1" thickBot="1" x14ac:dyDescent="0.3">
      <c r="A12" s="95" t="s">
        <v>171</v>
      </c>
      <c r="B12" s="96"/>
      <c r="C12" s="101" t="str">
        <f>IF(E14&lt;0.25,"aritmética",IF(E14&lt;0.5,"geométrica","armónica"))</f>
        <v>aritmética</v>
      </c>
      <c r="D12" s="101">
        <f>IF(E14&lt;0.25,AVERAGE(D5:D11),IF(E14&lt;0.5,GEOMEAN(D5:D11),HARMEAN(D5:D11)))</f>
        <v>0.3467496795048059</v>
      </c>
      <c r="E12" s="101">
        <f t="shared" si="1"/>
        <v>0.65325032049519405</v>
      </c>
      <c r="F12" s="98" t="s">
        <v>158</v>
      </c>
    </row>
    <row r="14" spans="1:9" x14ac:dyDescent="0.25">
      <c r="B14" t="s">
        <v>172</v>
      </c>
      <c r="C14" s="88">
        <f>+STDEV(E5:E11)</f>
        <v>0.13638192967513885</v>
      </c>
      <c r="D14" t="s">
        <v>173</v>
      </c>
      <c r="E14" s="89">
        <f>+STDEV(E5:E11)/AVERAGE(E5:E11)</f>
        <v>0.20877437851351532</v>
      </c>
    </row>
    <row r="15" spans="1:9" x14ac:dyDescent="0.25">
      <c r="A15" s="3" t="s">
        <v>112</v>
      </c>
    </row>
    <row r="16" spans="1:9" ht="15" customHeight="1" x14ac:dyDescent="0.25">
      <c r="A16" s="201" t="s">
        <v>187</v>
      </c>
      <c r="B16" s="201"/>
      <c r="C16" s="201"/>
      <c r="D16" s="201"/>
      <c r="E16" s="201"/>
      <c r="F16" s="201"/>
    </row>
    <row r="19" spans="1:9" ht="16.5" x14ac:dyDescent="0.25">
      <c r="A19" s="197" t="s">
        <v>161</v>
      </c>
      <c r="B19" s="197"/>
      <c r="C19" s="197"/>
      <c r="D19" s="197"/>
      <c r="E19" s="197"/>
      <c r="F19" s="197"/>
    </row>
    <row r="20" spans="1:9" ht="40.5" customHeight="1" x14ac:dyDescent="0.25">
      <c r="A20" s="200" t="s">
        <v>160</v>
      </c>
      <c r="B20" s="200"/>
      <c r="C20" s="200"/>
      <c r="D20" s="200"/>
      <c r="E20" s="200"/>
      <c r="F20" s="200"/>
    </row>
    <row r="21" spans="1:9" ht="15.75" thickBot="1" x14ac:dyDescent="0.3"/>
    <row r="22" spans="1:9" ht="39.75" customHeight="1" x14ac:dyDescent="0.25">
      <c r="A22" s="16" t="s">
        <v>177</v>
      </c>
      <c r="B22" s="87" t="s">
        <v>163</v>
      </c>
      <c r="C22" s="87" t="s">
        <v>164</v>
      </c>
      <c r="D22" s="87" t="s">
        <v>165</v>
      </c>
      <c r="E22" s="87" t="s">
        <v>185</v>
      </c>
      <c r="F22" s="18" t="s">
        <v>52</v>
      </c>
    </row>
    <row r="23" spans="1:9" ht="36" x14ac:dyDescent="0.25">
      <c r="A23" s="90" t="s">
        <v>62</v>
      </c>
      <c r="B23" s="99">
        <v>14635149.17</v>
      </c>
      <c r="C23" s="99">
        <v>11382893.800000001</v>
      </c>
      <c r="D23" s="99">
        <v>6504510.7400000002</v>
      </c>
      <c r="E23" s="100">
        <f t="shared" ref="E23:E24" si="2">+D23/(B23+C23+D23)</f>
        <v>0.1999999999385042</v>
      </c>
      <c r="F23" s="92" t="s">
        <v>157</v>
      </c>
      <c r="I23" s="11"/>
    </row>
    <row r="24" spans="1:9" ht="25.5" x14ac:dyDescent="0.25">
      <c r="A24" s="90" t="s">
        <v>154</v>
      </c>
      <c r="B24" s="99">
        <v>15400000</v>
      </c>
      <c r="C24" s="99">
        <v>0</v>
      </c>
      <c r="D24" s="99">
        <v>6040000</v>
      </c>
      <c r="E24" s="100">
        <f t="shared" si="2"/>
        <v>0.28171641791044777</v>
      </c>
      <c r="F24" s="92" t="s">
        <v>111</v>
      </c>
    </row>
    <row r="25" spans="1:9" ht="36" x14ac:dyDescent="0.25">
      <c r="A25" s="93" t="s">
        <v>155</v>
      </c>
      <c r="B25" s="99">
        <v>67680000</v>
      </c>
      <c r="C25" s="99">
        <v>67680000</v>
      </c>
      <c r="D25" s="99">
        <v>37600000</v>
      </c>
      <c r="E25" s="100">
        <f>+D25/(B25+C25+D25)</f>
        <v>0.21739130434782608</v>
      </c>
      <c r="F25" s="94" t="s">
        <v>156</v>
      </c>
    </row>
    <row r="26" spans="1:9" ht="39.75" customHeight="1" thickBot="1" x14ac:dyDescent="0.3">
      <c r="A26" s="95" t="s">
        <v>63</v>
      </c>
      <c r="B26" s="96"/>
      <c r="C26" s="97"/>
      <c r="D26" s="97"/>
      <c r="E26" s="101">
        <f>+AVERAGE(E23:E25)</f>
        <v>0.23303590739892602</v>
      </c>
      <c r="F26" s="98" t="s">
        <v>158</v>
      </c>
    </row>
    <row r="28" spans="1:9" x14ac:dyDescent="0.25">
      <c r="A28" s="3" t="s">
        <v>112</v>
      </c>
    </row>
    <row r="29" spans="1:9" ht="31.5" customHeight="1" x14ac:dyDescent="0.25">
      <c r="A29" s="201" t="s">
        <v>159</v>
      </c>
      <c r="B29" s="201"/>
      <c r="C29" s="201"/>
      <c r="D29" s="201"/>
      <c r="E29" s="201"/>
      <c r="F29" s="201"/>
    </row>
    <row r="31" spans="1:9" x14ac:dyDescent="0.25">
      <c r="B31" s="86"/>
      <c r="C31" s="86"/>
      <c r="D31" s="86"/>
      <c r="E31" s="86"/>
    </row>
  </sheetData>
  <mergeCells count="6">
    <mergeCell ref="A20:F20"/>
    <mergeCell ref="A29:F29"/>
    <mergeCell ref="A1:F1"/>
    <mergeCell ref="A2:F2"/>
    <mergeCell ref="A16:F16"/>
    <mergeCell ref="A19:F19"/>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4"/>
  <sheetViews>
    <sheetView showGridLines="0" topLeftCell="B1" zoomScaleNormal="100" workbookViewId="0">
      <selection activeCell="D6" sqref="D6"/>
    </sheetView>
    <sheetView workbookViewId="1">
      <selection activeCell="A2" sqref="A2:E2"/>
    </sheetView>
  </sheetViews>
  <sheetFormatPr baseColWidth="10" defaultColWidth="8.7109375" defaultRowHeight="15" x14ac:dyDescent="0.25"/>
  <cols>
    <col min="1" max="1" width="39.7109375" customWidth="1"/>
    <col min="2" max="5" width="29.28515625" customWidth="1"/>
  </cols>
  <sheetData>
    <row r="1" spans="1:9" ht="16.5" x14ac:dyDescent="0.25">
      <c r="A1" s="209" t="s">
        <v>114</v>
      </c>
      <c r="B1" s="197"/>
      <c r="C1" s="197"/>
      <c r="D1" s="197"/>
      <c r="E1" s="197"/>
    </row>
    <row r="2" spans="1:9" ht="96" customHeight="1" x14ac:dyDescent="0.25">
      <c r="A2" s="200" t="s">
        <v>193</v>
      </c>
      <c r="B2" s="200"/>
      <c r="C2" s="200"/>
      <c r="D2" s="200"/>
      <c r="E2" s="200"/>
    </row>
    <row r="4" spans="1:9" ht="15.75" thickBot="1" x14ac:dyDescent="0.3">
      <c r="A4" s="210" t="s">
        <v>115</v>
      </c>
      <c r="B4" s="210"/>
      <c r="C4" s="210"/>
      <c r="D4" s="210"/>
      <c r="E4" s="210"/>
    </row>
    <row r="5" spans="1:9" ht="30.75" thickBot="1" x14ac:dyDescent="0.3">
      <c r="A5" s="102" t="s">
        <v>64</v>
      </c>
      <c r="B5" s="103" t="s">
        <v>65</v>
      </c>
      <c r="C5" s="103" t="s">
        <v>66</v>
      </c>
      <c r="D5" s="103" t="s">
        <v>67</v>
      </c>
      <c r="E5" s="104" t="s">
        <v>68</v>
      </c>
    </row>
    <row r="6" spans="1:9" ht="19.5" customHeight="1" x14ac:dyDescent="0.25">
      <c r="A6" s="114" t="s">
        <v>7</v>
      </c>
      <c r="B6" s="115">
        <f>'1. Datos fuente'!B$5</f>
        <v>3700</v>
      </c>
      <c r="C6" s="116">
        <f>SUM('1. Datos fuente'!B$40:B$49)</f>
        <v>937469191.5560782</v>
      </c>
      <c r="D6" s="117">
        <f t="shared" ref="D6:E8" si="0">LN(B6)</f>
        <v>8.2160880986323157</v>
      </c>
      <c r="E6" s="118">
        <f t="shared" si="0"/>
        <v>20.658694452928678</v>
      </c>
    </row>
    <row r="7" spans="1:9" ht="19.5" customHeight="1" x14ac:dyDescent="0.25">
      <c r="A7" s="119" t="s">
        <v>8</v>
      </c>
      <c r="B7" s="120">
        <f>'1. Datos fuente'!C$5</f>
        <v>922</v>
      </c>
      <c r="C7" s="121">
        <f>SUM('1. Datos fuente'!C$40:C$49)</f>
        <v>330334633.648305</v>
      </c>
      <c r="D7" s="122">
        <f t="shared" si="0"/>
        <v>6.826545223556594</v>
      </c>
      <c r="E7" s="123">
        <f t="shared" si="0"/>
        <v>19.615616739990671</v>
      </c>
    </row>
    <row r="8" spans="1:9" ht="19.5" customHeight="1" x14ac:dyDescent="0.25">
      <c r="A8" s="119" t="s">
        <v>9</v>
      </c>
      <c r="B8" s="120">
        <f>'1. Datos fuente'!D$5</f>
        <v>500</v>
      </c>
      <c r="C8" s="121">
        <f>SUM('1. Datos fuente'!D$40:D$49)+'1. Datos fuente'!D$51</f>
        <v>324241938.7536</v>
      </c>
      <c r="D8" s="122">
        <f t="shared" si="0"/>
        <v>6.2146080984221914</v>
      </c>
      <c r="E8" s="123">
        <f t="shared" si="0"/>
        <v>19.597000519644688</v>
      </c>
    </row>
    <row r="9" spans="1:9" ht="19.5" customHeight="1" x14ac:dyDescent="0.25">
      <c r="A9" s="119" t="s">
        <v>147</v>
      </c>
      <c r="B9" s="124">
        <f>+'1. Datos fuente'!E5</f>
        <v>4779.58</v>
      </c>
      <c r="C9" s="121">
        <f>SUM('1. Datos fuente'!E$40:E$49)</f>
        <v>623141124</v>
      </c>
      <c r="D9" s="122">
        <f t="shared" ref="D9" si="1">LN(B9)</f>
        <v>8.4721079555162628</v>
      </c>
      <c r="E9" s="123">
        <f t="shared" ref="E9" si="2">LN(C9)</f>
        <v>20.250283574373682</v>
      </c>
      <c r="I9" s="84"/>
    </row>
    <row r="10" spans="1:9" ht="19.5" customHeight="1" x14ac:dyDescent="0.25">
      <c r="A10" s="119" t="s">
        <v>134</v>
      </c>
      <c r="B10" s="124">
        <f>+'1. Datos fuente'!F5</f>
        <v>532.85</v>
      </c>
      <c r="C10" s="121">
        <f>SUM('1. Datos fuente'!F$40:F$49)</f>
        <v>125243581.5</v>
      </c>
      <c r="D10" s="122">
        <f t="shared" ref="D10" si="3">LN(B10)</f>
        <v>6.2782399586669655</v>
      </c>
      <c r="E10" s="123">
        <f t="shared" ref="E10" si="4">LN(C10)</f>
        <v>18.645771051107172</v>
      </c>
      <c r="I10" s="84"/>
    </row>
    <row r="11" spans="1:9" ht="19.5" customHeight="1" thickBot="1" x14ac:dyDescent="0.3">
      <c r="A11" s="125" t="s">
        <v>135</v>
      </c>
      <c r="B11" s="126">
        <f>+'1. Datos fuente'!G5</f>
        <v>8290.1299999999992</v>
      </c>
      <c r="C11" s="127">
        <f>SUM('1. Datos fuente'!G$40:G$49)+'1. Datos fuente'!G51</f>
        <v>1160902542.1500001</v>
      </c>
      <c r="D11" s="128">
        <f t="shared" ref="D11" si="5">LN(B11)</f>
        <v>9.0228209295504147</v>
      </c>
      <c r="E11" s="129">
        <f t="shared" ref="E11" si="6">LN(C11)</f>
        <v>20.872463593115498</v>
      </c>
      <c r="I11" s="84"/>
    </row>
    <row r="12" spans="1:9" ht="19.5" customHeight="1" x14ac:dyDescent="0.25">
      <c r="A12" s="4"/>
      <c r="B12" s="81"/>
      <c r="C12" s="82"/>
      <c r="D12" s="83"/>
      <c r="E12" s="83"/>
    </row>
    <row r="14" spans="1:9" ht="15.75" thickBot="1" x14ac:dyDescent="0.3">
      <c r="A14" s="208" t="s">
        <v>219</v>
      </c>
      <c r="B14" s="208"/>
      <c r="C14" s="208"/>
      <c r="D14" s="208"/>
      <c r="E14" s="208"/>
    </row>
    <row r="15" spans="1:9" ht="30" customHeight="1" x14ac:dyDescent="0.25">
      <c r="A15" s="108" t="s">
        <v>194</v>
      </c>
      <c r="B15" s="109">
        <f>SLOPE(E6:E11,D6:D11)</f>
        <v>0.60702243201086403</v>
      </c>
      <c r="C15" s="213" t="s">
        <v>190</v>
      </c>
      <c r="D15" s="214"/>
      <c r="E15" s="215"/>
    </row>
    <row r="16" spans="1:9" ht="25.5" x14ac:dyDescent="0.25">
      <c r="A16" s="110" t="s">
        <v>195</v>
      </c>
      <c r="B16" s="111">
        <f>INTERCEPT(E6:E11,D6:D11)</f>
        <v>15.384226796341814</v>
      </c>
      <c r="C16" s="216" t="s">
        <v>113</v>
      </c>
      <c r="D16" s="217"/>
      <c r="E16" s="218"/>
    </row>
    <row r="17" spans="1:5" ht="30.75" customHeight="1" x14ac:dyDescent="0.25">
      <c r="A17" s="110" t="s">
        <v>196</v>
      </c>
      <c r="B17" s="112">
        <f>RSQ(E6:E11,D6:D11)</f>
        <v>0.80396142659204872</v>
      </c>
      <c r="C17" s="216" t="s">
        <v>191</v>
      </c>
      <c r="D17" s="217"/>
      <c r="E17" s="218"/>
    </row>
    <row r="18" spans="1:5" ht="15.75" thickBot="1" x14ac:dyDescent="0.3">
      <c r="A18" s="113" t="s">
        <v>69</v>
      </c>
      <c r="B18" s="211" t="str">
        <f>"ln(V) = "&amp;TEXT($B$16,"0.00000")&amp;" + "&amp;TEXT($B$15,"0.00000")&amp;" × ln(A)"</f>
        <v>ln(V) = 15.38423 + 0.60702 × ln(A)</v>
      </c>
      <c r="C18" s="211"/>
      <c r="D18" s="211"/>
      <c r="E18" s="212"/>
    </row>
    <row r="20" spans="1:5" ht="15.75" thickBot="1" x14ac:dyDescent="0.3">
      <c r="A20" s="208" t="s">
        <v>70</v>
      </c>
      <c r="B20" s="208"/>
      <c r="C20" s="208"/>
      <c r="D20" s="208"/>
      <c r="E20" s="208"/>
    </row>
    <row r="21" spans="1:5" x14ac:dyDescent="0.25">
      <c r="A21" s="16" t="s">
        <v>64</v>
      </c>
      <c r="B21" s="17" t="s">
        <v>71</v>
      </c>
      <c r="C21" s="17" t="s">
        <v>72</v>
      </c>
      <c r="D21" s="202" t="s">
        <v>197</v>
      </c>
      <c r="E21" s="203"/>
    </row>
    <row r="22" spans="1:5" ht="19.5" customHeight="1" x14ac:dyDescent="0.25">
      <c r="A22" s="52" t="s">
        <v>10</v>
      </c>
      <c r="B22" s="50">
        <f>SUM('1. Datos fuente'!H40:H49)+'1. Datos fuente'!H53</f>
        <v>279635580</v>
      </c>
      <c r="C22" s="56">
        <f>EXP((LN(B22)-$B$16)/$B$15)</f>
        <v>809.36108408864163</v>
      </c>
      <c r="D22" s="204"/>
      <c r="E22" s="205"/>
    </row>
    <row r="23" spans="1:5" ht="19.5" customHeight="1" x14ac:dyDescent="0.25">
      <c r="A23" s="52" t="s">
        <v>11</v>
      </c>
      <c r="B23" s="50">
        <f>SUM('1. Datos fuente'!I$40:I$49)</f>
        <v>356038073</v>
      </c>
      <c r="C23" s="56">
        <f>EXP((LN(B23)-$B$16)/$B$15)</f>
        <v>1204.9240603342339</v>
      </c>
      <c r="D23" s="204"/>
      <c r="E23" s="205"/>
    </row>
    <row r="24" spans="1:5" ht="19.5" customHeight="1" thickBot="1" x14ac:dyDescent="0.3">
      <c r="A24" s="53" t="s">
        <v>12</v>
      </c>
      <c r="B24" s="54">
        <f>SUM('1. Datos fuente'!J$40:J$49)</f>
        <v>205765274.13479999</v>
      </c>
      <c r="C24" s="57">
        <f>EXP((LN(B24)-$B$16)/$B$15)</f>
        <v>488.28911421378854</v>
      </c>
      <c r="D24" s="206"/>
      <c r="E24" s="207"/>
    </row>
  </sheetData>
  <mergeCells count="13">
    <mergeCell ref="A1:E1"/>
    <mergeCell ref="A2:E2"/>
    <mergeCell ref="A4:E4"/>
    <mergeCell ref="A14:E14"/>
    <mergeCell ref="B18:E18"/>
    <mergeCell ref="C15:E15"/>
    <mergeCell ref="C16:E16"/>
    <mergeCell ref="C17:E17"/>
    <mergeCell ref="D21:E21"/>
    <mergeCell ref="D22:E22"/>
    <mergeCell ref="D23:E23"/>
    <mergeCell ref="D24:E24"/>
    <mergeCell ref="A20:E20"/>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9"/>
  <sheetViews>
    <sheetView showGridLines="0" zoomScale="85" zoomScaleNormal="85" workbookViewId="0">
      <selection activeCell="A7" sqref="A7"/>
    </sheetView>
    <sheetView zoomScale="85" zoomScaleNormal="85" workbookViewId="1">
      <selection activeCell="H16" sqref="H16"/>
    </sheetView>
  </sheetViews>
  <sheetFormatPr baseColWidth="10" defaultColWidth="8.7109375" defaultRowHeight="15" x14ac:dyDescent="0.25"/>
  <cols>
    <col min="1" max="1" width="40.7109375" customWidth="1"/>
    <col min="2" max="2" width="17.140625" customWidth="1"/>
    <col min="3" max="9" width="15" customWidth="1"/>
    <col min="10" max="10" width="14.5703125" customWidth="1"/>
    <col min="11" max="11" width="61.42578125" customWidth="1"/>
  </cols>
  <sheetData>
    <row r="1" spans="1:11" ht="16.5" x14ac:dyDescent="0.25">
      <c r="A1" s="209" t="s">
        <v>119</v>
      </c>
      <c r="B1" s="197"/>
      <c r="C1" s="197"/>
      <c r="D1" s="197"/>
      <c r="E1" s="197"/>
      <c r="F1" s="197"/>
      <c r="G1" s="197"/>
      <c r="H1" s="197"/>
      <c r="I1" s="197"/>
      <c r="J1" s="197"/>
      <c r="K1" s="197"/>
    </row>
    <row r="2" spans="1:11" ht="52.5" customHeight="1" x14ac:dyDescent="0.25">
      <c r="A2" s="200" t="s">
        <v>192</v>
      </c>
      <c r="B2" s="200"/>
      <c r="C2" s="200"/>
      <c r="D2" s="200"/>
      <c r="E2" s="200"/>
      <c r="F2" s="200"/>
      <c r="G2" s="200"/>
      <c r="H2" s="200"/>
      <c r="I2" s="200"/>
      <c r="J2" s="200"/>
      <c r="K2" s="200"/>
    </row>
    <row r="3" spans="1:11" ht="15.75" thickBot="1" x14ac:dyDescent="0.3"/>
    <row r="4" spans="1:11" ht="42.75" customHeight="1" x14ac:dyDescent="0.25">
      <c r="A4" s="16" t="s">
        <v>73</v>
      </c>
      <c r="B4" s="17" t="s">
        <v>148</v>
      </c>
      <c r="C4" s="17" t="s">
        <v>149</v>
      </c>
      <c r="D4" s="17" t="s">
        <v>150</v>
      </c>
      <c r="E4" s="17" t="s">
        <v>151</v>
      </c>
      <c r="F4" s="17"/>
      <c r="G4" s="17"/>
      <c r="H4" s="17" t="s">
        <v>120</v>
      </c>
      <c r="I4" s="17" t="s">
        <v>121</v>
      </c>
      <c r="J4" s="17" t="s">
        <v>122</v>
      </c>
      <c r="K4" s="17" t="s">
        <v>197</v>
      </c>
    </row>
    <row r="5" spans="1:11" ht="16.5" customHeight="1" x14ac:dyDescent="0.25">
      <c r="A5" s="62"/>
      <c r="B5" s="60">
        <f>+'1. Datos fuente'!B$5</f>
        <v>3700</v>
      </c>
      <c r="C5" s="60">
        <f>+'1. Datos fuente'!C$5</f>
        <v>922</v>
      </c>
      <c r="D5" s="60">
        <f>+'1. Datos fuente'!D$5</f>
        <v>500</v>
      </c>
      <c r="E5" s="60">
        <f>+'1. Datos fuente'!E$5</f>
        <v>4779.58</v>
      </c>
      <c r="F5" s="60"/>
      <c r="G5" s="60"/>
      <c r="H5" s="59"/>
      <c r="I5" s="59"/>
      <c r="J5" s="59"/>
      <c r="K5" s="59"/>
    </row>
    <row r="6" spans="1:11" ht="40.5" customHeight="1" x14ac:dyDescent="0.25">
      <c r="A6" s="132" t="str">
        <f>+'1. Datos fuente'!A8</f>
        <v>Levantamiento topográfico</v>
      </c>
      <c r="B6" s="61">
        <f>+'1. Datos fuente'!B40</f>
        <v>28188117.80034928</v>
      </c>
      <c r="C6" s="61">
        <f>+'1. Datos fuente'!C40</f>
        <v>13097454.003854999</v>
      </c>
      <c r="D6" s="61">
        <f>+'1. Datos fuente'!D40</f>
        <v>15921686.562599998</v>
      </c>
      <c r="E6" s="61">
        <f>+'1. Datos fuente'!E40</f>
        <v>48103824</v>
      </c>
      <c r="F6" s="61"/>
      <c r="G6" s="61"/>
      <c r="H6" s="131" cm="1">
        <f t="array" ref="H6">SLOPE(LN(B6:E6),LN(B5:E5))</f>
        <v>0.48392692332688303</v>
      </c>
      <c r="I6" s="131" cm="1">
        <f t="array" ref="I6">INTERCEPT(LN(B6:D6),LN($B$9:$D$9))</f>
        <v>14.363308097944845</v>
      </c>
      <c r="J6" s="131" cm="1">
        <f t="array" ref="J6">RSQ(LN(B6:E6),LN($B$9:$E$9))</f>
        <v>0.88077280768851895</v>
      </c>
      <c r="K6" s="130" t="s">
        <v>198</v>
      </c>
    </row>
    <row r="7" spans="1:11" ht="40.5" customHeight="1" thickBot="1" x14ac:dyDescent="0.3">
      <c r="A7" s="132" t="s">
        <v>16</v>
      </c>
      <c r="B7" s="61">
        <f>'1. Datos fuente'!B41</f>
        <v>102710632.50638241</v>
      </c>
      <c r="C7" s="61">
        <f>'1. Datos fuente'!C41</f>
        <v>31118172.722909998</v>
      </c>
      <c r="D7" s="61">
        <f>'1. Datos fuente'!D41</f>
        <v>39086087.1303</v>
      </c>
      <c r="E7" s="61">
        <f>+'1. Datos fuente'!E41</f>
        <v>61573800</v>
      </c>
      <c r="F7" s="61"/>
      <c r="G7" s="61"/>
      <c r="H7" s="131" cm="1">
        <f t="array" ref="H7">SLOPE(LN(B7:E7),LN(B5:E5))</f>
        <v>0.38583310020986678</v>
      </c>
      <c r="I7" s="131" cm="1">
        <f t="array" ref="I7">INTERCEPT(LN(B7:D7),LN($B$9:$D$9))</f>
        <v>13.850004239030749</v>
      </c>
      <c r="J7" s="131" cm="1">
        <f t="array" ref="J7">RSQ(LN(B7:E7),LN($B$9:$E$9))</f>
        <v>0.51395405992156507</v>
      </c>
      <c r="K7" s="130" t="s">
        <v>199</v>
      </c>
    </row>
    <row r="8" spans="1:11" ht="40.5" customHeight="1" x14ac:dyDescent="0.25">
      <c r="A8" s="16" t="s">
        <v>73</v>
      </c>
      <c r="B8" s="17" t="s">
        <v>148</v>
      </c>
      <c r="C8" s="17" t="s">
        <v>149</v>
      </c>
      <c r="D8" s="17" t="s">
        <v>150</v>
      </c>
      <c r="E8" s="17" t="s">
        <v>153</v>
      </c>
      <c r="F8" s="17" t="s">
        <v>151</v>
      </c>
      <c r="G8" s="17" t="s">
        <v>152</v>
      </c>
      <c r="H8" s="17" t="s">
        <v>120</v>
      </c>
      <c r="I8" s="17" t="s">
        <v>121</v>
      </c>
      <c r="J8" s="17" t="s">
        <v>122</v>
      </c>
      <c r="K8" s="17" t="s">
        <v>197</v>
      </c>
    </row>
    <row r="9" spans="1:11" x14ac:dyDescent="0.25">
      <c r="A9" s="62"/>
      <c r="B9" s="60">
        <f>+'1. Datos fuente'!B5</f>
        <v>3700</v>
      </c>
      <c r="C9" s="60">
        <f>+'1. Datos fuente'!C5</f>
        <v>922</v>
      </c>
      <c r="D9" s="60">
        <f>+'1. Datos fuente'!D5</f>
        <v>500</v>
      </c>
      <c r="E9" s="60">
        <f>+'1. Datos fuente'!G5</f>
        <v>8290.1299999999992</v>
      </c>
      <c r="F9" s="60">
        <f>+'1. Datos fuente'!E5</f>
        <v>4779.58</v>
      </c>
      <c r="G9" s="60">
        <f>+'1. Datos fuente'!F5</f>
        <v>532.85</v>
      </c>
      <c r="H9" s="59"/>
      <c r="I9" s="59"/>
      <c r="J9" s="59"/>
      <c r="K9" s="59"/>
    </row>
    <row r="10" spans="1:11" ht="21.75" customHeight="1" x14ac:dyDescent="0.25">
      <c r="A10" s="52" t="s">
        <v>17</v>
      </c>
      <c r="B10" s="61">
        <f>'1. Datos fuente'!B42</f>
        <v>125371789.62819676</v>
      </c>
      <c r="C10" s="61">
        <f>'1. Datos fuente'!C42</f>
        <v>44398760.884334996</v>
      </c>
      <c r="D10" s="61">
        <f>'1. Datos fuente'!D42</f>
        <v>49002130.625699997</v>
      </c>
      <c r="E10" s="61">
        <f>'1. Datos fuente'!G42</f>
        <v>192169527.73199996</v>
      </c>
      <c r="F10" s="61">
        <f>'1. Datos fuente'!E42</f>
        <v>183087960</v>
      </c>
      <c r="G10" s="61">
        <f>'1. Datos fuente'!F42</f>
        <v>22223025</v>
      </c>
      <c r="H10" s="131" cm="1">
        <f t="array" ref="H10">SLOPE(LN(B10:G10),LN($B$9:$G$9))</f>
        <v>0.68523597296605643</v>
      </c>
      <c r="I10" s="131" cm="1">
        <f t="array" ref="I10">INTERCEPT(LN(B10:G10),LN($B$9:$G$9))</f>
        <v>13.020406480574044</v>
      </c>
      <c r="J10" s="131" cm="1">
        <f t="array" ref="J10">RSQ(LN(B10:G10),LN($B$9:$G$9))</f>
        <v>0.89346410585157199</v>
      </c>
      <c r="K10" s="105" t="s">
        <v>217</v>
      </c>
    </row>
    <row r="11" spans="1:11" ht="21.75" customHeight="1" x14ac:dyDescent="0.25">
      <c r="A11" s="63" t="s">
        <v>118</v>
      </c>
      <c r="B11" s="61">
        <f>+'1. Datos fuente'!B43</f>
        <v>86783196.036582246</v>
      </c>
      <c r="C11" s="61">
        <f>'1. Datos fuente'!C50</f>
        <v>30053503.42137</v>
      </c>
      <c r="D11" s="61">
        <f>'1. Datos fuente'!D50</f>
        <v>32327057.181299999</v>
      </c>
      <c r="E11" s="61">
        <f>+'1. Datos fuente'!G43</f>
        <v>329433476.11199999</v>
      </c>
      <c r="F11" s="61">
        <f>+'1. Datos fuente'!E43</f>
        <v>101487300</v>
      </c>
      <c r="G11" s="61">
        <f>+'1. Datos fuente'!F43</f>
        <v>44446050</v>
      </c>
      <c r="H11" s="131" cm="1">
        <f t="array" ref="H11">SLOPE(LN(B11:G11),LN($B$9:$G$9))</f>
        <v>0.67670760132095531</v>
      </c>
      <c r="I11" s="131" cm="1">
        <f t="array" ref="I11">INTERCEPT(LN(B11:G11),LN($B$9:$G$9))</f>
        <v>12.995753907617544</v>
      </c>
      <c r="J11" s="131" cm="1">
        <f t="array" ref="J11">RSQ(LN(B11:G11),LN($B$9:$G$9))</f>
        <v>0.82360288017027961</v>
      </c>
      <c r="K11" s="105" t="s">
        <v>217</v>
      </c>
    </row>
    <row r="12" spans="1:11" ht="21.75" customHeight="1" x14ac:dyDescent="0.25">
      <c r="A12" s="52" t="s">
        <v>19</v>
      </c>
      <c r="B12" s="61">
        <f>'1. Datos fuente'!B44</f>
        <v>141900212.51123545</v>
      </c>
      <c r="C12" s="61">
        <f>'1. Datos fuente'!C44</f>
        <v>68606510.778585002</v>
      </c>
      <c r="D12" s="61">
        <f>'1. Datos fuente'!D44</f>
        <v>35689121.924399994</v>
      </c>
      <c r="E12" s="61">
        <f>'1. Datos fuente'!G44</f>
        <v>155565808.164</v>
      </c>
      <c r="F12" s="61">
        <f>'1. Datos fuente'!E44</f>
        <v>144256860</v>
      </c>
      <c r="G12" s="61">
        <f>'1. Datos fuente'!F44</f>
        <v>30977550.000000004</v>
      </c>
      <c r="H12" s="131" cm="1">
        <f t="array" ref="H12">SLOPE(LN(B12:G12),LN($B$9:$G$9))</f>
        <v>0.58261662947788828</v>
      </c>
      <c r="I12" s="131" cm="1">
        <f t="array" ref="I12">INTERCEPT(LN(B12:G12),LN($B$9:$G$9))</f>
        <v>13.811313667686662</v>
      </c>
      <c r="J12" s="131" cm="1">
        <f t="array" ref="J12">RSQ(LN(B12:G12),LN($B$9:$G$9))</f>
        <v>0.92977414084829302</v>
      </c>
      <c r="K12" s="106" t="s">
        <v>217</v>
      </c>
    </row>
    <row r="13" spans="1:11" ht="21.75" customHeight="1" x14ac:dyDescent="0.25">
      <c r="A13" s="63" t="s">
        <v>20</v>
      </c>
      <c r="B13" s="61">
        <f>'1. Datos fuente'!B45</f>
        <v>67055363.240385368</v>
      </c>
      <c r="C13" s="61">
        <f>'1. Datos fuente'!C45</f>
        <v>28133970.511724997</v>
      </c>
      <c r="D13" s="61">
        <f>'1. Datos fuente'!D45</f>
        <v>31611000.504299998</v>
      </c>
      <c r="E13" s="61">
        <f>'1. Datos fuente'!G45</f>
        <v>146414878.27199998</v>
      </c>
      <c r="F13" s="61"/>
      <c r="G13" s="61"/>
      <c r="H13" s="131" cm="1">
        <f t="array" ref="H13">SLOPE(LN(B13:E13),LN(B9:E9))</f>
        <v>0.56925403941313191</v>
      </c>
      <c r="I13" s="131" cm="1">
        <f t="array" ref="I13">INTERCEPT(LN(B13:E13),LN(B9:E9))</f>
        <v>13.501860045721873</v>
      </c>
      <c r="J13" s="131" cm="1">
        <f t="array" ref="J13">RSQ(LN(B13:E13),LN($B$9:$E$9))</f>
        <v>0.90884916575817465</v>
      </c>
      <c r="K13" s="106" t="s">
        <v>217</v>
      </c>
    </row>
    <row r="14" spans="1:11" ht="21.75" customHeight="1" x14ac:dyDescent="0.25">
      <c r="A14" s="52" t="s">
        <v>22</v>
      </c>
      <c r="B14" s="61">
        <f>'1. Datos fuente'!B46</f>
        <v>66304579.0188687</v>
      </c>
      <c r="C14" s="61">
        <f>'1. Datos fuente'!C46</f>
        <v>23398252.234694999</v>
      </c>
      <c r="D14" s="61">
        <f>'1. Datos fuente'!D46</f>
        <v>17133027.1182</v>
      </c>
      <c r="E14" s="61"/>
      <c r="F14" s="61"/>
      <c r="G14" s="61"/>
      <c r="H14" s="131" cm="1">
        <f t="array" ref="H14">SLOPE(LN(B14:D14),LN($B$9:$D$9))</f>
        <v>0.68870399853021302</v>
      </c>
      <c r="I14" s="131" cm="1">
        <f t="array" ref="I14">INTERCEPT(LN(B14:D14),LN({3700,922,500}))</f>
        <v>12.331504269882661</v>
      </c>
      <c r="J14" s="131" cm="1">
        <f t="array" ref="J14">RSQ(LN(B14:D14),LN($B$9:$D$9))</f>
        <v>0.99341354012153871</v>
      </c>
      <c r="K14" s="106" t="s">
        <v>217</v>
      </c>
    </row>
    <row r="15" spans="1:11" ht="21.75" customHeight="1" x14ac:dyDescent="0.25">
      <c r="A15" s="52" t="s">
        <v>23</v>
      </c>
      <c r="B15" s="61">
        <f>'1. Datos fuente'!B47</f>
        <v>86423960.546956435</v>
      </c>
      <c r="C15" s="61">
        <f>+'1. Datos fuente'!C47</f>
        <v>24062778.462060001</v>
      </c>
      <c r="D15" s="61">
        <f>'1. Datos fuente'!D47</f>
        <v>30318030.863399997</v>
      </c>
      <c r="E15" s="61"/>
      <c r="F15" s="61"/>
      <c r="G15" s="61"/>
      <c r="H15" s="131" cm="1">
        <f t="array" ref="H15">SLOPE(LN(B15:D15),LN($B$9:$D$9))</f>
        <v>0.59130554781614519</v>
      </c>
      <c r="I15" s="131" cm="1">
        <f t="array" ref="I15">INTERCEPT(LN(B15:D15),LN({3700,922,500}))</f>
        <v>13.309560215694727</v>
      </c>
      <c r="J15" s="131" cm="1">
        <f t="array" ref="J15">RSQ(LN(B15:D15),LN($B$9:$D$9))</f>
        <v>0.79219437721872077</v>
      </c>
      <c r="K15" s="105" t="s">
        <v>217</v>
      </c>
    </row>
    <row r="16" spans="1:11" ht="21.75" customHeight="1" x14ac:dyDescent="0.25">
      <c r="A16" s="63" t="s">
        <v>24</v>
      </c>
      <c r="B16" s="61">
        <f>+'1. Datos fuente'!B48</f>
        <v>92474914.357777312</v>
      </c>
      <c r="C16" s="61">
        <f>+'1. Datos fuente'!C48</f>
        <v>19480012.242210001</v>
      </c>
      <c r="D16" s="61">
        <f>+'1. Datos fuente'!D48</f>
        <v>19449456.782699998</v>
      </c>
      <c r="E16" s="61">
        <f>+'1. Datos fuente'!G48</f>
        <v>36798420.203999996</v>
      </c>
      <c r="F16" s="61">
        <f>+'1. Datos fuente'!E48</f>
        <v>84631380</v>
      </c>
      <c r="G16" s="61">
        <f>+'1. Datos fuente'!F48</f>
        <v>11434756.5</v>
      </c>
      <c r="H16" s="131" cm="1">
        <f t="array" ref="H16">SLOPE(LN(B16:G16),LN($B$9:$G$9))</f>
        <v>0.56256150972730234</v>
      </c>
      <c r="I16" s="131" cm="1">
        <f t="array" ref="I16">INTERCEPT(LN(B16:G16),LN(B9:G9))</f>
        <v>13.084208468780755</v>
      </c>
      <c r="J16" s="131" cm="1">
        <f t="array" ref="J16">RSQ(LN(B16:G16),LN($B$9:$G$9))</f>
        <v>0.64102576850543902</v>
      </c>
      <c r="K16" s="105" t="s">
        <v>217</v>
      </c>
    </row>
    <row r="17" spans="1:11" ht="21.75" customHeight="1" thickBot="1" x14ac:dyDescent="0.3">
      <c r="A17" s="64" t="s">
        <v>123</v>
      </c>
      <c r="B17" s="65">
        <f>+'1. Datos fuente'!B49</f>
        <v>140256425.90934414</v>
      </c>
      <c r="C17" s="65">
        <f>+'1. Datos fuente'!C49</f>
        <v>47985218.38656</v>
      </c>
      <c r="D17" s="65">
        <f>+'1. Datos fuente'!D49</f>
        <v>17579621.016299997</v>
      </c>
      <c r="E17" s="65">
        <f>+'1. Datos fuente'!G49</f>
        <v>132591133.116</v>
      </c>
      <c r="F17" s="65"/>
      <c r="G17" s="65"/>
      <c r="H17" s="131" cm="1">
        <f t="array" ref="H17">SLOPE(LN(B17:E17),LN($B$9:$E$9))</f>
        <v>0.71790322554320185</v>
      </c>
      <c r="I17" s="131">
        <f>INTERCEPT(LN(B17:D17),LN({3700,922,500}))</f>
        <v>10.679385576284412</v>
      </c>
      <c r="J17" s="131" cm="1">
        <f t="array" ref="J17">RSQ(LN(B17:E17),LN($B$9:$E$9))</f>
        <v>0.87474205517846326</v>
      </c>
      <c r="K17" s="107" t="s">
        <v>217</v>
      </c>
    </row>
    <row r="19" spans="1:11" x14ac:dyDescent="0.25">
      <c r="I19" s="219"/>
      <c r="J19" s="219"/>
      <c r="K19" s="219"/>
    </row>
  </sheetData>
  <mergeCells count="3">
    <mergeCell ref="A1:K1"/>
    <mergeCell ref="A2:K2"/>
    <mergeCell ref="I19:K19"/>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72"/>
  <sheetViews>
    <sheetView showGridLines="0" topLeftCell="A42" zoomScaleNormal="100" workbookViewId="0">
      <selection activeCell="H71" sqref="H71"/>
    </sheetView>
    <sheetView topLeftCell="A21" zoomScale="85" zoomScaleNormal="85" workbookViewId="1">
      <selection activeCell="E76" sqref="E76"/>
    </sheetView>
  </sheetViews>
  <sheetFormatPr baseColWidth="10" defaultColWidth="8.7109375" defaultRowHeight="15" x14ac:dyDescent="0.25"/>
  <cols>
    <col min="1" max="1" width="34" customWidth="1"/>
    <col min="2" max="2" width="18.28515625" customWidth="1"/>
    <col min="3" max="7" width="15" customWidth="1"/>
    <col min="8" max="8" width="17" customWidth="1"/>
    <col min="9" max="9" width="15" customWidth="1"/>
    <col min="10" max="10" width="14" customWidth="1"/>
    <col min="12" max="13" width="15.28515625" bestFit="1" customWidth="1"/>
  </cols>
  <sheetData>
    <row r="1" spans="1:10" ht="16.5" x14ac:dyDescent="0.25">
      <c r="A1" s="197" t="s">
        <v>74</v>
      </c>
      <c r="B1" s="197"/>
      <c r="C1" s="197"/>
      <c r="D1" s="197"/>
      <c r="E1" s="197"/>
      <c r="F1" s="197"/>
      <c r="G1" s="197"/>
      <c r="H1" s="197"/>
      <c r="I1" s="197"/>
      <c r="J1" s="197"/>
    </row>
    <row r="2" spans="1:10" ht="30" customHeight="1" x14ac:dyDescent="0.25">
      <c r="A2" s="223" t="s">
        <v>124</v>
      </c>
      <c r="B2" s="224"/>
      <c r="C2" s="224"/>
      <c r="D2" s="224"/>
      <c r="E2" s="224"/>
      <c r="F2" s="224"/>
      <c r="G2" s="224"/>
      <c r="H2" s="224"/>
      <c r="I2" s="224"/>
      <c r="J2" s="224"/>
    </row>
    <row r="3" spans="1:10" ht="15.75" thickBot="1" x14ac:dyDescent="0.3"/>
    <row r="4" spans="1:10" x14ac:dyDescent="0.25">
      <c r="A4" s="220" t="s">
        <v>75</v>
      </c>
      <c r="B4" s="221"/>
      <c r="C4" s="221"/>
      <c r="D4" s="221"/>
      <c r="E4" s="221"/>
      <c r="F4" s="221"/>
      <c r="G4" s="221"/>
      <c r="H4" s="221"/>
      <c r="I4" s="221"/>
      <c r="J4" s="222"/>
    </row>
    <row r="5" spans="1:10" ht="27.75" customHeight="1" x14ac:dyDescent="0.25">
      <c r="A5" s="70"/>
      <c r="B5" s="66" t="s">
        <v>76</v>
      </c>
      <c r="C5" s="66" t="s">
        <v>77</v>
      </c>
      <c r="D5" s="66" t="s">
        <v>78</v>
      </c>
      <c r="E5" s="66"/>
      <c r="F5" s="66"/>
      <c r="G5" s="66"/>
      <c r="H5" s="66" t="s">
        <v>79</v>
      </c>
      <c r="I5" s="66" t="s">
        <v>80</v>
      </c>
      <c r="J5" s="71" t="s">
        <v>81</v>
      </c>
    </row>
    <row r="6" spans="1:10" x14ac:dyDescent="0.25">
      <c r="A6" s="72" t="s">
        <v>65</v>
      </c>
      <c r="B6" s="67">
        <f>'1. Datos fuente'!B$5</f>
        <v>3700</v>
      </c>
      <c r="C6" s="67">
        <f>'1. Datos fuente'!C$5</f>
        <v>922</v>
      </c>
      <c r="D6" s="67">
        <f>'1. Datos fuente'!D$5</f>
        <v>500</v>
      </c>
      <c r="E6" s="67"/>
      <c r="F6" s="67"/>
      <c r="G6" s="67"/>
      <c r="H6" s="29"/>
      <c r="I6" s="29"/>
      <c r="J6" s="40"/>
    </row>
    <row r="7" spans="1:10" x14ac:dyDescent="0.25">
      <c r="A7" s="72" t="s">
        <v>82</v>
      </c>
      <c r="B7" s="68">
        <f>'1. Datos fuente'!B$40</f>
        <v>28188117.80034928</v>
      </c>
      <c r="C7" s="68">
        <f>'1. Datos fuente'!C$40</f>
        <v>13097454.003854999</v>
      </c>
      <c r="D7" s="68">
        <f>'1. Datos fuente'!D$40</f>
        <v>15921686.562599998</v>
      </c>
      <c r="E7" s="68"/>
      <c r="F7" s="68"/>
      <c r="G7" s="68"/>
      <c r="H7" s="29"/>
      <c r="I7" s="29"/>
      <c r="J7" s="40"/>
    </row>
    <row r="8" spans="1:10" x14ac:dyDescent="0.25">
      <c r="A8" s="195" t="s">
        <v>84</v>
      </c>
      <c r="B8" s="50">
        <f>B7*(112.5/B6)^'5. Exponentes escala'!$H$6</f>
        <v>5199063.5392576121</v>
      </c>
      <c r="C8" s="50">
        <f>C7*(112.5/C6)^'5. Exponentes escala'!$H$6</f>
        <v>4732402.7526013898</v>
      </c>
      <c r="D8" s="50">
        <f>D7*(112.5/D6)^'5. Exponentes escala'!$H$6</f>
        <v>7735577.6362288315</v>
      </c>
      <c r="E8" s="50"/>
      <c r="F8" s="50"/>
      <c r="G8" s="50"/>
      <c r="H8" s="69">
        <f>IF(J8&lt;0.25,AVERAGE(B8:D8),IF(J8&lt;0.5,GEOMEAN(B8:D8),HARMEAN(B8:D8)))</f>
        <v>5752189.577613988</v>
      </c>
      <c r="I8" s="46" t="str">
        <f>IF(J8&lt;0.25,"aritmética",IF(J8&lt;0.5,"geométrica","armónica"))</f>
        <v>geométrica</v>
      </c>
      <c r="J8" s="73">
        <f>STDEV(B8:D8)/AVERAGE(B8:G8)</f>
        <v>0.27442674215854734</v>
      </c>
    </row>
    <row r="9" spans="1:10" ht="15.75" thickBot="1" x14ac:dyDescent="0.3">
      <c r="A9" s="49"/>
      <c r="B9" s="42"/>
      <c r="C9" s="42"/>
      <c r="D9" s="42"/>
      <c r="E9" s="42"/>
      <c r="F9" s="42"/>
      <c r="G9" s="42"/>
      <c r="H9" s="42"/>
      <c r="I9" s="42"/>
      <c r="J9" s="43"/>
    </row>
    <row r="10" spans="1:10" ht="15.75" thickBot="1" x14ac:dyDescent="0.3"/>
    <row r="11" spans="1:10" x14ac:dyDescent="0.25">
      <c r="A11" s="220" t="s">
        <v>83</v>
      </c>
      <c r="B11" s="221"/>
      <c r="C11" s="221"/>
      <c r="D11" s="221"/>
      <c r="E11" s="221"/>
      <c r="F11" s="221"/>
      <c r="G11" s="221"/>
      <c r="H11" s="221"/>
      <c r="I11" s="221"/>
      <c r="J11" s="222"/>
    </row>
    <row r="12" spans="1:10" ht="27.75" customHeight="1" x14ac:dyDescent="0.25">
      <c r="A12" s="70"/>
      <c r="B12" s="66" t="s">
        <v>76</v>
      </c>
      <c r="C12" s="66" t="s">
        <v>77</v>
      </c>
      <c r="D12" s="66" t="s">
        <v>78</v>
      </c>
      <c r="E12" s="66"/>
      <c r="F12" s="66"/>
      <c r="G12" s="66"/>
      <c r="H12" s="66" t="s">
        <v>79</v>
      </c>
      <c r="I12" s="66" t="s">
        <v>80</v>
      </c>
      <c r="J12" s="71" t="s">
        <v>81</v>
      </c>
    </row>
    <row r="13" spans="1:10" x14ac:dyDescent="0.25">
      <c r="A13" s="72" t="s">
        <v>65</v>
      </c>
      <c r="B13" s="67">
        <f>'1. Datos fuente'!B$5</f>
        <v>3700</v>
      </c>
      <c r="C13" s="67">
        <f>'1. Datos fuente'!C$5</f>
        <v>922</v>
      </c>
      <c r="D13" s="67">
        <f>'1. Datos fuente'!D$5</f>
        <v>500</v>
      </c>
      <c r="E13" s="67"/>
      <c r="F13" s="67"/>
      <c r="G13" s="67"/>
      <c r="H13" s="29"/>
      <c r="I13" s="29"/>
      <c r="J13" s="40"/>
    </row>
    <row r="14" spans="1:10" x14ac:dyDescent="0.25">
      <c r="A14" s="72" t="s">
        <v>82</v>
      </c>
      <c r="B14" s="68">
        <f>'1. Datos fuente'!B$41</f>
        <v>102710632.50638241</v>
      </c>
      <c r="C14" s="68">
        <f>'1. Datos fuente'!C$41</f>
        <v>31118172.722909998</v>
      </c>
      <c r="D14" s="68">
        <f>'1. Datos fuente'!D$41</f>
        <v>39086087.1303</v>
      </c>
      <c r="E14" s="68"/>
      <c r="F14" s="68"/>
      <c r="G14" s="68"/>
      <c r="H14" s="29"/>
      <c r="I14" s="29"/>
      <c r="J14" s="40"/>
    </row>
    <row r="15" spans="1:10" x14ac:dyDescent="0.25">
      <c r="A15" s="195" t="s">
        <v>84</v>
      </c>
      <c r="B15" s="50">
        <f>B14*(112.5/B13)^'5. Exponentes escala'!$H$7</f>
        <v>26686253.490885854</v>
      </c>
      <c r="C15" s="50">
        <f>C14*(112.5/C13)^'5. Exponentes escala'!$H$7</f>
        <v>13820549.196182882</v>
      </c>
      <c r="D15" s="50">
        <f>D14*(112.5/D13)^'5. Exponentes escala'!$H$7</f>
        <v>21982281.670425199</v>
      </c>
      <c r="E15" s="50"/>
      <c r="F15" s="50"/>
      <c r="G15" s="50"/>
      <c r="H15" s="69">
        <f>IF(J15&lt;0.25,AVERAGE(B15:D15),IF(J15&lt;0.5,GEOMEAN(B15:D15),HARMEAN(B15:D15)))</f>
        <v>20089165.29690874</v>
      </c>
      <c r="I15" s="46" t="str">
        <f>IF(J15&lt;0.25,"aritmética",IF(J15&lt;0.5,"geométrica","armónica"))</f>
        <v>geométrica</v>
      </c>
      <c r="J15" s="73">
        <f>STDEV(B15:G15)/AVERAGE(B15:G15)</f>
        <v>0.31252657959858204</v>
      </c>
    </row>
    <row r="16" spans="1:10" ht="15.75" thickBot="1" x14ac:dyDescent="0.3">
      <c r="A16" s="49"/>
      <c r="B16" s="42"/>
      <c r="C16" s="42"/>
      <c r="D16" s="42"/>
      <c r="E16" s="42"/>
      <c r="F16" s="42"/>
      <c r="G16" s="42"/>
      <c r="H16" s="42"/>
      <c r="I16" s="42"/>
      <c r="J16" s="43"/>
    </row>
    <row r="17" spans="1:10" ht="15.75" thickBot="1" x14ac:dyDescent="0.3"/>
    <row r="18" spans="1:10" x14ac:dyDescent="0.25">
      <c r="A18" s="220" t="s">
        <v>85</v>
      </c>
      <c r="B18" s="221"/>
      <c r="C18" s="221"/>
      <c r="D18" s="221"/>
      <c r="E18" s="221"/>
      <c r="F18" s="221"/>
      <c r="G18" s="221"/>
      <c r="H18" s="221"/>
      <c r="I18" s="221"/>
      <c r="J18" s="222"/>
    </row>
    <row r="19" spans="1:10" ht="27.75" customHeight="1" x14ac:dyDescent="0.25">
      <c r="A19" s="70"/>
      <c r="B19" s="66" t="s">
        <v>76</v>
      </c>
      <c r="C19" s="66" t="s">
        <v>77</v>
      </c>
      <c r="D19" s="66" t="s">
        <v>78</v>
      </c>
      <c r="E19" s="66" t="s">
        <v>147</v>
      </c>
      <c r="F19" s="66" t="s">
        <v>134</v>
      </c>
      <c r="G19" s="66" t="s">
        <v>135</v>
      </c>
      <c r="H19" s="66" t="s">
        <v>79</v>
      </c>
      <c r="I19" s="66" t="s">
        <v>80</v>
      </c>
      <c r="J19" s="71" t="s">
        <v>81</v>
      </c>
    </row>
    <row r="20" spans="1:10" x14ac:dyDescent="0.25">
      <c r="A20" s="72" t="s">
        <v>65</v>
      </c>
      <c r="B20" s="67">
        <f>+'1. Datos fuente'!B$5</f>
        <v>3700</v>
      </c>
      <c r="C20" s="67">
        <f>+'1. Datos fuente'!C$5</f>
        <v>922</v>
      </c>
      <c r="D20" s="67">
        <f>+'1. Datos fuente'!D$5</f>
        <v>500</v>
      </c>
      <c r="E20" s="67">
        <f>+'1. Datos fuente'!E$5</f>
        <v>4779.58</v>
      </c>
      <c r="F20" s="67">
        <f>+'1. Datos fuente'!F$5</f>
        <v>532.85</v>
      </c>
      <c r="G20" s="67">
        <f>+'1. Datos fuente'!G$5</f>
        <v>8290.1299999999992</v>
      </c>
      <c r="H20" s="29"/>
      <c r="I20" s="29"/>
      <c r="J20" s="40"/>
    </row>
    <row r="21" spans="1:10" x14ac:dyDescent="0.25">
      <c r="A21" s="72" t="s">
        <v>82</v>
      </c>
      <c r="B21" s="68">
        <f>'1. Datos fuente'!B$42</f>
        <v>125371789.62819676</v>
      </c>
      <c r="C21" s="68">
        <f>'1. Datos fuente'!C$42</f>
        <v>44398760.884334996</v>
      </c>
      <c r="D21" s="68">
        <f>'1. Datos fuente'!D$42</f>
        <v>49002130.625699997</v>
      </c>
      <c r="E21" s="68">
        <f>'1. Datos fuente'!E$42</f>
        <v>183087960</v>
      </c>
      <c r="F21" s="68">
        <f>'1. Datos fuente'!F$42</f>
        <v>22223025</v>
      </c>
      <c r="G21" s="68">
        <f>'1. Datos fuente'!G$42</f>
        <v>192169527.73199996</v>
      </c>
      <c r="H21" s="29"/>
      <c r="I21" s="29"/>
      <c r="J21" s="40"/>
    </row>
    <row r="22" spans="1:10" x14ac:dyDescent="0.25">
      <c r="A22" s="72" t="s">
        <v>84</v>
      </c>
      <c r="B22" s="50">
        <f>B21*(112.5/B20)^'5. Exponentes escala'!$H$10</f>
        <v>11446247.690422432</v>
      </c>
      <c r="C22" s="50">
        <f>C21*(112.5/C20)^'5. Exponentes escala'!$H$10</f>
        <v>10503984.368840221</v>
      </c>
      <c r="D22" s="50">
        <f>D21*(112.5/D20)^'5. Exponentes escala'!$H$10</f>
        <v>17632225.083325122</v>
      </c>
      <c r="E22" s="50">
        <f>E21*(112.5/E20)^'5. Exponentes escala'!$H$10</f>
        <v>14025975.470251739</v>
      </c>
      <c r="F22" s="50">
        <f>F21*(112.5/F20)^'5. Exponentes escala'!$H$10</f>
        <v>7655240.8604402626</v>
      </c>
      <c r="G22" s="50">
        <f>G21*(112.5/G20)^'5. Exponentes escala'!$H$10</f>
        <v>10094128.386581974</v>
      </c>
      <c r="H22" s="69">
        <f>IF(J22&lt;0.25,AVERAGE(B22:G22),IF(J22&lt;0.5,GEOMEAN(B22:G22),HARMEAN(B22:G22)))</f>
        <v>11487199.962304365</v>
      </c>
      <c r="I22" s="46" t="str">
        <f>IF(J22&lt;0.25,"aritmética",IF(J22&lt;0.5,"geométrica","armónica"))</f>
        <v>geométrica</v>
      </c>
      <c r="J22" s="73">
        <f>STDEV(B22:G22)/AVERAGE(B22:G22)</f>
        <v>0.2932369217447896</v>
      </c>
    </row>
    <row r="23" spans="1:10" ht="15.75" thickBot="1" x14ac:dyDescent="0.3">
      <c r="A23" s="49"/>
      <c r="B23" s="42"/>
      <c r="C23" s="42"/>
      <c r="D23" s="42"/>
      <c r="E23" s="42"/>
      <c r="F23" s="42"/>
      <c r="G23" s="42"/>
      <c r="H23" s="42"/>
      <c r="I23" s="42"/>
      <c r="J23" s="43"/>
    </row>
    <row r="24" spans="1:10" ht="15.75" thickBot="1" x14ac:dyDescent="0.3"/>
    <row r="25" spans="1:10" x14ac:dyDescent="0.25">
      <c r="A25" s="220" t="s">
        <v>86</v>
      </c>
      <c r="B25" s="221"/>
      <c r="C25" s="221"/>
      <c r="D25" s="221"/>
      <c r="E25" s="221"/>
      <c r="F25" s="221"/>
      <c r="G25" s="221"/>
      <c r="H25" s="221"/>
      <c r="I25" s="221"/>
      <c r="J25" s="222"/>
    </row>
    <row r="26" spans="1:10" ht="27.75" customHeight="1" x14ac:dyDescent="0.25">
      <c r="A26" s="70"/>
      <c r="B26" s="66" t="s">
        <v>76</v>
      </c>
      <c r="C26" s="66" t="s">
        <v>77</v>
      </c>
      <c r="D26" s="66" t="s">
        <v>78</v>
      </c>
      <c r="E26" s="66" t="s">
        <v>147</v>
      </c>
      <c r="F26" s="66" t="s">
        <v>134</v>
      </c>
      <c r="G26" s="66" t="s">
        <v>135</v>
      </c>
      <c r="H26" s="66" t="s">
        <v>79</v>
      </c>
      <c r="I26" s="66" t="s">
        <v>80</v>
      </c>
      <c r="J26" s="71" t="s">
        <v>81</v>
      </c>
    </row>
    <row r="27" spans="1:10" x14ac:dyDescent="0.25">
      <c r="A27" s="72" t="s">
        <v>65</v>
      </c>
      <c r="B27" s="67">
        <f>+'1. Datos fuente'!B$5</f>
        <v>3700</v>
      </c>
      <c r="C27" s="67">
        <f>+'1. Datos fuente'!C$5</f>
        <v>922</v>
      </c>
      <c r="D27" s="67">
        <f>+'1. Datos fuente'!D$5</f>
        <v>500</v>
      </c>
      <c r="E27" s="67">
        <f>+'1. Datos fuente'!E$5</f>
        <v>4779.58</v>
      </c>
      <c r="F27" s="67">
        <f>+'1. Datos fuente'!F$5</f>
        <v>532.85</v>
      </c>
      <c r="G27" s="67">
        <f>+'1. Datos fuente'!G$5</f>
        <v>8290.1299999999992</v>
      </c>
      <c r="H27" s="29"/>
      <c r="I27" s="29"/>
      <c r="J27" s="40"/>
    </row>
    <row r="28" spans="1:10" x14ac:dyDescent="0.25">
      <c r="A28" s="72" t="s">
        <v>82</v>
      </c>
      <c r="B28" s="68">
        <f>+'1. Datos fuente'!B43</f>
        <v>86783196.036582246</v>
      </c>
      <c r="C28" s="68">
        <f>'1. Datos fuente'!C$50</f>
        <v>30053503.42137</v>
      </c>
      <c r="D28" s="68">
        <f>'1. Datos fuente'!D$50</f>
        <v>32327057.181299999</v>
      </c>
      <c r="E28" s="68">
        <f>'1. Datos fuente'!E$43</f>
        <v>101487300</v>
      </c>
      <c r="F28" s="68">
        <f>'1. Datos fuente'!F$43</f>
        <v>44446050</v>
      </c>
      <c r="G28" s="68">
        <f>'1. Datos fuente'!G$43</f>
        <v>329433476.11199999</v>
      </c>
      <c r="H28" s="29"/>
      <c r="I28" s="29"/>
      <c r="J28" s="40"/>
    </row>
    <row r="29" spans="1:10" x14ac:dyDescent="0.25">
      <c r="A29" s="72" t="s">
        <v>84</v>
      </c>
      <c r="B29" s="50">
        <f>B28*(112.5/B27)^'5. Exponentes escala'!$H$11</f>
        <v>8162757.8621528856</v>
      </c>
      <c r="C29" s="50">
        <f>C28*(112.5/C27)^'5. Exponentes escala'!$H$11</f>
        <v>7238851.3667896362</v>
      </c>
      <c r="D29" s="50">
        <f>D28*(112.5/D27)^'5. Exponentes escala'!$H$11</f>
        <v>11781027.158442331</v>
      </c>
      <c r="E29" s="50">
        <f>E28*(112.5/E27)^'5. Exponentes escala'!$H$11</f>
        <v>8027331.5332777128</v>
      </c>
      <c r="F29" s="50">
        <f>F28*(112.5/F27)^'5. Exponentes escala'!$H$11</f>
        <v>15514913.72197873</v>
      </c>
      <c r="G29" s="50">
        <f>G28*(112.5/G27)^'5. Exponentes escala'!$H$11</f>
        <v>17950559.376883946</v>
      </c>
      <c r="H29" s="69">
        <f>IF(J29&lt;0.25,AVERAGE(B29:G29),IF(J29&lt;0.5,GEOMEAN(B29:G29),HARMEAN(B29:G29)))</f>
        <v>10765016.843008149</v>
      </c>
      <c r="I29" s="46" t="str">
        <f>IF(J29&lt;0.25,"aritmética",IF(J29&lt;0.5,"geométrica","armónica"))</f>
        <v>geométrica</v>
      </c>
      <c r="J29" s="73">
        <f>STDEV(B29:G29)/AVERAGE(B29:G29)</f>
        <v>0.38904467124758635</v>
      </c>
    </row>
    <row r="30" spans="1:10" ht="15.75" thickBot="1" x14ac:dyDescent="0.3">
      <c r="A30" s="49"/>
      <c r="B30" s="42"/>
      <c r="C30" s="42"/>
      <c r="D30" s="42"/>
      <c r="E30" s="42"/>
      <c r="F30" s="42"/>
      <c r="G30" s="42"/>
      <c r="H30" s="42"/>
      <c r="I30" s="42"/>
      <c r="J30" s="43"/>
    </row>
    <row r="31" spans="1:10" ht="15.75" thickBot="1" x14ac:dyDescent="0.3"/>
    <row r="32" spans="1:10" x14ac:dyDescent="0.25">
      <c r="A32" s="220" t="s">
        <v>87</v>
      </c>
      <c r="B32" s="221"/>
      <c r="C32" s="221"/>
      <c r="D32" s="221"/>
      <c r="E32" s="221"/>
      <c r="F32" s="221"/>
      <c r="G32" s="221"/>
      <c r="H32" s="221"/>
      <c r="I32" s="221"/>
      <c r="J32" s="222"/>
    </row>
    <row r="33" spans="1:10" ht="27.75" customHeight="1" x14ac:dyDescent="0.25">
      <c r="A33" s="70"/>
      <c r="B33" s="66" t="s">
        <v>76</v>
      </c>
      <c r="C33" s="66" t="s">
        <v>77</v>
      </c>
      <c r="D33" s="66" t="s">
        <v>78</v>
      </c>
      <c r="E33" s="66" t="s">
        <v>147</v>
      </c>
      <c r="F33" s="66" t="s">
        <v>134</v>
      </c>
      <c r="G33" s="66" t="s">
        <v>135</v>
      </c>
      <c r="H33" s="66" t="s">
        <v>79</v>
      </c>
      <c r="I33" s="66" t="s">
        <v>80</v>
      </c>
      <c r="J33" s="71" t="s">
        <v>81</v>
      </c>
    </row>
    <row r="34" spans="1:10" x14ac:dyDescent="0.25">
      <c r="A34" s="72" t="s">
        <v>65</v>
      </c>
      <c r="B34" s="67">
        <f>+'1. Datos fuente'!B$5</f>
        <v>3700</v>
      </c>
      <c r="C34" s="67">
        <f>+'1. Datos fuente'!C$5</f>
        <v>922</v>
      </c>
      <c r="D34" s="67">
        <f>+'1. Datos fuente'!D$5</f>
        <v>500</v>
      </c>
      <c r="E34" s="67">
        <f>+'1. Datos fuente'!E$5</f>
        <v>4779.58</v>
      </c>
      <c r="F34" s="67">
        <f>+'1. Datos fuente'!F$5</f>
        <v>532.85</v>
      </c>
      <c r="G34" s="67">
        <f>+'1. Datos fuente'!G$5</f>
        <v>8290.1299999999992</v>
      </c>
      <c r="H34" s="29"/>
      <c r="I34" s="29"/>
      <c r="J34" s="40"/>
    </row>
    <row r="35" spans="1:10" x14ac:dyDescent="0.25">
      <c r="A35" s="72" t="s">
        <v>82</v>
      </c>
      <c r="B35" s="68">
        <f>'1. Datos fuente'!B$44</f>
        <v>141900212.51123545</v>
      </c>
      <c r="C35" s="68">
        <f>'1. Datos fuente'!C$44</f>
        <v>68606510.778585002</v>
      </c>
      <c r="D35" s="68">
        <f>'1. Datos fuente'!D$44</f>
        <v>35689121.924399994</v>
      </c>
      <c r="E35" s="68">
        <f>'1. Datos fuente'!E$44</f>
        <v>144256860</v>
      </c>
      <c r="F35" s="68">
        <f>'1. Datos fuente'!F$44</f>
        <v>30977550.000000004</v>
      </c>
      <c r="G35" s="68">
        <f>'1. Datos fuente'!G$44</f>
        <v>155565808.164</v>
      </c>
      <c r="H35" s="29"/>
      <c r="I35" s="29"/>
      <c r="J35" s="40"/>
    </row>
    <row r="36" spans="1:10" x14ac:dyDescent="0.25">
      <c r="A36" s="72" t="s">
        <v>84</v>
      </c>
      <c r="B36" s="50">
        <f>B35*(112.5/B34)^'5. Exponentes escala'!$H$12</f>
        <v>18540649.89952625</v>
      </c>
      <c r="C36" s="50">
        <f>C35*(112.5/C34)^'5. Exponentes escala'!$H$12</f>
        <v>20141850.352755498</v>
      </c>
      <c r="D36" s="50">
        <f>D35*(112.5/D34)^'5. Exponentes escala'!$H$12</f>
        <v>14966030.471435936</v>
      </c>
      <c r="E36" s="50">
        <f>E35*(112.5/E34)^'5. Exponentes escala'!$H$12</f>
        <v>16236723.60865056</v>
      </c>
      <c r="F36" s="50">
        <f>F35*(112.5/F34)^'5. Exponentes escala'!$H$12</f>
        <v>12517489.56997611</v>
      </c>
      <c r="G36" s="50">
        <f>G35*(112.5/G34)^'5. Exponentes escala'!$H$12</f>
        <v>12703714.290699335</v>
      </c>
      <c r="H36" s="69">
        <f>IF(J36&lt;0.25,AVERAGE(B36:G36),IF(J36&lt;0.5,GEOMEAN(B36:G36),HARMEAN(B36:G36)))</f>
        <v>15851076.36550728</v>
      </c>
      <c r="I36" s="46" t="str">
        <f>IF(J36&lt;0.25,"aritmética",IF(J36&lt;0.5,"geométrica","armónica"))</f>
        <v>aritmética</v>
      </c>
      <c r="J36" s="73">
        <f>STDEV(B36:G36)/AVERAGE(B36:G36)</f>
        <v>0.19464269967797501</v>
      </c>
    </row>
    <row r="37" spans="1:10" ht="15.75" thickBot="1" x14ac:dyDescent="0.3">
      <c r="A37" s="49"/>
      <c r="B37" s="42"/>
      <c r="C37" s="42"/>
      <c r="D37" s="42"/>
      <c r="E37" s="42"/>
      <c r="F37" s="42"/>
      <c r="G37" s="42"/>
      <c r="H37" s="42"/>
      <c r="I37" s="42"/>
      <c r="J37" s="43"/>
    </row>
    <row r="38" spans="1:10" ht="15.75" thickBot="1" x14ac:dyDescent="0.3"/>
    <row r="39" spans="1:10" x14ac:dyDescent="0.25">
      <c r="A39" s="220" t="s">
        <v>88</v>
      </c>
      <c r="B39" s="221"/>
      <c r="C39" s="221"/>
      <c r="D39" s="221"/>
      <c r="E39" s="221"/>
      <c r="F39" s="221"/>
      <c r="G39" s="221"/>
      <c r="H39" s="221"/>
      <c r="I39" s="221"/>
      <c r="J39" s="222"/>
    </row>
    <row r="40" spans="1:10" ht="27.75" customHeight="1" x14ac:dyDescent="0.25">
      <c r="A40" s="70"/>
      <c r="B40" s="66" t="s">
        <v>76</v>
      </c>
      <c r="C40" s="66" t="s">
        <v>77</v>
      </c>
      <c r="D40" s="66" t="s">
        <v>78</v>
      </c>
      <c r="E40" s="66" t="s">
        <v>147</v>
      </c>
      <c r="F40" s="66" t="s">
        <v>134</v>
      </c>
      <c r="G40" s="66" t="s">
        <v>135</v>
      </c>
      <c r="H40" s="66" t="s">
        <v>79</v>
      </c>
      <c r="I40" s="66" t="s">
        <v>80</v>
      </c>
      <c r="J40" s="71" t="s">
        <v>81</v>
      </c>
    </row>
    <row r="41" spans="1:10" x14ac:dyDescent="0.25">
      <c r="A41" s="72" t="s">
        <v>65</v>
      </c>
      <c r="B41" s="67">
        <f>+'1. Datos fuente'!B$5</f>
        <v>3700</v>
      </c>
      <c r="C41" s="67">
        <f>+'1. Datos fuente'!C$5</f>
        <v>922</v>
      </c>
      <c r="D41" s="67">
        <f>+'1. Datos fuente'!D$5</f>
        <v>500</v>
      </c>
      <c r="E41" s="67">
        <f>+'1. Datos fuente'!E$5</f>
        <v>4779.58</v>
      </c>
      <c r="F41" s="67">
        <f>+'1. Datos fuente'!F$5</f>
        <v>532.85</v>
      </c>
      <c r="G41" s="67">
        <f>+'1. Datos fuente'!G$5</f>
        <v>8290.1299999999992</v>
      </c>
      <c r="H41" s="29"/>
      <c r="I41" s="29"/>
      <c r="J41" s="40"/>
    </row>
    <row r="42" spans="1:10" x14ac:dyDescent="0.25">
      <c r="A42" s="72" t="s">
        <v>82</v>
      </c>
      <c r="B42" s="68">
        <f>'1. Datos fuente'!B$45</f>
        <v>67055363.240385368</v>
      </c>
      <c r="C42" s="68">
        <f>'1. Datos fuente'!C$45</f>
        <v>28133970.511724997</v>
      </c>
      <c r="D42" s="68">
        <f>'1. Datos fuente'!D$45</f>
        <v>31611000.504299998</v>
      </c>
      <c r="E42" s="75" t="s">
        <v>30</v>
      </c>
      <c r="F42" s="75" t="s">
        <v>30</v>
      </c>
      <c r="G42" s="68">
        <f>+'1. Datos fuente'!G45</f>
        <v>146414878.27199998</v>
      </c>
      <c r="H42" s="29"/>
      <c r="I42" s="29"/>
      <c r="J42" s="40"/>
    </row>
    <row r="43" spans="1:10" x14ac:dyDescent="0.25">
      <c r="A43" s="72" t="s">
        <v>84</v>
      </c>
      <c r="B43" s="50">
        <f>B42*(112.5/B41)^'5. Exponentes escala'!$H$13</f>
        <v>9180094.1104188561</v>
      </c>
      <c r="C43" s="50">
        <f>C42*(112.5/C41)^'5. Exponentes escala'!$H$13</f>
        <v>8495184.8677280471</v>
      </c>
      <c r="D43" s="50">
        <f>D42*(112.5/D41)^'5. Exponentes escala'!$H$13</f>
        <v>13522765.698901834</v>
      </c>
      <c r="E43" s="74" t="s">
        <v>30</v>
      </c>
      <c r="F43" s="74" t="s">
        <v>30</v>
      </c>
      <c r="G43" s="50">
        <f>G42*(112.5/G41)^'5. Exponentes escala'!$H$12</f>
        <v>11956436.979481725</v>
      </c>
      <c r="H43" s="69">
        <f>IF(J43&lt;0.25,AVERAGE(B43:G43),IF(J43&lt;0.5,GEOMEAN(B43:G43),HARMEAN(B43:G43)))</f>
        <v>10788620.414132616</v>
      </c>
      <c r="I43" s="46" t="str">
        <f>IF(J43&lt;0.25,"aritmética",IF(J43&lt;0.5,"geométrica","armónica"))</f>
        <v>aritmética</v>
      </c>
      <c r="J43" s="73">
        <f>STDEV(B43:G43)/AVERAGE(B43:G43)</f>
        <v>0.21860330783933712</v>
      </c>
    </row>
    <row r="44" spans="1:10" ht="15.75" thickBot="1" x14ac:dyDescent="0.3">
      <c r="A44" s="49"/>
      <c r="B44" s="42"/>
      <c r="C44" s="42"/>
      <c r="D44" s="42"/>
      <c r="E44" s="42"/>
      <c r="F44" s="42"/>
      <c r="G44" s="42"/>
      <c r="H44" s="42"/>
      <c r="I44" s="42"/>
      <c r="J44" s="43"/>
    </row>
    <row r="45" spans="1:10" ht="15.75" thickBot="1" x14ac:dyDescent="0.3"/>
    <row r="46" spans="1:10" x14ac:dyDescent="0.25">
      <c r="A46" s="220" t="s">
        <v>89</v>
      </c>
      <c r="B46" s="221"/>
      <c r="C46" s="221"/>
      <c r="D46" s="221"/>
      <c r="E46" s="221"/>
      <c r="F46" s="221"/>
      <c r="G46" s="221"/>
      <c r="H46" s="221"/>
      <c r="I46" s="221"/>
      <c r="J46" s="222"/>
    </row>
    <row r="47" spans="1:10" ht="27.75" customHeight="1" x14ac:dyDescent="0.25">
      <c r="A47" s="70"/>
      <c r="B47" s="66" t="s">
        <v>76</v>
      </c>
      <c r="C47" s="66" t="s">
        <v>77</v>
      </c>
      <c r="D47" s="66" t="s">
        <v>78</v>
      </c>
      <c r="E47" s="66" t="s">
        <v>147</v>
      </c>
      <c r="F47" s="66" t="s">
        <v>134</v>
      </c>
      <c r="G47" s="66" t="s">
        <v>135</v>
      </c>
      <c r="H47" s="66" t="s">
        <v>79</v>
      </c>
      <c r="I47" s="66" t="s">
        <v>80</v>
      </c>
      <c r="J47" s="71" t="s">
        <v>81</v>
      </c>
    </row>
    <row r="48" spans="1:10" x14ac:dyDescent="0.25">
      <c r="A48" s="72" t="s">
        <v>65</v>
      </c>
      <c r="B48" s="67">
        <f>+'1. Datos fuente'!B$5</f>
        <v>3700</v>
      </c>
      <c r="C48" s="67">
        <f>+'1. Datos fuente'!C$5</f>
        <v>922</v>
      </c>
      <c r="D48" s="67">
        <f>+'1. Datos fuente'!D$5</f>
        <v>500</v>
      </c>
      <c r="E48" s="67">
        <f>+'1. Datos fuente'!E$5</f>
        <v>4779.58</v>
      </c>
      <c r="F48" s="67">
        <f>+'1. Datos fuente'!F$5</f>
        <v>532.85</v>
      </c>
      <c r="G48" s="67">
        <f>+'1. Datos fuente'!G$5</f>
        <v>8290.1299999999992</v>
      </c>
      <c r="H48" s="29"/>
      <c r="I48" s="29"/>
      <c r="J48" s="40"/>
    </row>
    <row r="49" spans="1:17" x14ac:dyDescent="0.25">
      <c r="A49" s="72" t="s">
        <v>82</v>
      </c>
      <c r="B49" s="68">
        <f>'1. Datos fuente'!B$46</f>
        <v>66304579.0188687</v>
      </c>
      <c r="C49" s="68">
        <f>'1. Datos fuente'!C$46</f>
        <v>23398252.234694999</v>
      </c>
      <c r="D49" s="68">
        <f>'1. Datos fuente'!D$46</f>
        <v>17133027.1182</v>
      </c>
      <c r="E49" s="75" t="s">
        <v>30</v>
      </c>
      <c r="F49" s="75" t="s">
        <v>30</v>
      </c>
      <c r="G49" s="75" t="s">
        <v>30</v>
      </c>
      <c r="H49" s="29"/>
      <c r="I49" s="29"/>
      <c r="J49" s="40"/>
    </row>
    <row r="50" spans="1:17" x14ac:dyDescent="0.25">
      <c r="A50" s="72" t="s">
        <v>84</v>
      </c>
      <c r="B50" s="50">
        <f>B49*(112.5/B48)^'5. Exponentes escala'!$H$14</f>
        <v>5980612.5914717941</v>
      </c>
      <c r="C50" s="50">
        <f>C49*(112.5/C48)^'5. Exponentes escala'!$H$14</f>
        <v>5495387.5095263794</v>
      </c>
      <c r="D50" s="50">
        <f>D49*(112.5/D48)^'5. Exponentes escala'!$H$14</f>
        <v>6133093.87515755</v>
      </c>
      <c r="E50" s="74" t="s">
        <v>30</v>
      </c>
      <c r="F50" s="74" t="s">
        <v>30</v>
      </c>
      <c r="G50" s="74" t="s">
        <v>30</v>
      </c>
      <c r="H50" s="69">
        <f>IF(J50&lt;0.25,AVERAGE(B50:G50),IF(J50&lt;0.5,GEOMEAN(B50:G50),HARMEAN(B50:G50)))</f>
        <v>5869697.9920519078</v>
      </c>
      <c r="I50" s="46" t="str">
        <f>IF(J50&lt;0.25,"aritmética",IF(J50&lt;0.5,"geométrica","armónica"))</f>
        <v>aritmética</v>
      </c>
      <c r="J50" s="73">
        <f>STDEV(B50:G50)/AVERAGE(B50:G50)</f>
        <v>5.6733300487953942E-2</v>
      </c>
    </row>
    <row r="51" spans="1:17" ht="15.75" thickBot="1" x14ac:dyDescent="0.3">
      <c r="A51" s="49"/>
      <c r="B51" s="42"/>
      <c r="C51" s="42"/>
      <c r="D51" s="42"/>
      <c r="E51" s="42"/>
      <c r="F51" s="42"/>
      <c r="G51" s="42"/>
      <c r="H51" s="42"/>
      <c r="I51" s="42"/>
      <c r="J51" s="43"/>
    </row>
    <row r="52" spans="1:17" ht="15.75" thickBot="1" x14ac:dyDescent="0.3"/>
    <row r="53" spans="1:17" x14ac:dyDescent="0.25">
      <c r="A53" s="220" t="s">
        <v>90</v>
      </c>
      <c r="B53" s="221"/>
      <c r="C53" s="221"/>
      <c r="D53" s="221"/>
      <c r="E53" s="221"/>
      <c r="F53" s="221"/>
      <c r="G53" s="221"/>
      <c r="H53" s="221"/>
      <c r="I53" s="221"/>
      <c r="J53" s="222"/>
    </row>
    <row r="54" spans="1:17" ht="27.75" customHeight="1" x14ac:dyDescent="0.25">
      <c r="A54" s="70"/>
      <c r="B54" s="66" t="s">
        <v>76</v>
      </c>
      <c r="C54" s="66" t="s">
        <v>77</v>
      </c>
      <c r="D54" s="66" t="s">
        <v>78</v>
      </c>
      <c r="E54" s="66" t="s">
        <v>147</v>
      </c>
      <c r="F54" s="66" t="s">
        <v>134</v>
      </c>
      <c r="G54" s="66" t="s">
        <v>135</v>
      </c>
      <c r="H54" s="66" t="s">
        <v>79</v>
      </c>
      <c r="I54" s="66" t="s">
        <v>80</v>
      </c>
      <c r="J54" s="71" t="s">
        <v>81</v>
      </c>
    </row>
    <row r="55" spans="1:17" x14ac:dyDescent="0.25">
      <c r="A55" s="72" t="s">
        <v>65</v>
      </c>
      <c r="B55" s="67">
        <f>+'1. Datos fuente'!B$5</f>
        <v>3700</v>
      </c>
      <c r="C55" s="67">
        <f>+'1. Datos fuente'!C$5</f>
        <v>922</v>
      </c>
      <c r="D55" s="67">
        <f>+'1. Datos fuente'!D$5</f>
        <v>500</v>
      </c>
      <c r="E55" s="67">
        <f>+'1. Datos fuente'!E$5</f>
        <v>4779.58</v>
      </c>
      <c r="F55" s="67">
        <f>+'1. Datos fuente'!F$5</f>
        <v>532.85</v>
      </c>
      <c r="G55" s="67">
        <f>+'1. Datos fuente'!G$5</f>
        <v>8290.1299999999992</v>
      </c>
      <c r="H55" s="29"/>
      <c r="I55" s="29"/>
      <c r="J55" s="40"/>
    </row>
    <row r="56" spans="1:17" x14ac:dyDescent="0.25">
      <c r="A56" s="72" t="s">
        <v>82</v>
      </c>
      <c r="B56" s="68">
        <f>'1. Datos fuente'!B$47</f>
        <v>86423960.546956435</v>
      </c>
      <c r="C56" s="68">
        <f>+'1. Datos fuente'!C47</f>
        <v>24062778.462060001</v>
      </c>
      <c r="D56" s="68">
        <f>'1. Datos fuente'!D$47</f>
        <v>30318030.863399997</v>
      </c>
      <c r="E56" s="75" t="s">
        <v>30</v>
      </c>
      <c r="F56" s="75" t="s">
        <v>30</v>
      </c>
      <c r="G56" s="75" t="s">
        <v>30</v>
      </c>
      <c r="H56" s="29"/>
      <c r="I56" s="29"/>
      <c r="J56" s="40"/>
    </row>
    <row r="57" spans="1:17" x14ac:dyDescent="0.25">
      <c r="A57" s="72" t="s">
        <v>84</v>
      </c>
      <c r="B57" s="50">
        <f>B56*(112.5/B55)^'5. Exponentes escala'!$H$15</f>
        <v>10954550.344038026</v>
      </c>
      <c r="C57" s="50">
        <f>C56*(112.5/C55)^'5. Exponentes escala'!$H$15</f>
        <v>6936522.4661067296</v>
      </c>
      <c r="D57" s="50">
        <f>D56*(112.5/D55)^'5. Exponentes escala'!$H$15</f>
        <v>12549976.705755228</v>
      </c>
      <c r="E57" s="74" t="s">
        <v>30</v>
      </c>
      <c r="F57" s="74" t="s">
        <v>30</v>
      </c>
      <c r="G57" s="74" t="s">
        <v>30</v>
      </c>
      <c r="H57" s="69">
        <f>IF(J57&lt;0.25,AVERAGE(B57:G57),IF(J57&lt;0.5,GEOMEAN(B57:G57),HARMEAN(B57:G57)))</f>
        <v>9842975.9547407553</v>
      </c>
      <c r="I57" s="46" t="str">
        <f>IF(J57&lt;0.25,"aritmética",IF(J57&lt;0.5,"geométrica","armónica"))</f>
        <v>geométrica</v>
      </c>
      <c r="J57" s="73">
        <f>STDEV(B57:G57)/AVERAGE(B57:G57)</f>
        <v>0.28506331737905644</v>
      </c>
    </row>
    <row r="58" spans="1:17" ht="15.75" thickBot="1" x14ac:dyDescent="0.3">
      <c r="A58" s="49"/>
      <c r="B58" s="42"/>
      <c r="C58" s="42"/>
      <c r="D58" s="42"/>
      <c r="E58" s="42"/>
      <c r="F58" s="42"/>
      <c r="G58" s="42"/>
      <c r="H58" s="42"/>
      <c r="I58" s="42"/>
      <c r="J58" s="43"/>
    </row>
    <row r="59" spans="1:17" ht="15.75" thickBot="1" x14ac:dyDescent="0.3"/>
    <row r="60" spans="1:17" x14ac:dyDescent="0.25">
      <c r="A60" s="220" t="s">
        <v>91</v>
      </c>
      <c r="B60" s="221"/>
      <c r="C60" s="221"/>
      <c r="D60" s="221"/>
      <c r="E60" s="221"/>
      <c r="F60" s="221"/>
      <c r="G60" s="221"/>
      <c r="H60" s="221"/>
      <c r="I60" s="221"/>
      <c r="J60" s="222"/>
    </row>
    <row r="61" spans="1:17" ht="27.75" customHeight="1" x14ac:dyDescent="0.25">
      <c r="A61" s="70"/>
      <c r="B61" s="66" t="s">
        <v>76</v>
      </c>
      <c r="C61" s="66" t="s">
        <v>77</v>
      </c>
      <c r="D61" s="66" t="s">
        <v>78</v>
      </c>
      <c r="E61" s="66" t="s">
        <v>147</v>
      </c>
      <c r="F61" s="66" t="s">
        <v>134</v>
      </c>
      <c r="G61" s="66" t="s">
        <v>135</v>
      </c>
      <c r="H61" s="66" t="s">
        <v>79</v>
      </c>
      <c r="I61" s="66" t="s">
        <v>80</v>
      </c>
      <c r="J61" s="71" t="s">
        <v>81</v>
      </c>
    </row>
    <row r="62" spans="1:17" x14ac:dyDescent="0.25">
      <c r="A62" s="72" t="s">
        <v>65</v>
      </c>
      <c r="B62" s="67">
        <f>+'1. Datos fuente'!B$5</f>
        <v>3700</v>
      </c>
      <c r="C62" s="67">
        <f>+'1. Datos fuente'!C$5</f>
        <v>922</v>
      </c>
      <c r="D62" s="67">
        <f>+'1. Datos fuente'!D$5</f>
        <v>500</v>
      </c>
      <c r="E62" s="67">
        <f>+'1. Datos fuente'!E$5</f>
        <v>4779.58</v>
      </c>
      <c r="F62" s="67">
        <f>+'1. Datos fuente'!F$5</f>
        <v>532.85</v>
      </c>
      <c r="G62" s="67">
        <f>+'1. Datos fuente'!G$5</f>
        <v>8290.1299999999992</v>
      </c>
      <c r="H62" s="29"/>
      <c r="I62" s="29"/>
      <c r="J62" s="40"/>
    </row>
    <row r="63" spans="1:17" x14ac:dyDescent="0.25">
      <c r="A63" s="72" t="s">
        <v>82</v>
      </c>
      <c r="B63" s="68">
        <f>'1. Datos fuente'!B$48</f>
        <v>92474914.357777312</v>
      </c>
      <c r="C63" s="68">
        <f>'1. Datos fuente'!C$48</f>
        <v>19480012.242210001</v>
      </c>
      <c r="D63" s="68">
        <f>'1. Datos fuente'!D$48</f>
        <v>19449456.782699998</v>
      </c>
      <c r="E63" s="68">
        <f>'1. Datos fuente'!E$48</f>
        <v>84631380</v>
      </c>
      <c r="F63" s="68">
        <f>'1. Datos fuente'!F$48</f>
        <v>11434756.5</v>
      </c>
      <c r="G63" s="68">
        <f>'1. Datos fuente'!G$48</f>
        <v>36798420.203999996</v>
      </c>
      <c r="H63" s="29"/>
      <c r="I63" s="29"/>
      <c r="J63" s="40"/>
      <c r="L63">
        <v>92474914.357777312</v>
      </c>
      <c r="M63">
        <v>19480012.242210001</v>
      </c>
      <c r="N63">
        <v>19449456.782699998</v>
      </c>
      <c r="O63">
        <v>84631380</v>
      </c>
      <c r="P63">
        <v>11434756.5</v>
      </c>
      <c r="Q63">
        <v>36798420.203999996</v>
      </c>
    </row>
    <row r="64" spans="1:17" x14ac:dyDescent="0.25">
      <c r="A64" s="72" t="s">
        <v>84</v>
      </c>
      <c r="B64" s="50">
        <f>B63*(112.5/B62)^'5. Exponentes escala'!$H$16</f>
        <v>12959565.72548352</v>
      </c>
      <c r="C64" s="50">
        <f>C63*(112.5/C62)^'5. Exponentes escala'!$H$16</f>
        <v>5965477.0918362774</v>
      </c>
      <c r="D64" s="50">
        <f>D63*(112.5/D62)^'5. Exponentes escala'!$H$16</f>
        <v>8403695.2622781452</v>
      </c>
      <c r="E64" s="50">
        <f>E63*(112.5/E62)^'5. Exponentes escala'!$H$16</f>
        <v>10269465.445980834</v>
      </c>
      <c r="F64" s="50">
        <f>F63*(112.5/F62)^'5. Exponentes escala'!$H$16</f>
        <v>4766980.4644694803</v>
      </c>
      <c r="G64" s="50">
        <f>G63*(112.5/G62)^'5. Exponentes escala'!$H$16</f>
        <v>3275645.1617066581</v>
      </c>
      <c r="H64" s="69">
        <f>IF(J64&lt;0.25,AVERAGE(B64:G64),IF(J64&lt;0.5,GEOMEAN(B64:G64),HARMEAN(B64:G64)))</f>
        <v>6859603.2552676415</v>
      </c>
      <c r="I64" s="46" t="str">
        <f>IF(J64&lt;0.25,"aritmética",IF(J64&lt;0.5,"geométrica","armónica"))</f>
        <v>geométrica</v>
      </c>
      <c r="J64" s="73">
        <f>STDEV(B64:G64)/AVERAGE(B64:G64)</f>
        <v>0.47723996633803711</v>
      </c>
      <c r="L64">
        <v>12959565.72548352</v>
      </c>
      <c r="M64">
        <v>5965477.0918362774</v>
      </c>
      <c r="N64">
        <v>8403695.2622781452</v>
      </c>
      <c r="O64">
        <v>10269465.445980834</v>
      </c>
      <c r="P64">
        <v>4766980.4644694803</v>
      </c>
      <c r="Q64">
        <v>3275645.1617066581</v>
      </c>
    </row>
    <row r="65" spans="1:13" ht="15.75" thickBot="1" x14ac:dyDescent="0.3">
      <c r="A65" s="49"/>
      <c r="B65" s="42"/>
      <c r="C65" s="42"/>
      <c r="D65" s="42"/>
      <c r="E65" s="42"/>
      <c r="F65" s="42"/>
      <c r="G65" s="42"/>
      <c r="H65" s="42"/>
      <c r="I65" s="42"/>
      <c r="J65" s="43"/>
    </row>
    <row r="66" spans="1:13" ht="15.75" thickBot="1" x14ac:dyDescent="0.3">
      <c r="L66" s="196">
        <v>92474914.357777312</v>
      </c>
      <c r="M66" s="196">
        <v>12959565.72548352</v>
      </c>
    </row>
    <row r="67" spans="1:13" x14ac:dyDescent="0.25">
      <c r="A67" s="220" t="s">
        <v>92</v>
      </c>
      <c r="B67" s="221"/>
      <c r="C67" s="221"/>
      <c r="D67" s="221"/>
      <c r="E67" s="221"/>
      <c r="F67" s="221"/>
      <c r="G67" s="221"/>
      <c r="H67" s="221"/>
      <c r="I67" s="221"/>
      <c r="J67" s="222"/>
      <c r="L67" s="196">
        <v>19480012.242210001</v>
      </c>
      <c r="M67" s="196">
        <v>5965477.0918362774</v>
      </c>
    </row>
    <row r="68" spans="1:13" ht="27.75" customHeight="1" x14ac:dyDescent="0.25">
      <c r="A68" s="70"/>
      <c r="B68" s="66" t="s">
        <v>76</v>
      </c>
      <c r="C68" s="66" t="s">
        <v>77</v>
      </c>
      <c r="D68" s="66" t="s">
        <v>78</v>
      </c>
      <c r="E68" s="66" t="s">
        <v>147</v>
      </c>
      <c r="F68" s="66" t="s">
        <v>134</v>
      </c>
      <c r="G68" s="66" t="s">
        <v>135</v>
      </c>
      <c r="H68" s="66" t="s">
        <v>79</v>
      </c>
      <c r="I68" s="66" t="s">
        <v>80</v>
      </c>
      <c r="J68" s="71" t="s">
        <v>81</v>
      </c>
      <c r="L68" s="196">
        <v>19449456.782699998</v>
      </c>
      <c r="M68" s="196">
        <v>8403695.2622781452</v>
      </c>
    </row>
    <row r="69" spans="1:13" x14ac:dyDescent="0.25">
      <c r="A69" s="72" t="s">
        <v>65</v>
      </c>
      <c r="B69" s="67">
        <f>+'1. Datos fuente'!B$5</f>
        <v>3700</v>
      </c>
      <c r="C69" s="67">
        <f>+'1. Datos fuente'!C$5</f>
        <v>922</v>
      </c>
      <c r="D69" s="67">
        <f>+'1. Datos fuente'!D$5</f>
        <v>500</v>
      </c>
      <c r="E69" s="67">
        <f>+'1. Datos fuente'!E$5</f>
        <v>4779.58</v>
      </c>
      <c r="F69" s="67">
        <f>+'1. Datos fuente'!F$5</f>
        <v>532.85</v>
      </c>
      <c r="G69" s="67">
        <f>+'1. Datos fuente'!G$5</f>
        <v>8290.1299999999992</v>
      </c>
      <c r="H69" s="29"/>
      <c r="I69" s="29"/>
      <c r="J69" s="40"/>
      <c r="L69" s="196">
        <v>84631380</v>
      </c>
      <c r="M69" s="196">
        <v>10269465.445980834</v>
      </c>
    </row>
    <row r="70" spans="1:13" x14ac:dyDescent="0.25">
      <c r="A70" s="72" t="s">
        <v>82</v>
      </c>
      <c r="B70" s="68">
        <f>+'1. Datos fuente'!B49</f>
        <v>140256425.90934414</v>
      </c>
      <c r="C70" s="68">
        <f>+'1. Datos fuente'!C49</f>
        <v>47985218.38656</v>
      </c>
      <c r="D70" s="68">
        <f>+'1. Datos fuente'!D49</f>
        <v>17579621.016299997</v>
      </c>
      <c r="E70" s="75" t="s">
        <v>30</v>
      </c>
      <c r="F70" s="75" t="s">
        <v>30</v>
      </c>
      <c r="G70" s="68">
        <f>+'1. Datos fuente'!G49</f>
        <v>132591133.116</v>
      </c>
      <c r="H70" s="29"/>
      <c r="I70" s="29"/>
      <c r="J70" s="40"/>
      <c r="L70" s="196">
        <v>11434756.5</v>
      </c>
      <c r="M70" s="196">
        <v>4766980.4644694803</v>
      </c>
    </row>
    <row r="71" spans="1:13" x14ac:dyDescent="0.25">
      <c r="A71" s="72" t="s">
        <v>84</v>
      </c>
      <c r="B71" s="50">
        <f>B70*(112.5/B69)^'5. Exponentes escala'!$H$17</f>
        <v>11424264.581126126</v>
      </c>
      <c r="C71" s="50">
        <f>C70*(112.5/C69)^'5. Exponentes escala'!$H$17</f>
        <v>10598553.502753787</v>
      </c>
      <c r="D71" s="50">
        <f>D70*(112.5/D69)^'5. Exponentes escala'!$H$17</f>
        <v>6024753.0255499613</v>
      </c>
      <c r="E71" s="75" t="s">
        <v>30</v>
      </c>
      <c r="F71" s="75" t="s">
        <v>30</v>
      </c>
      <c r="G71" s="50">
        <f>G70*(112.5/G69)^'5. Exponentes escala'!$H$17</f>
        <v>6051954.6904391022</v>
      </c>
      <c r="H71" s="69">
        <f>IF(J71&lt;0.25,AVERAGE(B71:G71),IF(J71&lt;0.5,GEOMEAN(B71:G71),HARMEAN(B71:G71)))</f>
        <v>8151310.5894005215</v>
      </c>
      <c r="I71" s="46" t="str">
        <f>IF(J71&lt;0.25,"aritmética",IF(J71&lt;0.5,"geométrica","armónica"))</f>
        <v>geométrica</v>
      </c>
      <c r="J71" s="73">
        <f>STDEV(B71:G71)/AVERAGE(B71:G71)</f>
        <v>0.33911754015381329</v>
      </c>
      <c r="L71" s="196">
        <v>36798420.203999996</v>
      </c>
      <c r="M71" s="196">
        <v>3275645.1617066581</v>
      </c>
    </row>
    <row r="72" spans="1:13" ht="15.75" thickBot="1" x14ac:dyDescent="0.3">
      <c r="A72" s="49"/>
      <c r="B72" s="42"/>
      <c r="C72" s="42"/>
      <c r="D72" s="42"/>
      <c r="E72" s="42"/>
      <c r="F72" s="42"/>
      <c r="G72" s="42"/>
      <c r="H72" s="42"/>
      <c r="I72" s="42"/>
      <c r="J72" s="43"/>
    </row>
  </sheetData>
  <mergeCells count="12">
    <mergeCell ref="A1:J1"/>
    <mergeCell ref="A2:J2"/>
    <mergeCell ref="A4:J4"/>
    <mergeCell ref="A11:J11"/>
    <mergeCell ref="A18:J18"/>
    <mergeCell ref="A60:J60"/>
    <mergeCell ref="A67:J67"/>
    <mergeCell ref="A46:J46"/>
    <mergeCell ref="A53:J53"/>
    <mergeCell ref="A25:J25"/>
    <mergeCell ref="A32:J32"/>
    <mergeCell ref="A39:J39"/>
  </mergeCells>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17"/>
  <sheetViews>
    <sheetView showGridLines="0" zoomScaleNormal="100" workbookViewId="0">
      <selection activeCell="B11" sqref="B11"/>
    </sheetView>
    <sheetView workbookViewId="1">
      <selection activeCell="I26" sqref="I26"/>
    </sheetView>
  </sheetViews>
  <sheetFormatPr baseColWidth="10" defaultColWidth="8.7109375" defaultRowHeight="15" x14ac:dyDescent="0.25"/>
  <cols>
    <col min="1" max="1" width="55" customWidth="1"/>
    <col min="2" max="3" width="20" customWidth="1"/>
  </cols>
  <sheetData>
    <row r="1" spans="1:3" ht="16.5" x14ac:dyDescent="0.25">
      <c r="A1" s="197" t="s">
        <v>93</v>
      </c>
      <c r="B1" s="197"/>
      <c r="C1" s="197"/>
    </row>
    <row r="2" spans="1:3" x14ac:dyDescent="0.25">
      <c r="A2" s="225" t="s">
        <v>218</v>
      </c>
      <c r="B2" s="225"/>
      <c r="C2" s="225"/>
    </row>
    <row r="3" spans="1:3" ht="15.75" thickBot="1" x14ac:dyDescent="0.3"/>
    <row r="4" spans="1:3" ht="24" customHeight="1" x14ac:dyDescent="0.25">
      <c r="A4" s="76" t="s">
        <v>73</v>
      </c>
      <c r="B4" s="77" t="s">
        <v>94</v>
      </c>
      <c r="C4" s="80"/>
    </row>
    <row r="5" spans="1:3" x14ac:dyDescent="0.25">
      <c r="A5" s="52" t="s">
        <v>75</v>
      </c>
      <c r="B5" s="78">
        <f>'6. Calculo componentes'!H8</f>
        <v>5752189.577613988</v>
      </c>
    </row>
    <row r="6" spans="1:3" x14ac:dyDescent="0.25">
      <c r="A6" s="52" t="s">
        <v>83</v>
      </c>
      <c r="B6" s="78">
        <f>'6. Calculo componentes'!H15</f>
        <v>20089165.29690874</v>
      </c>
    </row>
    <row r="7" spans="1:3" x14ac:dyDescent="0.25">
      <c r="A7" s="52" t="s">
        <v>85</v>
      </c>
      <c r="B7" s="78">
        <f>'6. Calculo componentes'!H22</f>
        <v>11487199.962304365</v>
      </c>
    </row>
    <row r="8" spans="1:3" x14ac:dyDescent="0.25">
      <c r="A8" s="52" t="s">
        <v>86</v>
      </c>
      <c r="B8" s="78">
        <f>'6. Calculo componentes'!H29</f>
        <v>10765016.843008149</v>
      </c>
    </row>
    <row r="9" spans="1:3" x14ac:dyDescent="0.25">
      <c r="A9" s="52" t="s">
        <v>87</v>
      </c>
      <c r="B9" s="78">
        <f>'6. Calculo componentes'!H36</f>
        <v>15851076.36550728</v>
      </c>
    </row>
    <row r="10" spans="1:3" x14ac:dyDescent="0.25">
      <c r="A10" s="52" t="s">
        <v>88</v>
      </c>
      <c r="B10" s="78">
        <f>'6. Calculo componentes'!H43</f>
        <v>10788620.414132616</v>
      </c>
    </row>
    <row r="11" spans="1:3" x14ac:dyDescent="0.25">
      <c r="A11" s="52" t="s">
        <v>200</v>
      </c>
      <c r="B11" s="78">
        <f>'6. Calculo componentes'!H50</f>
        <v>5869697.9920519078</v>
      </c>
    </row>
    <row r="12" spans="1:3" x14ac:dyDescent="0.25">
      <c r="A12" s="52" t="s">
        <v>201</v>
      </c>
      <c r="B12" s="78">
        <f>'6. Calculo componentes'!H57</f>
        <v>9842975.9547407553</v>
      </c>
    </row>
    <row r="13" spans="1:3" x14ac:dyDescent="0.25">
      <c r="A13" s="52" t="s">
        <v>202</v>
      </c>
      <c r="B13" s="78">
        <f>'6. Calculo componentes'!H64</f>
        <v>6859603.2552676415</v>
      </c>
    </row>
    <row r="14" spans="1:3" x14ac:dyDescent="0.25">
      <c r="A14" s="52" t="s">
        <v>203</v>
      </c>
      <c r="B14" s="78">
        <f>'6. Calculo componentes'!H71</f>
        <v>8151310.5894005215</v>
      </c>
    </row>
    <row r="15" spans="1:3" ht="15.75" thickBot="1" x14ac:dyDescent="0.3">
      <c r="A15" s="58" t="s">
        <v>95</v>
      </c>
      <c r="B15" s="79">
        <f>SUM(B5:B14)</f>
        <v>105456856.25093597</v>
      </c>
    </row>
    <row r="17" spans="1:2" x14ac:dyDescent="0.25">
      <c r="A17" s="4" t="s">
        <v>96</v>
      </c>
      <c r="B17" s="5">
        <f>B15/'2. SMMLV'!$B$13</f>
        <v>60.229913245399366</v>
      </c>
    </row>
  </sheetData>
  <mergeCells count="2">
    <mergeCell ref="A1:C1"/>
    <mergeCell ref="A2:C2"/>
  </mergeCells>
  <pageMargins left="0.75" right="0.75" top="1" bottom="1"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B17"/>
  <sheetViews>
    <sheetView showGridLines="0" zoomScaleNormal="100" workbookViewId="0">
      <selection activeCell="B15" sqref="B15"/>
    </sheetView>
    <sheetView workbookViewId="1"/>
  </sheetViews>
  <sheetFormatPr baseColWidth="10" defaultColWidth="8.7109375" defaultRowHeight="15" x14ac:dyDescent="0.25"/>
  <cols>
    <col min="1" max="1" width="4" customWidth="1"/>
    <col min="2" max="2" width="100" customWidth="1"/>
    <col min="3" max="3" width="69.42578125" customWidth="1"/>
  </cols>
  <sheetData>
    <row r="1" spans="2:2" ht="16.5" x14ac:dyDescent="0.25">
      <c r="B1" s="2" t="s">
        <v>127</v>
      </c>
    </row>
    <row r="3" spans="2:2" x14ac:dyDescent="0.25">
      <c r="B3" s="1" t="s">
        <v>216</v>
      </c>
    </row>
    <row r="4" spans="2:2" ht="67.5" customHeight="1" x14ac:dyDescent="0.25">
      <c r="B4" s="194" t="s">
        <v>204</v>
      </c>
    </row>
    <row r="6" spans="2:2" x14ac:dyDescent="0.25">
      <c r="B6" s="1" t="s">
        <v>214</v>
      </c>
    </row>
    <row r="7" spans="2:2" ht="25.5" x14ac:dyDescent="0.25">
      <c r="B7" s="6" t="s">
        <v>208</v>
      </c>
    </row>
    <row r="8" spans="2:2" x14ac:dyDescent="0.25">
      <c r="B8" s="6" t="s">
        <v>207</v>
      </c>
    </row>
    <row r="9" spans="2:2" x14ac:dyDescent="0.25">
      <c r="B9" s="6" t="s">
        <v>206</v>
      </c>
    </row>
    <row r="10" spans="2:2" ht="25.5" x14ac:dyDescent="0.25">
      <c r="B10" s="6" t="s">
        <v>209</v>
      </c>
    </row>
    <row r="11" spans="2:2" x14ac:dyDescent="0.25">
      <c r="B11" s="6" t="s">
        <v>205</v>
      </c>
    </row>
    <row r="12" spans="2:2" x14ac:dyDescent="0.25">
      <c r="B12" s="6" t="s">
        <v>215</v>
      </c>
    </row>
    <row r="13" spans="2:2" x14ac:dyDescent="0.25">
      <c r="B13" s="6" t="s">
        <v>210</v>
      </c>
    </row>
    <row r="14" spans="2:2" x14ac:dyDescent="0.25">
      <c r="B14" s="6" t="s">
        <v>211</v>
      </c>
    </row>
    <row r="15" spans="2:2" x14ac:dyDescent="0.25">
      <c r="B15" s="6" t="s">
        <v>212</v>
      </c>
    </row>
    <row r="16" spans="2:2" x14ac:dyDescent="0.25">
      <c r="B16" s="6" t="s">
        <v>213</v>
      </c>
    </row>
    <row r="17" spans="2:2" ht="25.5" x14ac:dyDescent="0.25">
      <c r="B17" s="6" t="s">
        <v>97</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1. Datos fuente</vt:lpstr>
      <vt:lpstr>2. SMMLV</vt:lpstr>
      <vt:lpstr>3. Depuracion datos</vt:lpstr>
      <vt:lpstr>4. Area implicita</vt:lpstr>
      <vt:lpstr>5. Exponentes escala</vt:lpstr>
      <vt:lpstr>6. Calculo componentes</vt:lpstr>
      <vt:lpstr>7. Valor total</vt:lpstr>
      <vt:lpstr>8. Notas y fuentes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Marlly Faisuly Zuluaga Correa</cp:lastModifiedBy>
  <cp:revision>0</cp:revision>
  <dcterms:created xsi:type="dcterms:W3CDTF">2026-09-18T00:49:41Z</dcterms:created>
  <dcterms:modified xsi:type="dcterms:W3CDTF">2026-10-06T20:37:13Z</dcterms:modified>
  <dc:language>en-US</dc:language>
</cp:coreProperties>
</file>