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680" windowWidth="29040" windowHeight="15720" tabRatio="600" firstSheet="0" activeTab="1" autoFilterDateGrouping="1"/>
  </bookViews>
  <sheets>
    <sheet xmlns:r="http://schemas.openxmlformats.org/officeDocument/2006/relationships" name="PROYECCION DICIEMBRE 2026" sheetId="1" state="visible" r:id="rId1"/>
    <sheet xmlns:r="http://schemas.openxmlformats.org/officeDocument/2006/relationships" name="PROYECCIÓN 2027" sheetId="2" state="visible" r:id="rId2"/>
    <sheet xmlns:r="http://schemas.openxmlformats.org/officeDocument/2006/relationships" name="PROYECCION VALORES " sheetId="3" state="visible" r:id="rId3"/>
    <sheet xmlns:r="http://schemas.openxmlformats.org/officeDocument/2006/relationships" name="EM MEDIOS TECNOLOGICOS" sheetId="4" state="visible" r:id="rId4"/>
    <sheet xmlns:r="http://schemas.openxmlformats.org/officeDocument/2006/relationships" name="Hoja1" sheetId="5" state="visible" r:id="rId5"/>
  </sheets>
  <definedNames>
    <definedName name="_xlnm._FilterDatabase" localSheetId="0" hidden="1">'PROYECCION DICIEMBRE 2026'!$A$4:$N$30</definedName>
    <definedName name="_xlnm._FilterDatabase" localSheetId="1" hidden="1">'PROYECCIÓN 2027'!$A$7:$AG$28</definedName>
  </definedNames>
  <calcPr calcId="191029" fullCalcOnLoad="1"/>
</workbook>
</file>

<file path=xl/styles.xml><?xml version="1.0" encoding="utf-8"?>
<styleSheet xmlns="http://schemas.openxmlformats.org/spreadsheetml/2006/main">
  <numFmts count="11">
    <numFmt numFmtId="164" formatCode="_-&quot;$&quot;\ * #,##0_-;\-&quot;$&quot;\ * #,##0_-;_-&quot;$&quot;\ * &quot;-&quot;_-;_-@_-"/>
    <numFmt numFmtId="165" formatCode="0.000%"/>
    <numFmt numFmtId="166" formatCode="_-&quot;$&quot;\ * #,##0.00_-;\-&quot;$&quot;\ * #,##0.00_-;_-&quot;$&quot;\ * &quot;-&quot;_-;_-@_-"/>
    <numFmt numFmtId="167" formatCode="_-* #,##0_-;\-* #,##0_-;_-* &quot;-&quot;??_-;_-@_-"/>
    <numFmt numFmtId="168" formatCode="_-&quot;$&quot;\ * #,##0.00_-;\-&quot;$&quot;\ * #,##0.00_-;_-&quot;$&quot;\ * &quot;-&quot;??_-;_-@_-"/>
    <numFmt numFmtId="169" formatCode="&quot;$&quot;\ #,##0;[Red]\-&quot;$&quot;\ #,##0"/>
    <numFmt numFmtId="170" formatCode="_-* #,##0.00_-;\-* #,##0.00_-;_-* &quot;-&quot;??_-;_-@_-"/>
    <numFmt numFmtId="171" formatCode="&quot;$&quot;\ #,##0.00;[Red]\-&quot;$&quot;\ #,##0.00"/>
    <numFmt numFmtId="172" formatCode="_-[$$-240A]\ * #,##0.00_-;\-[$$-240A]\ * #,##0.00_-;_-[$$-240A]\ * &quot;-&quot;??_-;_-@_-"/>
    <numFmt numFmtId="173" formatCode="_-[$$-240A]\ * #,##0_-;\-[$$-240A]\ * #,##0_-;_-[$$-240A]\ * &quot;-&quot;??_-;_-@_-"/>
    <numFmt numFmtId="174" formatCode="_-&quot;$&quot;\ * #,##0_-;\-&quot;$&quot;\ * #,##0_-;_-&quot;$&quot;\ * &quot;-&quot;??_-;_-@_-"/>
  </numFmts>
  <fonts count="19">
    <font>
      <name val="Aptos Narrow"/>
      <family val="2"/>
      <color theme="1"/>
      <sz val="11"/>
      <scheme val="minor"/>
    </font>
    <font>
      <name val="Aptos Narrow"/>
      <family val="2"/>
      <color theme="1"/>
      <sz val="11"/>
      <scheme val="minor"/>
    </font>
    <font>
      <name val="Aptos Narrow"/>
      <family val="2"/>
      <b val="1"/>
      <color theme="0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b val="1"/>
      <sz val="11"/>
      <scheme val="minor"/>
    </font>
    <font>
      <name val="Aptos Narrow"/>
      <family val="2"/>
      <sz val="11"/>
      <scheme val="minor"/>
    </font>
    <font>
      <name val="Aptos Narrow"/>
      <family val="2"/>
      <color rgb="FF00B050"/>
      <sz val="11"/>
      <scheme val="minor"/>
    </font>
    <font>
      <name val="Aptos Narrow"/>
      <family val="2"/>
      <b val="1"/>
      <color theme="1"/>
      <sz val="10"/>
      <scheme val="minor"/>
    </font>
    <font>
      <name val="Aptos Narrow"/>
      <family val="2"/>
      <b val="1"/>
      <color theme="0"/>
      <sz val="14"/>
      <scheme val="minor"/>
    </font>
    <font>
      <name val="Verdana"/>
      <family val="2"/>
      <b val="1"/>
      <color theme="1"/>
      <sz val="8"/>
    </font>
    <font>
      <name val="Aptos Narrow"/>
      <family val="2"/>
      <color rgb="FF000000"/>
      <sz val="10"/>
      <scheme val="minor"/>
    </font>
    <font>
      <name val="Aptos Narrow"/>
      <family val="2"/>
      <color theme="1"/>
      <sz val="8"/>
      <scheme val="minor"/>
    </font>
    <font>
      <name val="Aptos Narrow"/>
      <family val="2"/>
      <color rgb="FF000000"/>
      <sz val="8"/>
      <scheme val="minor"/>
    </font>
    <font>
      <name val="Quattrocento Sans"/>
      <family val="2"/>
      <b val="1"/>
      <sz val="8"/>
    </font>
    <font>
      <name val="Aptos Narrow"/>
      <family val="2"/>
      <b val="1"/>
      <color rgb="FF000000"/>
      <sz val="8"/>
      <scheme val="minor"/>
    </font>
    <font>
      <name val="Verdana"/>
      <family val="2"/>
      <color rgb="FF000000"/>
      <sz val="8"/>
    </font>
    <font>
      <name val="Quattrocento Sans"/>
      <family val="2"/>
      <sz val="8"/>
    </font>
    <font>
      <name val="Aptos Narrow"/>
      <family val="2"/>
      <b val="1"/>
      <color theme="1"/>
      <sz val="8"/>
      <scheme val="minor"/>
    </font>
    <font>
      <name val="Aptos Narrow"/>
      <family val="2"/>
      <color rgb="FF000000"/>
      <sz val="11"/>
    </font>
  </fonts>
  <fills count="12">
    <fill>
      <patternFill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"/>
        <bgColor indexed="64"/>
      </patternFill>
    </fill>
    <fill>
      <patternFill patternType="solid">
        <fgColor theme="7" tint="0.7999816888943144"/>
        <bgColor indexed="64"/>
      </patternFill>
    </fill>
    <fill>
      <patternFill patternType="solid">
        <fgColor theme="9" tint="0.79998168889431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rgb="FFFFFF00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24">
    <xf numFmtId="0" fontId="1" fillId="0" borderId="0"/>
    <xf numFmtId="43" fontId="1" fillId="0" borderId="0"/>
    <xf numFmtId="44" fontId="1" fillId="0" borderId="0"/>
    <xf numFmtId="42" fontId="1" fillId="0" borderId="0"/>
    <xf numFmtId="9" fontId="1" fillId="0" borderId="0"/>
    <xf numFmtId="44" fontId="1" fillId="0" borderId="0"/>
    <xf numFmtId="41" fontId="1" fillId="0" borderId="0"/>
    <xf numFmtId="42" fontId="1" fillId="0" borderId="0"/>
    <xf numFmtId="0" fontId="1" fillId="0" borderId="0"/>
    <xf numFmtId="44" fontId="1" fillId="0" borderId="0"/>
    <xf numFmtId="43" fontId="1" fillId="0" borderId="0"/>
    <xf numFmtId="44" fontId="1" fillId="0" borderId="0"/>
    <xf numFmtId="44" fontId="1" fillId="0" borderId="0"/>
    <xf numFmtId="44" fontId="1" fillId="0" borderId="0"/>
    <xf numFmtId="43" fontId="1" fillId="0" borderId="0"/>
    <xf numFmtId="43" fontId="1" fillId="0" borderId="0"/>
    <xf numFmtId="43" fontId="1" fillId="0" borderId="0"/>
    <xf numFmtId="43" fontId="1" fillId="0" borderId="0"/>
    <xf numFmtId="0" fontId="10" fillId="0" borderId="0"/>
    <xf numFmtId="44" fontId="10" fillId="0" borderId="0"/>
    <xf numFmtId="41" fontId="1" fillId="0" borderId="0"/>
    <xf numFmtId="42" fontId="1" fillId="0" borderId="0"/>
    <xf numFmtId="9" fontId="1" fillId="0" borderId="0"/>
    <xf numFmtId="43" fontId="1" fillId="0" borderId="0"/>
  </cellStyleXfs>
  <cellXfs count="161">
    <xf numFmtId="0" fontId="0" fillId="0" borderId="0" pivotButton="0" quotePrefix="0" xfId="0"/>
    <xf numFmtId="0" fontId="0" fillId="0" borderId="0" applyAlignment="1" pivotButton="0" quotePrefix="0" xfId="0">
      <alignment vertical="center"/>
    </xf>
    <xf numFmtId="0" fontId="5" fillId="5" borderId="3" applyAlignment="1" pivotButton="0" quotePrefix="0" xfId="0">
      <alignment horizontal="centerContinuous" vertical="center"/>
    </xf>
    <xf numFmtId="0" fontId="5" fillId="5" borderId="4" applyAlignment="1" pivotButton="0" quotePrefix="0" xfId="0">
      <alignment horizontal="centerContinuous" vertical="center"/>
    </xf>
    <xf numFmtId="0" fontId="4" fillId="3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center" vertical="center" wrapText="1"/>
    </xf>
    <xf numFmtId="0" fontId="4" fillId="5" borderId="6" applyAlignment="1" pivotButton="0" quotePrefix="0" xfId="0">
      <alignment horizontal="center" vertical="center" wrapText="1"/>
    </xf>
    <xf numFmtId="0" fontId="4" fillId="5" borderId="1" applyAlignment="1" pivotButton="0" quotePrefix="0" xfId="0">
      <alignment horizontal="center" vertical="center" wrapText="1"/>
    </xf>
    <xf numFmtId="0" fontId="4" fillId="5" borderId="7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wrapText="1"/>
    </xf>
    <xf numFmtId="164" fontId="6" fillId="0" borderId="1" applyAlignment="1" pivotButton="0" quotePrefix="0" xfId="3">
      <alignment vertical="center"/>
    </xf>
    <xf numFmtId="165" fontId="6" fillId="0" borderId="1" applyAlignment="1" pivotButton="0" quotePrefix="0" xfId="4">
      <alignment vertical="center"/>
    </xf>
    <xf numFmtId="164" fontId="6" fillId="0" borderId="1" applyAlignment="1" pivotButton="0" quotePrefix="0" xfId="0">
      <alignment vertical="center"/>
    </xf>
    <xf numFmtId="166" fontId="6" fillId="6" borderId="7" applyAlignment="1" pivotButton="0" quotePrefix="0" xfId="0">
      <alignment vertical="center"/>
    </xf>
    <xf numFmtId="164" fontId="0" fillId="0" borderId="1" applyAlignment="1" pivotButton="0" quotePrefix="0" xfId="3">
      <alignment vertical="center"/>
    </xf>
    <xf numFmtId="165" fontId="0" fillId="0" borderId="1" applyAlignment="1" pivotButton="0" quotePrefix="0" xfId="4">
      <alignment vertical="center"/>
    </xf>
    <xf numFmtId="164" fontId="0" fillId="0" borderId="1" applyAlignment="1" pivotButton="0" quotePrefix="0" xfId="0">
      <alignment vertical="center"/>
    </xf>
    <xf numFmtId="166" fontId="0" fillId="6" borderId="7" applyAlignment="1" pivotButton="0" quotePrefix="0" xfId="0">
      <alignment vertical="center"/>
    </xf>
    <xf numFmtId="164" fontId="0" fillId="5" borderId="1" applyAlignment="1" pivotButton="0" quotePrefix="0" xfId="3">
      <alignment vertical="center"/>
    </xf>
    <xf numFmtId="165" fontId="0" fillId="5" borderId="1" applyAlignment="1" pivotButton="0" quotePrefix="0" xfId="4">
      <alignment vertical="center"/>
    </xf>
    <xf numFmtId="164" fontId="0" fillId="5" borderId="1" applyAlignment="1" pivotButton="0" quotePrefix="0" xfId="0">
      <alignment vertical="center"/>
    </xf>
    <xf numFmtId="166" fontId="0" fillId="5" borderId="7" applyAlignment="1" pivotButton="0" quotePrefix="0" xfId="0">
      <alignment vertical="center"/>
    </xf>
    <xf numFmtId="164" fontId="0" fillId="5" borderId="8" applyAlignment="1" pivotButton="0" quotePrefix="0" xfId="3">
      <alignment vertical="center"/>
    </xf>
    <xf numFmtId="165" fontId="0" fillId="5" borderId="8" applyAlignment="1" pivotButton="0" quotePrefix="0" xfId="4">
      <alignment vertical="center"/>
    </xf>
    <xf numFmtId="164" fontId="0" fillId="5" borderId="8" applyAlignment="1" pivotButton="0" quotePrefix="0" xfId="0">
      <alignment vertical="center"/>
    </xf>
    <xf numFmtId="166" fontId="0" fillId="5" borderId="9" applyAlignment="1" pivotButton="0" quotePrefix="0" xfId="0">
      <alignment vertical="center"/>
    </xf>
    <xf numFmtId="0" fontId="3" fillId="0" borderId="0" pivotButton="0" quotePrefix="0" xfId="0"/>
    <xf numFmtId="167" fontId="3" fillId="0" borderId="0" pivotButton="0" quotePrefix="0" xfId="1"/>
    <xf numFmtId="166" fontId="3" fillId="7" borderId="0" applyAlignment="1" pivotButton="0" quotePrefix="0" xfId="0">
      <alignment vertical="center"/>
    </xf>
    <xf numFmtId="0" fontId="7" fillId="0" borderId="2" applyAlignment="1" pivotButton="0" quotePrefix="0" xfId="0">
      <alignment vertical="center"/>
    </xf>
    <xf numFmtId="166" fontId="3" fillId="0" borderId="4" applyAlignment="1" pivotButton="0" quotePrefix="0" xfId="0">
      <alignment vertical="center"/>
    </xf>
    <xf numFmtId="167" fontId="0" fillId="0" borderId="0" pivotButton="0" quotePrefix="0" xfId="1"/>
    <xf numFmtId="164" fontId="0" fillId="0" borderId="0" pivotButton="0" quotePrefix="0" xfId="0"/>
    <xf numFmtId="167" fontId="0" fillId="0" borderId="0" pivotButton="0" quotePrefix="0" xfId="0"/>
    <xf numFmtId="0" fontId="2" fillId="8" borderId="10" applyAlignment="1" pivotButton="0" quotePrefix="0" xfId="0">
      <alignment horizontal="center" vertical="center" wrapText="1"/>
    </xf>
    <xf numFmtId="164" fontId="8" fillId="8" borderId="9" applyAlignment="1" pivotButton="0" quotePrefix="0" xfId="3">
      <alignment vertical="center"/>
    </xf>
    <xf numFmtId="0" fontId="0" fillId="0" borderId="11" applyAlignment="1" pivotButton="0" quotePrefix="0" xfId="0">
      <alignment vertical="center"/>
    </xf>
    <xf numFmtId="0" fontId="0" fillId="9" borderId="4" applyAlignment="1" pivotButton="0" quotePrefix="0" xfId="0">
      <alignment vertical="center"/>
    </xf>
    <xf numFmtId="0" fontId="0" fillId="0" borderId="13" applyAlignment="1" pivotButton="0" quotePrefix="0" xfId="0">
      <alignment vertical="center"/>
    </xf>
    <xf numFmtId="0" fontId="0" fillId="9" borderId="9" applyAlignment="1" pivotButton="0" quotePrefix="0" xfId="0">
      <alignment vertical="center"/>
    </xf>
    <xf numFmtId="168" fontId="0" fillId="0" borderId="0" pivotButton="0" quotePrefix="0" xfId="2"/>
    <xf numFmtId="168" fontId="0" fillId="0" borderId="0" pivotButton="0" quotePrefix="0" xfId="0"/>
    <xf numFmtId="164" fontId="0" fillId="0" borderId="1" applyAlignment="1" pivotButton="0" quotePrefix="0" xfId="7">
      <alignment vertical="center"/>
    </xf>
    <xf numFmtId="164" fontId="6" fillId="0" borderId="1" applyAlignment="1" pivotButton="0" quotePrefix="0" xfId="7">
      <alignment vertical="center"/>
    </xf>
    <xf numFmtId="0" fontId="0" fillId="0" borderId="0" applyAlignment="1" pivotButton="0" quotePrefix="0" xfId="0">
      <alignment horizontal="center" vertical="center"/>
    </xf>
    <xf numFmtId="166" fontId="0" fillId="0" borderId="7" applyAlignment="1" pivotButton="0" quotePrefix="0" xfId="0">
      <alignment vertical="center"/>
    </xf>
    <xf numFmtId="0" fontId="0" fillId="0" borderId="1" applyAlignment="1" pivotButton="0" quotePrefix="0" xfId="0">
      <alignment horizontal="center" vertical="center"/>
    </xf>
    <xf numFmtId="0" fontId="4" fillId="5" borderId="14" applyAlignment="1" pivotButton="0" quotePrefix="0" xfId="0">
      <alignment horizontal="centerContinuous" vertical="center" wrapText="1" readingOrder="1"/>
    </xf>
    <xf numFmtId="0" fontId="4" fillId="5" borderId="5" applyAlignment="1" pivotButton="0" quotePrefix="0" xfId="0">
      <alignment horizontal="center" vertical="center" wrapText="1"/>
    </xf>
    <xf numFmtId="164" fontId="6" fillId="0" borderId="5" applyAlignment="1" pivotButton="0" quotePrefix="0" xfId="3">
      <alignment vertical="center"/>
    </xf>
    <xf numFmtId="164" fontId="0" fillId="0" borderId="5" applyAlignment="1" pivotButton="0" quotePrefix="0" xfId="3">
      <alignment vertical="center"/>
    </xf>
    <xf numFmtId="164" fontId="0" fillId="5" borderId="5" applyAlignment="1" pivotButton="0" quotePrefix="0" xfId="3">
      <alignment vertical="center"/>
    </xf>
    <xf numFmtId="164" fontId="0" fillId="5" borderId="16" applyAlignment="1" pivotButton="0" quotePrefix="0" xfId="3">
      <alignment vertical="center"/>
    </xf>
    <xf numFmtId="0" fontId="4" fillId="3" borderId="17" applyAlignment="1" pivotButton="0" quotePrefix="0" xfId="0">
      <alignment horizontal="centerContinuous" vertical="center" wrapText="1" readingOrder="1"/>
    </xf>
    <xf numFmtId="0" fontId="5" fillId="3" borderId="18" applyAlignment="1" pivotButton="0" quotePrefix="0" xfId="0">
      <alignment horizontal="centerContinuous" vertical="center"/>
    </xf>
    <xf numFmtId="0" fontId="5" fillId="3" borderId="19" applyAlignment="1" pivotButton="0" quotePrefix="0" xfId="0">
      <alignment horizontal="centerContinuous" vertical="center"/>
    </xf>
    <xf numFmtId="0" fontId="4" fillId="3" borderId="20" applyAlignment="1" pivotButton="0" quotePrefix="0" xfId="0">
      <alignment horizontal="centerContinuous" vertical="center" wrapText="1" readingOrder="1"/>
    </xf>
    <xf numFmtId="0" fontId="5" fillId="3" borderId="20" applyAlignment="1" pivotButton="0" quotePrefix="0" xfId="0">
      <alignment horizontal="centerContinuous" vertical="center"/>
    </xf>
    <xf numFmtId="0" fontId="4" fillId="4" borderId="20" applyAlignment="1" pivotButton="0" quotePrefix="0" xfId="0">
      <alignment horizontal="centerContinuous" vertical="center" wrapText="1" readingOrder="1"/>
    </xf>
    <xf numFmtId="0" fontId="5" fillId="4" borderId="20" applyAlignment="1" pivotButton="0" quotePrefix="0" xfId="0">
      <alignment horizontal="centerContinuous" vertical="center"/>
    </xf>
    <xf numFmtId="0" fontId="2" fillId="2" borderId="1" applyAlignment="1" pivotButton="0" quotePrefix="0" xfId="0">
      <alignment horizontal="center" vertical="center" wrapText="1"/>
    </xf>
    <xf numFmtId="166" fontId="6" fillId="6" borderId="1" applyAlignment="1" pivotButton="0" quotePrefix="0" xfId="0">
      <alignment vertical="center"/>
    </xf>
    <xf numFmtId="166" fontId="0" fillId="6" borderId="1" applyAlignment="1" pivotButton="0" quotePrefix="0" xfId="0">
      <alignment vertical="center"/>
    </xf>
    <xf numFmtId="166" fontId="0" fillId="0" borderId="1" applyAlignment="1" pivotButton="0" quotePrefix="0" xfId="0">
      <alignment vertical="center"/>
    </xf>
    <xf numFmtId="166" fontId="3" fillId="0" borderId="15" applyAlignment="1" pivotButton="0" quotePrefix="0" xfId="0">
      <alignment vertical="center"/>
    </xf>
    <xf numFmtId="166" fontId="3" fillId="7" borderId="1" applyAlignment="1" pivotButton="0" quotePrefix="0" xfId="0">
      <alignment vertical="center"/>
    </xf>
    <xf numFmtId="0" fontId="7" fillId="0" borderId="1" applyAlignment="1" pivotButton="0" quotePrefix="0" xfId="0">
      <alignment vertical="center" wrapText="1"/>
    </xf>
    <xf numFmtId="166" fontId="3" fillId="0" borderId="1" applyAlignment="1" pivotButton="0" quotePrefix="0" xfId="0">
      <alignment vertical="center"/>
    </xf>
    <xf numFmtId="0" fontId="0" fillId="0" borderId="0" applyAlignment="1" pivotButton="0" quotePrefix="0" xfId="0">
      <alignment horizontal="center" vertical="center" wrapText="1"/>
    </xf>
    <xf numFmtId="165" fontId="5" fillId="0" borderId="1" applyAlignment="1" pivotButton="0" quotePrefix="0" xfId="4">
      <alignment vertical="center"/>
    </xf>
    <xf numFmtId="164" fontId="5" fillId="0" borderId="1" applyAlignment="1" pivotButton="0" quotePrefix="0" xfId="0">
      <alignment vertical="center"/>
    </xf>
    <xf numFmtId="166" fontId="5" fillId="6" borderId="1" applyAlignment="1" pivotButton="0" quotePrefix="0" xfId="0">
      <alignment vertical="center"/>
    </xf>
    <xf numFmtId="164" fontId="5" fillId="0" borderId="1" applyAlignment="1" pivotButton="0" quotePrefix="0" xfId="3">
      <alignment vertical="center"/>
    </xf>
    <xf numFmtId="0" fontId="9" fillId="0" borderId="1" applyAlignment="1" pivotButton="0" quotePrefix="0" xfId="0">
      <alignment horizontal="center" vertical="center" textRotation="90" wrapText="1"/>
    </xf>
    <xf numFmtId="169" fontId="9" fillId="0" borderId="1" applyAlignment="1" pivotButton="0" quotePrefix="0" xfId="0">
      <alignment horizontal="center" vertical="center" textRotation="90" wrapText="1"/>
    </xf>
    <xf numFmtId="164" fontId="0" fillId="0" borderId="0" applyAlignment="1" pivotButton="0" quotePrefix="0" xfId="3">
      <alignment horizontal="center" vertical="center"/>
    </xf>
    <xf numFmtId="170" fontId="1" fillId="0" borderId="0" pivotButton="0" quotePrefix="0" xfId="1"/>
    <xf numFmtId="164" fontId="5" fillId="0" borderId="6" applyAlignment="1" pivotButton="0" quotePrefix="0" xfId="21">
      <alignment vertical="center"/>
    </xf>
    <xf numFmtId="164" fontId="5" fillId="0" borderId="1" applyAlignment="1" pivotButton="0" quotePrefix="0" xfId="21">
      <alignment vertical="center"/>
    </xf>
    <xf numFmtId="165" fontId="5" fillId="0" borderId="1" applyAlignment="1" pivotButton="0" quotePrefix="0" xfId="22">
      <alignment vertical="center"/>
    </xf>
    <xf numFmtId="166" fontId="5" fillId="6" borderId="7" applyAlignment="1" pivotButton="0" quotePrefix="0" xfId="0">
      <alignment vertical="center"/>
    </xf>
    <xf numFmtId="164" fontId="0" fillId="0" borderId="6" applyAlignment="1" pivotButton="0" quotePrefix="0" xfId="21">
      <alignment vertical="center"/>
    </xf>
    <xf numFmtId="164" fontId="0" fillId="0" borderId="1" applyAlignment="1" pivotButton="0" quotePrefix="0" xfId="21">
      <alignment vertical="center"/>
    </xf>
    <xf numFmtId="165" fontId="0" fillId="0" borderId="1" applyAlignment="1" pivotButton="0" quotePrefix="0" xfId="22">
      <alignment vertical="center"/>
    </xf>
    <xf numFmtId="164" fontId="0" fillId="5" borderId="6" applyAlignment="1" pivotButton="0" quotePrefix="0" xfId="21">
      <alignment vertical="center"/>
    </xf>
    <xf numFmtId="164" fontId="0" fillId="5" borderId="1" applyAlignment="1" pivotButton="0" quotePrefix="0" xfId="21">
      <alignment vertical="center"/>
    </xf>
    <xf numFmtId="0" fontId="0" fillId="0" borderId="0" applyAlignment="1" pivotButton="0" quotePrefix="0" xfId="0">
      <alignment horizontal="center"/>
    </xf>
    <xf numFmtId="164" fontId="3" fillId="0" borderId="0" pivotButton="0" quotePrefix="0" xfId="0"/>
    <xf numFmtId="167" fontId="3" fillId="0" borderId="0" pivotButton="0" quotePrefix="0" xfId="23"/>
    <xf numFmtId="167" fontId="0" fillId="0" borderId="0" pivotButton="0" quotePrefix="0" xfId="23"/>
    <xf numFmtId="0" fontId="7" fillId="0" borderId="6" applyAlignment="1" pivotButton="0" quotePrefix="0" xfId="0">
      <alignment vertical="center"/>
    </xf>
    <xf numFmtId="2" fontId="0" fillId="0" borderId="7" applyAlignment="1" pivotButton="0" quotePrefix="0" xfId="22">
      <alignment vertical="center"/>
    </xf>
    <xf numFmtId="164" fontId="8" fillId="8" borderId="9" applyAlignment="1" pivotButton="0" quotePrefix="0" xfId="21">
      <alignment vertical="center"/>
    </xf>
    <xf numFmtId="171" fontId="0" fillId="0" borderId="0" pivotButton="0" quotePrefix="0" xfId="0"/>
    <xf numFmtId="10" fontId="1" fillId="0" borderId="0" pivotButton="0" quotePrefix="0" xfId="4"/>
    <xf numFmtId="164" fontId="5" fillId="0" borderId="5" applyAlignment="1" pivotButton="0" quotePrefix="0" xfId="21">
      <alignment vertical="center"/>
    </xf>
    <xf numFmtId="164" fontId="0" fillId="0" borderId="5" applyAlignment="1" pivotButton="0" quotePrefix="0" xfId="21">
      <alignment vertical="center"/>
    </xf>
    <xf numFmtId="164" fontId="0" fillId="5" borderId="5" applyAlignment="1" pivotButton="0" quotePrefix="0" xfId="21">
      <alignment vertical="center"/>
    </xf>
    <xf numFmtId="172" fontId="1" fillId="0" borderId="0" pivotButton="0" quotePrefix="0" xfId="2"/>
    <xf numFmtId="170" fontId="0" fillId="0" borderId="0" pivotButton="0" quotePrefix="0" xfId="1"/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172" fontId="1" fillId="0" borderId="1" pivotButton="0" quotePrefix="0" xfId="2"/>
    <xf numFmtId="0" fontId="12" fillId="0" borderId="0" applyAlignment="1" pivotButton="0" quotePrefix="0" xfId="18">
      <alignment vertical="center"/>
    </xf>
    <xf numFmtId="0" fontId="13" fillId="0" borderId="1" applyAlignment="1" pivotButton="0" quotePrefix="0" xfId="18">
      <alignment horizontal="center" vertical="center" wrapText="1"/>
    </xf>
    <xf numFmtId="0" fontId="15" fillId="10" borderId="24" applyAlignment="1" pivotButton="0" quotePrefix="0" xfId="0">
      <alignment horizontal="center" vertical="center" wrapText="1"/>
    </xf>
    <xf numFmtId="0" fontId="15" fillId="10" borderId="24" applyAlignment="1" pivotButton="0" quotePrefix="0" xfId="0">
      <alignment horizontal="left" vertical="center" wrapText="1"/>
    </xf>
    <xf numFmtId="173" fontId="11" fillId="0" borderId="1" applyAlignment="1" pivotButton="0" quotePrefix="0" xfId="2">
      <alignment vertical="center"/>
    </xf>
    <xf numFmtId="0" fontId="15" fillId="10" borderId="1" applyAlignment="1" pivotButton="0" quotePrefix="0" xfId="0">
      <alignment horizontal="center" vertical="center" wrapText="1"/>
    </xf>
    <xf numFmtId="0" fontId="15" fillId="10" borderId="1" applyAlignment="1" pivotButton="0" quotePrefix="0" xfId="0">
      <alignment horizontal="left" vertical="center" wrapText="1"/>
    </xf>
    <xf numFmtId="0" fontId="16" fillId="0" borderId="0" applyAlignment="1" pivotButton="0" quotePrefix="0" xfId="18">
      <alignment vertical="center"/>
    </xf>
    <xf numFmtId="0" fontId="16" fillId="0" borderId="0" applyAlignment="1" pivotButton="0" quotePrefix="0" xfId="18">
      <alignment horizontal="center" vertical="center"/>
    </xf>
    <xf numFmtId="173" fontId="14" fillId="0" borderId="1" applyAlignment="1" pivotButton="0" quotePrefix="0" xfId="18">
      <alignment vertical="center"/>
    </xf>
    <xf numFmtId="173" fontId="13" fillId="0" borderId="1" applyAlignment="1" pivotButton="0" quotePrefix="0" xfId="18">
      <alignment vertical="center"/>
    </xf>
    <xf numFmtId="173" fontId="17" fillId="0" borderId="1" applyAlignment="1" pivotButton="0" quotePrefix="0" xfId="2">
      <alignment vertical="center"/>
    </xf>
    <xf numFmtId="171" fontId="9" fillId="0" borderId="1" applyAlignment="1" pivotButton="0" quotePrefix="0" xfId="0">
      <alignment horizontal="center" vertical="center" textRotation="90" wrapText="1"/>
    </xf>
    <xf numFmtId="0" fontId="0" fillId="11" borderId="0" pivotButton="0" quotePrefix="0" xfId="0"/>
    <xf numFmtId="0" fontId="3" fillId="0" borderId="1" applyAlignment="1" pivotButton="0" quotePrefix="0" xfId="0">
      <alignment horizontal="center" vertical="center"/>
    </xf>
    <xf numFmtId="0" fontId="0" fillId="0" borderId="21" pivotButton="0" quotePrefix="0" xfId="0"/>
    <xf numFmtId="0" fontId="0" fillId="0" borderId="5" pivotButton="0" quotePrefix="0" xfId="0"/>
    <xf numFmtId="0" fontId="3" fillId="0" borderId="1" applyAlignment="1" pivotButton="0" quotePrefix="0" xfId="0">
      <alignment horizontal="center" vertical="center" wrapText="1"/>
    </xf>
    <xf numFmtId="0" fontId="0" fillId="0" borderId="25" pivotButton="0" quotePrefix="0" xfId="0"/>
    <xf numFmtId="0" fontId="0" fillId="0" borderId="24" pivotButton="0" quotePrefix="0" xfId="0"/>
    <xf numFmtId="173" fontId="3" fillId="0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168" fontId="0" fillId="0" borderId="1" applyAlignment="1" pivotButton="0" quotePrefix="0" xfId="3">
      <alignment horizontal="left" vertical="center"/>
    </xf>
    <xf numFmtId="14" fontId="0" fillId="0" borderId="1" applyAlignment="1" pivotButton="0" quotePrefix="0" xfId="0">
      <alignment horizontal="right" vertical="center"/>
    </xf>
    <xf numFmtId="0" fontId="0" fillId="0" borderId="1" applyAlignment="1" pivotButton="0" quotePrefix="0" xfId="0">
      <alignment horizontal="right" vertical="center" wrapText="1"/>
    </xf>
    <xf numFmtId="0" fontId="0" fillId="0" borderId="22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" applyAlignment="1" pivotButton="0" quotePrefix="0" xfId="0">
      <alignment horizontal="right" vertical="center"/>
    </xf>
    <xf numFmtId="0" fontId="0" fillId="0" borderId="0" applyAlignment="1" pivotButton="0" quotePrefix="0" xfId="0">
      <alignment horizontal="center" vertical="center"/>
    </xf>
    <xf numFmtId="0" fontId="0" fillId="0" borderId="0" applyAlignment="1" pivotButton="0" quotePrefix="0" xfId="0">
      <alignment vertical="center"/>
    </xf>
    <xf numFmtId="0" fontId="11" fillId="0" borderId="0" applyAlignment="1" pivotButton="0" quotePrefix="0" xfId="0">
      <alignment horizontal="center"/>
    </xf>
    <xf numFmtId="0" fontId="0" fillId="0" borderId="0" pivotButton="0" quotePrefix="0" xfId="0"/>
    <xf numFmtId="168" fontId="11" fillId="0" borderId="0" applyAlignment="1" pivotButton="0" quotePrefix="0" xfId="0">
      <alignment horizontal="center"/>
    </xf>
    <xf numFmtId="168" fontId="11" fillId="0" borderId="0" applyAlignment="1" pivotButton="0" quotePrefix="0" xfId="2">
      <alignment horizontal="center"/>
    </xf>
    <xf numFmtId="0" fontId="9" fillId="0" borderId="1" applyAlignment="1" pivotButton="0" quotePrefix="0" xfId="0">
      <alignment horizontal="center" vertical="center" wrapText="1"/>
    </xf>
    <xf numFmtId="174" fontId="0" fillId="0" borderId="0" applyAlignment="1" pivotButton="0" quotePrefix="0" xfId="0">
      <alignment horizontal="center"/>
    </xf>
    <xf numFmtId="0" fontId="15" fillId="10" borderId="6" applyAlignment="1" pivotButton="0" quotePrefix="0" xfId="0">
      <alignment horizontal="center" vertical="center" wrapText="1"/>
    </xf>
    <xf numFmtId="0" fontId="0" fillId="0" borderId="26" pivotButton="0" quotePrefix="0" xfId="0"/>
    <xf numFmtId="0" fontId="0" fillId="0" borderId="23" pivotButton="0" quotePrefix="0" xfId="0"/>
    <xf numFmtId="0" fontId="13" fillId="0" borderId="1" applyAlignment="1" pivotButton="0" quotePrefix="0" xfId="18">
      <alignment horizontal="center" vertical="center" wrapText="1"/>
    </xf>
    <xf numFmtId="0" fontId="15" fillId="10" borderId="1" applyAlignment="1" pivotButton="0" quotePrefix="0" xfId="0">
      <alignment horizontal="center" vertical="center" wrapText="1"/>
    </xf>
    <xf numFmtId="0" fontId="14" fillId="0" borderId="1" applyAlignment="1" pivotButton="0" quotePrefix="0" xfId="18">
      <alignment horizontal="center" vertical="center" wrapText="1"/>
    </xf>
    <xf numFmtId="0" fontId="15" fillId="10" borderId="23" applyAlignment="1" pivotButton="0" quotePrefix="0" xfId="0">
      <alignment horizontal="center" vertical="center" wrapText="1"/>
    </xf>
    <xf numFmtId="0" fontId="15" fillId="10" borderId="24" applyAlignment="1" pivotButton="0" quotePrefix="0" xfId="0">
      <alignment horizontal="center" vertical="center" wrapText="1"/>
    </xf>
    <xf numFmtId="0" fontId="13" fillId="0" borderId="1" applyAlignment="1" pivotButton="0" quotePrefix="0" xfId="18">
      <alignment horizontal="right" vertical="center"/>
    </xf>
    <xf numFmtId="172" fontId="1" fillId="0" borderId="0" pivotButton="0" quotePrefix="0" xfId="2"/>
    <xf numFmtId="170" fontId="1" fillId="0" borderId="0" pivotButton="0" quotePrefix="0" xfId="1"/>
    <xf numFmtId="170" fontId="0" fillId="0" borderId="0" pivotButton="0" quotePrefix="0" xfId="1"/>
    <xf numFmtId="171" fontId="9" fillId="0" borderId="1" applyAlignment="1" pivotButton="0" quotePrefix="0" xfId="0">
      <alignment horizontal="center" vertical="center" textRotation="90" wrapText="1"/>
    </xf>
    <xf numFmtId="171" fontId="0" fillId="0" borderId="0" pivotButton="0" quotePrefix="0" xfId="0"/>
    <xf numFmtId="174" fontId="0" fillId="0" borderId="0" applyAlignment="1" pivotButton="0" quotePrefix="0" xfId="0">
      <alignment horizontal="center"/>
    </xf>
    <xf numFmtId="173" fontId="11" fillId="0" borderId="1" applyAlignment="1" pivotButton="0" quotePrefix="0" xfId="2">
      <alignment vertical="center"/>
    </xf>
    <xf numFmtId="173" fontId="17" fillId="0" borderId="1" applyAlignment="1" pivotButton="0" quotePrefix="0" xfId="2">
      <alignment vertical="center"/>
    </xf>
    <xf numFmtId="173" fontId="13" fillId="0" borderId="1" applyAlignment="1" pivotButton="0" quotePrefix="0" xfId="18">
      <alignment vertical="center"/>
    </xf>
    <xf numFmtId="173" fontId="14" fillId="0" borderId="1" applyAlignment="1" pivotButton="0" quotePrefix="0" xfId="18">
      <alignment vertical="center"/>
    </xf>
    <xf numFmtId="172" fontId="1" fillId="0" borderId="1" pivotButton="0" quotePrefix="0" xfId="2"/>
    <xf numFmtId="173" fontId="3" fillId="0" borderId="1" applyAlignment="1" pivotButton="0" quotePrefix="0" xfId="0">
      <alignment horizontal="center" vertical="center"/>
    </xf>
  </cellXfs>
  <cellStyles count="24">
    <cellStyle name="Normal" xfId="0" builtinId="0"/>
    <cellStyle name="Millares" xfId="1" builtinId="3"/>
    <cellStyle name="Moneda" xfId="2" builtinId="4"/>
    <cellStyle name="Moneda [0]" xfId="3" builtinId="7"/>
    <cellStyle name="Porcentaje" xfId="4" builtinId="5"/>
    <cellStyle name="Moneda 4" xfId="5"/>
    <cellStyle name="Millares [0] 2" xfId="6"/>
    <cellStyle name="Moneda [0] 2" xfId="7"/>
    <cellStyle name="Normal 2" xfId="8"/>
    <cellStyle name="Moneda 2" xfId="9"/>
    <cellStyle name="Millares 2" xfId="10"/>
    <cellStyle name="Moneda 6" xfId="11"/>
    <cellStyle name="Moneda 5" xfId="12"/>
    <cellStyle name="Moneda 3" xfId="13"/>
    <cellStyle name="Millares 3" xfId="14"/>
    <cellStyle name="Millares 4" xfId="15"/>
    <cellStyle name="Millares 5" xfId="16"/>
    <cellStyle name="Millares 6" xfId="17"/>
    <cellStyle name="Normal 3" xfId="18"/>
    <cellStyle name="Moneda 7" xfId="19"/>
    <cellStyle name="Millares [0] 3" xfId="20"/>
    <cellStyle name="Moneda [0] 3" xfId="21"/>
    <cellStyle name="Porcentaje 2" xfId="22"/>
    <cellStyle name="Millares 7" xfId="23"/>
  </cellStyles>
  <tableStyles count="1" defaultTableStyle="TableStyleMedium2" defaultPivotStyle="PivotStyleLight16">
    <tableStyle name="Invisible" pivot="0" table="0" count="0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32"/>
  <sheetViews>
    <sheetView topLeftCell="A48" zoomScale="85" zoomScaleNormal="85" workbookViewId="0">
      <selection activeCell="A3" sqref="A3"/>
    </sheetView>
  </sheetViews>
  <sheetFormatPr baseColWidth="10" defaultRowHeight="15"/>
  <cols>
    <col width="28.6640625" customWidth="1" style="86" min="1" max="1"/>
    <col width="16" customWidth="1" style="135" min="2" max="2"/>
    <col width="14.5" bestFit="1" customWidth="1" style="135" min="3" max="3"/>
    <col width="13.33203125" customWidth="1" style="135" min="4" max="4"/>
    <col width="23.5" customWidth="1" style="135" min="5" max="5"/>
    <col width="11.5" customWidth="1" style="132" min="6" max="6"/>
    <col width="11.83203125" customWidth="1" style="132" min="7" max="7"/>
    <col width="17.6640625" customWidth="1" style="135" min="8" max="8"/>
    <col width="21.6640625" customWidth="1" style="135" min="9" max="9"/>
    <col width="17.33203125" customWidth="1" style="135" min="10" max="10"/>
    <col width="16.6640625" bestFit="1" customWidth="1" style="135" min="11" max="11"/>
    <col width="17.5" customWidth="1" style="135" min="13" max="13"/>
    <col width="21.83203125" customWidth="1" style="135" min="14" max="14"/>
  </cols>
  <sheetData>
    <row r="1">
      <c r="B1" t="inlineStr">
        <is>
          <t>SMMLV 2026</t>
        </is>
      </c>
      <c r="C1" s="149" t="n">
        <v>1750905</v>
      </c>
    </row>
    <row r="2">
      <c r="B2" t="inlineStr">
        <is>
          <t>SEGURO DE VIDA</t>
        </is>
      </c>
      <c r="C2" s="149">
        <f>Hoja1!$E$4</f>
        <v/>
      </c>
    </row>
    <row r="3"/>
    <row r="4" ht="75" customHeight="1" s="135">
      <c r="A4" s="125" t="inlineStr">
        <is>
          <t>ITEM</t>
        </is>
      </c>
      <c r="B4" s="125" t="inlineStr">
        <is>
          <t>Descripcion del item</t>
        </is>
      </c>
      <c r="C4" s="118" t="n"/>
      <c r="D4" s="118" t="n"/>
      <c r="E4" s="119" t="n"/>
      <c r="F4" s="125" t="inlineStr">
        <is>
          <t>Unidad de Medida</t>
        </is>
      </c>
      <c r="G4" s="125" t="inlineStr">
        <is>
          <t>Cantidad</t>
        </is>
      </c>
      <c r="H4" s="6" t="inlineStr">
        <is>
          <t>TARIFA 2026</t>
        </is>
      </c>
      <c r="I4" s="48" t="inlineStr">
        <is>
          <t>VALOR PRIMA SEGURO COLECTIVO INCLUIDO VARIABLE DE PROPORCIONALIDAD, EN CASO DE APLICAR</t>
        </is>
      </c>
      <c r="J4" s="7" t="inlineStr">
        <is>
          <t>% DE GASTOS ADMINISTRATIVOS Y SUPERVISIÓN</t>
        </is>
      </c>
      <c r="K4" s="7" t="inlineStr">
        <is>
          <t>Valor Producto</t>
        </is>
      </c>
      <c r="L4" s="7" t="inlineStr">
        <is>
          <t>% IVA Producto</t>
        </is>
      </c>
      <c r="M4" s="7" t="inlineStr">
        <is>
          <t>IVA Producto</t>
        </is>
      </c>
      <c r="N4" s="8" t="inlineStr">
        <is>
          <t>Valor total con IVA</t>
        </is>
      </c>
    </row>
    <row r="5" ht="71" customHeight="1" s="135">
      <c r="A5" s="124" t="inlineStr">
        <is>
          <t>PUERTA PRINCIPAL</t>
        </is>
      </c>
      <c r="B5" s="124" t="inlineStr">
        <is>
          <t>SERVICIO DE VIGILANCIA PRIVADA CON ARMA, CON EQUIPOS DE COMUNICACIÓN DE 24 HORAS DIARIAS, TODO EL MES DE LUNES A DOMINGO INCLUIDOS FESTIVOS.</t>
        </is>
      </c>
      <c r="C5" s="118" t="n"/>
      <c r="D5" s="118" t="n"/>
      <c r="E5" s="119" t="n"/>
      <c r="F5" s="46" t="n">
        <v>1</v>
      </c>
      <c r="G5" s="46" t="n">
        <v>1</v>
      </c>
      <c r="H5" s="77">
        <f>(10.21*$C$1)</f>
        <v/>
      </c>
      <c r="I5" s="95">
        <f>($C$2)*3</f>
        <v/>
      </c>
      <c r="J5" s="78">
        <f>+H5*10%+I5*10%</f>
        <v/>
      </c>
      <c r="K5" s="78">
        <f>+H5+J5+I5</f>
        <v/>
      </c>
      <c r="L5" s="79" t="n">
        <v>0.019</v>
      </c>
      <c r="M5" s="70">
        <f>+K5*L5</f>
        <v/>
      </c>
      <c r="N5" s="80">
        <f>+K5+M5</f>
        <v/>
      </c>
    </row>
    <row r="6" ht="71" customHeight="1" s="135">
      <c r="A6" s="124" t="inlineStr">
        <is>
          <t>PARQUEADERO</t>
        </is>
      </c>
      <c r="B6" s="124" t="inlineStr">
        <is>
          <t>SERVICIO DE VIGILANCIA PRIVADA CON ARMA, CON EQUIPOS DE COMUNICACIÓN DE 24 HORAS DIARIAS, TODO EL MES DE LUNES A DOMINGO INCLUIDOS FESTIVOS.</t>
        </is>
      </c>
      <c r="C6" s="118" t="n"/>
      <c r="D6" s="118" t="n"/>
      <c r="E6" s="119" t="n"/>
      <c r="F6" s="46" t="n">
        <v>1</v>
      </c>
      <c r="G6" s="46" t="n">
        <v>1</v>
      </c>
      <c r="H6" s="77">
        <f>(10.21*$C$1)</f>
        <v/>
      </c>
      <c r="I6" s="95">
        <f>($C$2)*3</f>
        <v/>
      </c>
      <c r="J6" s="78">
        <f>+H6*10%+I6*10%</f>
        <v/>
      </c>
      <c r="K6" s="78">
        <f>+H6+J6+I6</f>
        <v/>
      </c>
      <c r="L6" s="83" t="n">
        <v>0.019</v>
      </c>
      <c r="M6" s="16">
        <f>+K6*L6</f>
        <v/>
      </c>
      <c r="N6" s="17">
        <f>+K6+M6</f>
        <v/>
      </c>
    </row>
    <row r="7" ht="71" customHeight="1" s="135">
      <c r="A7" s="124" t="inlineStr">
        <is>
          <t>BIBLIOTECA</t>
        </is>
      </c>
      <c r="B7" s="124" t="inlineStr">
        <is>
          <t>SERVICIO DE VIGILANCIA PRIVADA CON ARMA, CON EQUIPOS DE COMUNICACIÓN DE 12 HORAS DIARIAS DIURNAS, TODO EL MES DE LUNES A VIERNES DÍAS HÁBILES EN EL HORARIO DE 6:00 A.M. A 6:00 P.M.</t>
        </is>
      </c>
      <c r="C7" s="118" t="n"/>
      <c r="D7" s="118" t="n"/>
      <c r="E7" s="119" t="n"/>
      <c r="F7" s="46" t="n">
        <v>1</v>
      </c>
      <c r="G7" s="46" t="n">
        <v>1</v>
      </c>
      <c r="H7" s="81">
        <f>(10.21*$C$1)*47.59%/13*12/30*20</f>
        <v/>
      </c>
      <c r="I7" s="96">
        <f>($C$2)*47.59%/13*12/30*20</f>
        <v/>
      </c>
      <c r="J7" s="82">
        <f>H7*10%+I7*10%</f>
        <v/>
      </c>
      <c r="K7" s="82">
        <f>H7+J7+I7</f>
        <v/>
      </c>
      <c r="L7" s="83" t="n">
        <v>0.019</v>
      </c>
      <c r="M7" s="16">
        <f>K7*L7</f>
        <v/>
      </c>
      <c r="N7" s="17">
        <f>K7+M7</f>
        <v/>
      </c>
    </row>
    <row r="8" ht="71" customHeight="1" s="135">
      <c r="A8" s="124" t="inlineStr">
        <is>
          <t>MONITOREO CCTV</t>
        </is>
      </c>
      <c r="B8" s="124" t="inlineStr">
        <is>
          <t>SERVICIO DE VIGILANCIA PRIVADA CON ARMA, CON EQUIPOS DE COMUNICACIÓN DE 24 HORAS DIARIAS, TODO EL MES DE LUNES A DOMINGO INCLUIDOS FESTIVOS.</t>
        </is>
      </c>
      <c r="C8" s="118" t="n"/>
      <c r="D8" s="118" t="n"/>
      <c r="E8" s="119" t="n"/>
      <c r="F8" s="46" t="n">
        <v>1</v>
      </c>
      <c r="G8" s="46" t="n">
        <v>1</v>
      </c>
      <c r="H8" s="77">
        <f>(10.21*$C$1)</f>
        <v/>
      </c>
      <c r="I8" s="95">
        <f>($C$2)*3</f>
        <v/>
      </c>
      <c r="J8" s="78">
        <f>+H8*10%+I8*10%</f>
        <v/>
      </c>
      <c r="K8" s="78">
        <f>+H8+J8+I8</f>
        <v/>
      </c>
      <c r="L8" s="83" t="n">
        <v>0.019</v>
      </c>
      <c r="M8" s="16">
        <f>+K8*L8</f>
        <v/>
      </c>
      <c r="N8" s="17">
        <f>+K8+M8</f>
        <v/>
      </c>
    </row>
    <row r="9" ht="71" customHeight="1" s="135">
      <c r="A9" s="124" t="inlineStr">
        <is>
          <t>RECEPCIONISTA PUERTA PPAL</t>
        </is>
      </c>
      <c r="B9" s="124" t="inlineStr">
        <is>
          <t>SERVICIO DE VIGILANCIA PRIVADA CON ARMA, CON EQUIPOS DE COMUNICACIÓN DE 12 HORAS DIARIAS DIURNAS TODO EL MES, DE LUNES A VIERNES DÍAS HÁBILES EN EL HORARIO DE 6:00 A.M. A 6:00 P.M.</t>
        </is>
      </c>
      <c r="C9" s="118" t="n"/>
      <c r="D9" s="118" t="n"/>
      <c r="E9" s="119" t="n"/>
      <c r="F9" s="46" t="n">
        <v>1</v>
      </c>
      <c r="G9" s="46" t="n">
        <v>1</v>
      </c>
      <c r="H9" s="81">
        <f>(10.21*$C$1)*47.59%/13*12/30*20</f>
        <v/>
      </c>
      <c r="I9" s="96">
        <f>($C$2)*47.59%/13*12/30*20</f>
        <v/>
      </c>
      <c r="J9" s="82">
        <f>H9*10%+I9*10%</f>
        <v/>
      </c>
      <c r="K9" s="82">
        <f>H9+J9+I9</f>
        <v/>
      </c>
      <c r="L9" s="83" t="n">
        <v>0.019</v>
      </c>
      <c r="M9" s="16">
        <f>K9*L9</f>
        <v/>
      </c>
      <c r="N9" s="17">
        <f>K9+M9</f>
        <v/>
      </c>
    </row>
    <row r="10" ht="71" customHeight="1" s="135">
      <c r="A10" s="124" t="inlineStr">
        <is>
          <t>RECORREDOR</t>
        </is>
      </c>
      <c r="B10" s="124" t="inlineStr">
        <is>
          <t>SERVICIO DE VIGILANCIA PRIVADA CON ARMA, CON EQUIPOS DE COMUNICACIÓN DE 12 HORAS DIARIAS DIURNAS TODO EL MES, DE LUNES A VIERNES DÍAS HÁBILES EN EL HORARIO DE 6:00 A.M. A 6:00 P.M.</t>
        </is>
      </c>
      <c r="C10" s="118" t="n"/>
      <c r="D10" s="118" t="n"/>
      <c r="E10" s="119" t="n"/>
      <c r="F10" s="46" t="n">
        <v>1</v>
      </c>
      <c r="G10" s="46" t="n">
        <v>1</v>
      </c>
      <c r="H10" s="81">
        <f>(10.21*$C$1)*47.59%/13*12/30*20</f>
        <v/>
      </c>
      <c r="I10" s="96">
        <f>($C$2)*47.59%/13*12/30*20</f>
        <v/>
      </c>
      <c r="J10" s="82">
        <f>H10*10%+I10*10%</f>
        <v/>
      </c>
      <c r="K10" s="82">
        <f>H10+J10+I10</f>
        <v/>
      </c>
      <c r="L10" s="83" t="n">
        <v>0.019</v>
      </c>
      <c r="M10" s="16">
        <f>K10*L10</f>
        <v/>
      </c>
      <c r="N10" s="17">
        <f>K10+M10</f>
        <v/>
      </c>
    </row>
    <row r="11" ht="71" customHeight="1" s="135">
      <c r="A11" s="124" t="inlineStr">
        <is>
          <t xml:space="preserve">LABORATORIO CALIDAD AMBIENTAL </t>
        </is>
      </c>
      <c r="B11" s="124" t="inlineStr">
        <is>
          <t>SERVICIO DE VIGILANCIA PRIVADA CON ARMA, CON EQUIPOS DE COMUNICACIÓN DE 24 HORAS DIARIAS, TODO EL MES DE LUNES A DOMINGO INCLUIDOS FESTIVOS.</t>
        </is>
      </c>
      <c r="C11" s="118" t="n"/>
      <c r="D11" s="118" t="n"/>
      <c r="E11" s="119" t="n"/>
      <c r="F11" s="46" t="n">
        <v>1</v>
      </c>
      <c r="G11" s="46" t="n">
        <v>1</v>
      </c>
      <c r="H11" s="77">
        <f>(10.21*$C$1)</f>
        <v/>
      </c>
      <c r="I11" s="95">
        <f>($C$2)*3</f>
        <v/>
      </c>
      <c r="J11" s="78">
        <f>+H11*10%+I11*10%</f>
        <v/>
      </c>
      <c r="K11" s="78">
        <f>+H11+J11+I11</f>
        <v/>
      </c>
      <c r="L11" s="83" t="n">
        <v>0.019</v>
      </c>
      <c r="M11" s="16">
        <f>+K11*L11</f>
        <v/>
      </c>
      <c r="N11" s="17">
        <f>+K11+M11</f>
        <v/>
      </c>
    </row>
    <row r="12" ht="71" customHeight="1" s="135">
      <c r="A12" s="124" t="inlineStr">
        <is>
          <t>MEDELLIN</t>
        </is>
      </c>
      <c r="B12" s="124" t="inlineStr">
        <is>
          <t>SERVICIO DE VIGILANCIA PRIVADA CON ARMA, CON EQUIPOS DE COMUNICACIÓN DE 24 HORAS DIARIAS, TODO EL MES DE LUNES A DOMINGO INCLUIDOS FESTIVOS.</t>
        </is>
      </c>
      <c r="C12" s="118" t="n"/>
      <c r="D12" s="118" t="n"/>
      <c r="E12" s="119" t="n"/>
      <c r="F12" s="46" t="n">
        <v>1</v>
      </c>
      <c r="G12" s="46" t="n">
        <v>1</v>
      </c>
      <c r="H12" s="77">
        <f>(10.21*$C$1)</f>
        <v/>
      </c>
      <c r="I12" s="95">
        <f>($C$2)*3</f>
        <v/>
      </c>
      <c r="J12" s="78">
        <f>+H12*10%+I12*10%</f>
        <v/>
      </c>
      <c r="K12" s="78">
        <f>+H12+J12+I12</f>
        <v/>
      </c>
      <c r="L12" s="83" t="n">
        <v>0.019</v>
      </c>
      <c r="M12" s="16">
        <f>+K12*L12</f>
        <v/>
      </c>
      <c r="N12" s="17">
        <f>+K12+M12</f>
        <v/>
      </c>
    </row>
    <row r="13" ht="71" customHeight="1" s="135">
      <c r="A13" s="124" t="inlineStr">
        <is>
          <t>BARRANQUILLA</t>
        </is>
      </c>
      <c r="B13" s="124" t="inlineStr">
        <is>
          <t>SERVICIO DE VIGILANCIA PRIVADA CON ARMA, CON EQUIPOS DE COMUNICACIÓN DE 24 HORAS DIARIAS, TODO EL MES DE LUNES A DOMINGO INCLUIDOS FESTIVOS.</t>
        </is>
      </c>
      <c r="C13" s="118" t="n"/>
      <c r="D13" s="118" t="n"/>
      <c r="E13" s="119" t="n"/>
      <c r="F13" s="46" t="n">
        <v>1</v>
      </c>
      <c r="G13" s="46" t="n">
        <v>1</v>
      </c>
      <c r="H13" s="77">
        <f>(10.21*$C$1)</f>
        <v/>
      </c>
      <c r="I13" s="95">
        <f>($C$2)*3</f>
        <v/>
      </c>
      <c r="J13" s="78">
        <f>+H13*10%+I13*10%</f>
        <v/>
      </c>
      <c r="K13" s="78">
        <f>+H13+J13+I13</f>
        <v/>
      </c>
      <c r="L13" s="83" t="n">
        <v>0.019</v>
      </c>
      <c r="M13" s="16">
        <f>+K13*L13</f>
        <v/>
      </c>
      <c r="N13" s="17">
        <f>+K13+M13</f>
        <v/>
      </c>
    </row>
    <row r="14" ht="71" customHeight="1" s="135">
      <c r="A14" s="124" t="inlineStr">
        <is>
          <t xml:space="preserve">VILLAVICENCIO </t>
        </is>
      </c>
      <c r="B14" s="124" t="inlineStr">
        <is>
          <t>SERVICIO DE VIGILANCIA PRIVADA CON ARMA, CON EQUIPOS DE COMUNICACIÓN DE 24 HORAS DIARIAS, TODO EL MES DE LUNES A DOMINGO INCLUIDOS FESTIVOS.</t>
        </is>
      </c>
      <c r="C14" s="118" t="n"/>
      <c r="D14" s="118" t="n"/>
      <c r="E14" s="119" t="n"/>
      <c r="F14" s="46" t="n">
        <v>1</v>
      </c>
      <c r="G14" s="46" t="n">
        <v>1</v>
      </c>
      <c r="H14" s="77">
        <f>(10.21*$C$1)</f>
        <v/>
      </c>
      <c r="I14" s="95">
        <f>($C$2)*3</f>
        <v/>
      </c>
      <c r="J14" s="78">
        <f>+H14*10%+I14*10%</f>
        <v/>
      </c>
      <c r="K14" s="78">
        <f>+H14+J14+I14</f>
        <v/>
      </c>
      <c r="L14" s="83" t="n">
        <v>0.019</v>
      </c>
      <c r="M14" s="16">
        <f>+K14*L14</f>
        <v/>
      </c>
      <c r="N14" s="17">
        <f>+K14+M14</f>
        <v/>
      </c>
    </row>
    <row r="15" ht="71" customHeight="1" s="135">
      <c r="A15" s="124" t="inlineStr">
        <is>
          <t>NEIVA</t>
        </is>
      </c>
      <c r="B15" s="124" t="inlineStr">
        <is>
          <t>SERVICIO DE VIGILANCIA PRIVADA CON ARMA, CON EQUIPOS DE COMUNICACIÓN DE 24 HORAS DIARIAS, TODO EL MES DE LUNES A DOMINGO INCLUIDOS FESTIVOS.</t>
        </is>
      </c>
      <c r="C15" s="118" t="n"/>
      <c r="D15" s="118" t="n"/>
      <c r="E15" s="119" t="n"/>
      <c r="F15" s="46" t="n">
        <v>1</v>
      </c>
      <c r="G15" s="46" t="n">
        <v>1</v>
      </c>
      <c r="H15" s="77">
        <f>(10.21*$C$1)</f>
        <v/>
      </c>
      <c r="I15" s="95">
        <f>($C$2)*3</f>
        <v/>
      </c>
      <c r="J15" s="78">
        <f>+H15*10%+I15*10%</f>
        <v/>
      </c>
      <c r="K15" s="78">
        <f>+H15+J15+I15</f>
        <v/>
      </c>
      <c r="L15" s="83" t="n">
        <v>0.019</v>
      </c>
      <c r="M15" s="16">
        <f>+K15*L15</f>
        <v/>
      </c>
      <c r="N15" s="17">
        <f>+K15+M15</f>
        <v/>
      </c>
    </row>
    <row r="16" ht="71" customHeight="1" s="135">
      <c r="A16" s="124" t="inlineStr">
        <is>
          <t>SANTA MARTA</t>
        </is>
      </c>
      <c r="B16" s="124" t="inlineStr">
        <is>
          <t>SERVICIO DE VIGILANCIA PRIVADA CON ARMA, CON EQUIPOS DE COMUNICACIÓN DE 24 HORAS DIARIAS, TODO EL MES DE LUNES A DOMINGO INCLUIDOS FESTIVOS.</t>
        </is>
      </c>
      <c r="C16" s="118" t="n"/>
      <c r="D16" s="118" t="n"/>
      <c r="E16" s="119" t="n"/>
      <c r="F16" s="46" t="n">
        <v>1</v>
      </c>
      <c r="G16" s="46" t="n">
        <v>1</v>
      </c>
      <c r="H16" s="77">
        <f>(10.21*$C$1)</f>
        <v/>
      </c>
      <c r="I16" s="95">
        <f>($C$2)*3</f>
        <v/>
      </c>
      <c r="J16" s="78">
        <f>+H16*10%+I16*10%</f>
        <v/>
      </c>
      <c r="K16" s="78">
        <f>+H16+J16+I16</f>
        <v/>
      </c>
      <c r="L16" s="83" t="n">
        <v>0.019</v>
      </c>
      <c r="M16" s="16">
        <f>+K16*L16</f>
        <v/>
      </c>
      <c r="N16" s="17">
        <f>+K16+M16</f>
        <v/>
      </c>
    </row>
    <row r="17" ht="71" customHeight="1" s="135">
      <c r="A17" s="124" t="inlineStr">
        <is>
          <t>DUITAMA</t>
        </is>
      </c>
      <c r="B17" s="124" t="inlineStr">
        <is>
          <t>SERVICIO DE VIGILANCIA PRIVADA CON ARMA, CON EQUIPOS DE COMUNICACIÓN DE 24 HORAS DIARIAS, TODO EL MES DE LUNES A DOMINGO INCLUIDOS FESTIVOS.</t>
        </is>
      </c>
      <c r="C17" s="118" t="n"/>
      <c r="D17" s="118" t="n"/>
      <c r="E17" s="119" t="n"/>
      <c r="F17" s="46" t="n">
        <v>1</v>
      </c>
      <c r="G17" s="46" t="n">
        <v>1</v>
      </c>
      <c r="H17" s="77">
        <f>(10.21*$C$1)</f>
        <v/>
      </c>
      <c r="I17" s="95">
        <f>($C$2)*3</f>
        <v/>
      </c>
      <c r="J17" s="78">
        <f>+H17*10%+I17*10%</f>
        <v/>
      </c>
      <c r="K17" s="78">
        <f>+H17+J17+I17</f>
        <v/>
      </c>
      <c r="L17" s="83" t="n">
        <v>0.019</v>
      </c>
      <c r="M17" s="16">
        <f>+K17*L17</f>
        <v/>
      </c>
      <c r="N17" s="17">
        <f>+K17+M17</f>
        <v/>
      </c>
    </row>
    <row r="18" ht="71" customHeight="1" s="135">
      <c r="A18" s="124" t="inlineStr">
        <is>
          <t>PASTO</t>
        </is>
      </c>
      <c r="B18" s="124" t="inlineStr">
        <is>
          <t>SERVICIO DE VIGILANCIA PRIVADA CON ARMA, CON EQUIPOS DE COMUNICACIÓN DE 24 HORAS DIARIAS, TODO EL MES DE LUNES A DOMINGO INCLUIDOS FESTIVOS.</t>
        </is>
      </c>
      <c r="C18" s="118" t="n"/>
      <c r="D18" s="118" t="n"/>
      <c r="E18" s="119" t="n"/>
      <c r="F18" s="46" t="n">
        <v>1</v>
      </c>
      <c r="G18" s="46" t="n">
        <v>1</v>
      </c>
      <c r="H18" s="77">
        <f>(10.21*$C$1)</f>
        <v/>
      </c>
      <c r="I18" s="95">
        <f>($C$2)*3</f>
        <v/>
      </c>
      <c r="J18" s="78">
        <f>+H18*10%+I18*10%</f>
        <v/>
      </c>
      <c r="K18" s="78">
        <f>+H18+J18+I18</f>
        <v/>
      </c>
      <c r="L18" s="83" t="n">
        <v>0.019</v>
      </c>
      <c r="M18" s="16">
        <f>+K18*L18</f>
        <v/>
      </c>
      <c r="N18" s="17">
        <f>+K18+M18</f>
        <v/>
      </c>
    </row>
    <row r="19" ht="71" customHeight="1" s="135">
      <c r="A19" s="124" t="inlineStr">
        <is>
          <t>BUCARAMANGA</t>
        </is>
      </c>
      <c r="B19" s="124" t="inlineStr">
        <is>
          <t>SERVICIO DE VIGILANCIA PRIVADA CON ARMA, CON EQUIPOS DE COMUNICACIÓN DE 24 HORAS DIARIAS, TODO EL MES DE LUNES A DOMINGO INCLUIDOS FESTIVOS.</t>
        </is>
      </c>
      <c r="C19" s="118" t="n"/>
      <c r="D19" s="118" t="n"/>
      <c r="E19" s="119" t="n"/>
      <c r="F19" s="46" t="n">
        <v>1</v>
      </c>
      <c r="G19" s="46" t="n">
        <v>1</v>
      </c>
      <c r="H19" s="77">
        <f>(10.21*$C$1)</f>
        <v/>
      </c>
      <c r="I19" s="95">
        <f>($C$2)*3</f>
        <v/>
      </c>
      <c r="J19" s="78">
        <f>+H19*10%+I19*10%</f>
        <v/>
      </c>
      <c r="K19" s="78">
        <f>+H19+J19+I19</f>
        <v/>
      </c>
      <c r="L19" s="83" t="n">
        <v>0.019</v>
      </c>
      <c r="M19" s="16">
        <f>+K19*L19</f>
        <v/>
      </c>
      <c r="N19" s="17">
        <f>+K19+M19</f>
        <v/>
      </c>
    </row>
    <row r="20" ht="71" customHeight="1" s="135">
      <c r="A20" s="124" t="inlineStr">
        <is>
          <t xml:space="preserve">CALI </t>
        </is>
      </c>
      <c r="B20" s="124" t="inlineStr">
        <is>
          <t>SERVICIO DE VIGILANCIA PRIVADA CON ARMA, CON EQUIPOS DE COMUNICACIÓN DE 24 HORAS DIARIAS, TODO EL MES DE LUNES A DOMINGO INCLUIDOS FESTIVOS.</t>
        </is>
      </c>
      <c r="C20" s="118" t="n"/>
      <c r="D20" s="118" t="n"/>
      <c r="E20" s="119" t="n"/>
      <c r="F20" s="46" t="n">
        <v>1</v>
      </c>
      <c r="G20" s="46" t="n">
        <v>1</v>
      </c>
      <c r="H20" s="77">
        <f>(10.21*$C$1)</f>
        <v/>
      </c>
      <c r="I20" s="95">
        <f>($C$2)*3</f>
        <v/>
      </c>
      <c r="J20" s="78">
        <f>+H20*10%+I20*10%</f>
        <v/>
      </c>
      <c r="K20" s="78">
        <f>+H20+J20+I20</f>
        <v/>
      </c>
      <c r="L20" s="83" t="n">
        <v>0.019</v>
      </c>
      <c r="M20" s="16">
        <f>+K20*L20</f>
        <v/>
      </c>
      <c r="N20" s="17">
        <f>+K20+M20</f>
        <v/>
      </c>
    </row>
    <row r="21" ht="71" customHeight="1" s="135">
      <c r="A21" s="124" t="inlineStr">
        <is>
          <t xml:space="preserve">CALI </t>
        </is>
      </c>
      <c r="B21" s="124" t="inlineStr">
        <is>
          <t>SERVICIO DE VIGILANCIA PRIVADA CON ARMA, CON EQUIPOS DE COMUNICACIÓN DE 24 HORAS DIARIAS, TODO EL MES DE LUNES A DOMINGO INCLUIDOS FESTIVOS.</t>
        </is>
      </c>
      <c r="C21" s="118" t="n"/>
      <c r="D21" s="118" t="n"/>
      <c r="E21" s="119" t="n"/>
      <c r="F21" s="46" t="n">
        <v>1</v>
      </c>
      <c r="G21" s="46" t="n">
        <v>1</v>
      </c>
      <c r="H21" s="77">
        <f>(10.21*$C$1)</f>
        <v/>
      </c>
      <c r="I21" s="95">
        <f>($C$2)*3</f>
        <v/>
      </c>
      <c r="J21" s="78">
        <f>+H21*10%+I21*10%</f>
        <v/>
      </c>
      <c r="K21" s="78">
        <f>+H21+J21+I21</f>
        <v/>
      </c>
      <c r="L21" s="83" t="n">
        <v>0.019</v>
      </c>
      <c r="M21" s="16">
        <f>+K21*L21</f>
        <v/>
      </c>
      <c r="N21" s="17">
        <f>+K21+M21</f>
        <v/>
      </c>
    </row>
    <row r="22" ht="71" customHeight="1" s="135">
      <c r="A22" s="124" t="inlineStr">
        <is>
          <t xml:space="preserve">IBAGUE </t>
        </is>
      </c>
      <c r="B22" s="124" t="inlineStr">
        <is>
          <t>SERVICIO DE VIGILANCIA PRIVADA CON ARMA, CON EQUIPOS DE COMUNICACIÓN DE 24 HORAS DIARIAS, TODO EL MES DE LUNES A DOMINGO INCLUIDOS FESTIVOS.</t>
        </is>
      </c>
      <c r="C22" s="118" t="n"/>
      <c r="D22" s="118" t="n"/>
      <c r="E22" s="119" t="n"/>
      <c r="F22" s="46" t="n">
        <v>1</v>
      </c>
      <c r="G22" s="46" t="n">
        <v>1</v>
      </c>
      <c r="H22" s="77">
        <f>(10.21*$C$1)</f>
        <v/>
      </c>
      <c r="I22" s="95">
        <f>($C$2)*3</f>
        <v/>
      </c>
      <c r="J22" s="78">
        <f>+H22*10%+I22*10%</f>
        <v/>
      </c>
      <c r="K22" s="78">
        <f>+H22+J22+I22</f>
        <v/>
      </c>
      <c r="L22" s="83" t="n">
        <v>0.019</v>
      </c>
      <c r="M22" s="16">
        <f>+K22*L22</f>
        <v/>
      </c>
      <c r="N22" s="17">
        <f>+K22+M22</f>
        <v/>
      </c>
    </row>
    <row r="23" ht="71" customHeight="1" s="135">
      <c r="A23" s="124" t="inlineStr">
        <is>
          <t>PUERTO CARREÑO</t>
        </is>
      </c>
      <c r="B23" s="124" t="inlineStr">
        <is>
          <t>SERVICIO DE VIGILANCIA PRIVADA CON ARMA, CON EQUIPOS DE COMUNICACIÓN DE 12 HORAS NOCTURNAS DIARIAS, TODO EL MES DE LUNES A DOMINGO, INCLUIDO FESTIVOS EN EL HORARIO DE 6:00 P.M. A 6:00 A.M.</t>
        </is>
      </c>
      <c r="C23" s="118" t="n"/>
      <c r="D23" s="118" t="n"/>
      <c r="E23" s="119" t="n"/>
      <c r="F23" s="46" t="n">
        <v>1</v>
      </c>
      <c r="G23" s="46" t="n">
        <v>1</v>
      </c>
      <c r="H23" s="84">
        <f>((10.21*$C$1)*47.59%/13*1)+((10.21*$C$1)*52.41%/11*11)</f>
        <v/>
      </c>
      <c r="I23" s="97">
        <f>(($C$2)*47.59%/13*1)+(($C$2)*52.41%/11*11)</f>
        <v/>
      </c>
      <c r="J23" s="85">
        <f>+H23*10%+I23*10%</f>
        <v/>
      </c>
      <c r="K23" s="85">
        <f>+H23+J23+I23</f>
        <v/>
      </c>
      <c r="L23" s="83" t="n">
        <v>0.019</v>
      </c>
      <c r="M23" s="16">
        <f>+K23*L23</f>
        <v/>
      </c>
      <c r="N23" s="21">
        <f>+M23+K23</f>
        <v/>
      </c>
    </row>
    <row r="24" ht="71" customHeight="1" s="135">
      <c r="A24" s="124" t="inlineStr">
        <is>
          <t xml:space="preserve">SAN ANDRES </t>
        </is>
      </c>
      <c r="B24" s="124" t="inlineStr">
        <is>
          <t>SERVICIO DE VIGILANCIA PRIVADA CON ARMA, CON EQUIPOS DE COMUNICACIÓN DE 12 HORAS NOCTURNAS DIARIAS, TODO EL MES DE LUNES A DOMINGO, INCLUIDO FESTIVOS EN EL HORARIO DE 6:00 P.M. A 6:00 A.M.</t>
        </is>
      </c>
      <c r="C24" s="118" t="n"/>
      <c r="D24" s="118" t="n"/>
      <c r="E24" s="119" t="n"/>
      <c r="F24" s="46" t="n">
        <v>1</v>
      </c>
      <c r="G24" s="46" t="n">
        <v>1</v>
      </c>
      <c r="H24" s="84">
        <f>((10.21*$C$1)*47.59%/13*1)+((10.21*$C$1)*52.41%/11*11)</f>
        <v/>
      </c>
      <c r="I24" s="97">
        <f>(($C$2)*47.59%/13*1)+(($C$2)*52.41%/11*11)</f>
        <v/>
      </c>
      <c r="J24" s="85">
        <f>+H24*10%+I24*10%</f>
        <v/>
      </c>
      <c r="K24" s="85">
        <f>+H24+J24+I24</f>
        <v/>
      </c>
      <c r="L24" s="83" t="n"/>
      <c r="M24" s="16">
        <f>+K24*L24</f>
        <v/>
      </c>
      <c r="N24" s="21">
        <f>+M24+K24</f>
        <v/>
      </c>
    </row>
    <row r="25" ht="71" customHeight="1" s="135" thickBot="1">
      <c r="A25" s="124" t="inlineStr">
        <is>
          <t>LETICIA</t>
        </is>
      </c>
      <c r="B25" s="124" t="inlineStr">
        <is>
          <t>SERVICIO DE VIGILANCIA PRIVADA CON ARMA, CON EQUIPOS DE COMUNICACIÓN DE 12 HORAS NOCTURNAS DIARIAS, TODO EL MES DE LUNES A DOMINGO, INCLUIDO FESTIVOS EN EL HORARIO DE 6:00 P.M. A 6:00 A.M.</t>
        </is>
      </c>
      <c r="C25" s="118" t="n"/>
      <c r="D25" s="118" t="n"/>
      <c r="E25" s="119" t="n"/>
      <c r="F25" s="46" t="n">
        <v>1</v>
      </c>
      <c r="G25" s="46" t="n">
        <v>1</v>
      </c>
      <c r="H25" s="84">
        <f>((10.21*$C$1)*47.59%/13*1)+((10.21*$C$1)*52.41%/11*11)</f>
        <v/>
      </c>
      <c r="I25" s="97">
        <f>(($C$2)*47.59%/13*1)+(($C$2)*52.41%/11*11)</f>
        <v/>
      </c>
      <c r="J25" s="85">
        <f>+H25*10%+I25*10%</f>
        <v/>
      </c>
      <c r="K25" s="85">
        <f>+H25+J25+I25</f>
        <v/>
      </c>
      <c r="L25" s="83" t="n">
        <v>0.019</v>
      </c>
      <c r="M25" s="16">
        <f>+K25*L25</f>
        <v/>
      </c>
      <c r="N25" s="21">
        <f>+M25+K25</f>
        <v/>
      </c>
    </row>
    <row r="26" hidden="1" ht="15.75" customHeight="1" s="135" thickBot="1">
      <c r="M26" s="87">
        <f>+SUM(M5:M25)</f>
        <v/>
      </c>
      <c r="N26" s="88" t="n"/>
    </row>
    <row r="27">
      <c r="J27" s="94" t="n"/>
      <c r="M27" s="29" t="inlineStr">
        <is>
          <t>TOTAL MENSUAL</t>
        </is>
      </c>
      <c r="N27" s="30">
        <f>SUM(N5:N26)</f>
        <v/>
      </c>
    </row>
    <row r="28">
      <c r="H28" s="89" t="n"/>
      <c r="I28" s="89" t="n"/>
      <c r="K28" s="32" t="n"/>
      <c r="M28" s="90" t="inlineStr">
        <is>
          <t>01 DICIEMBRE HASTA 24 DE DICIEMBRE</t>
        </is>
      </c>
      <c r="N28" s="91">
        <f>+N27/30</f>
        <v/>
      </c>
    </row>
    <row r="29" ht="30.75" customHeight="1" s="135" thickBot="1">
      <c r="H29" s="28" t="inlineStr">
        <is>
          <t>AIU</t>
        </is>
      </c>
      <c r="I29" s="28" t="n"/>
      <c r="J29" s="28">
        <f>SUM(J5:J27)</f>
        <v/>
      </c>
      <c r="K29" s="32" t="n"/>
      <c r="M29" s="34" t="inlineStr">
        <is>
          <t>DESDE 15 DE JULIO</t>
        </is>
      </c>
      <c r="N29" s="92">
        <f>+N28*16</f>
        <v/>
      </c>
    </row>
    <row r="30" ht="30.75" customHeight="1" s="135" thickBot="1">
      <c r="M30" s="34" t="inlineStr">
        <is>
          <t>DESDE 01 DE AGOSTO</t>
        </is>
      </c>
      <c r="N30" s="92">
        <f>+N27*5</f>
        <v/>
      </c>
    </row>
    <row r="31"/>
    <row r="32">
      <c r="N32" s="32">
        <f>+N29+N30</f>
        <v/>
      </c>
    </row>
  </sheetData>
  <autoFilter ref="A4:N30">
    <filterColumn colId="1" hiddenButton="0" showButton="0"/>
    <filterColumn colId="2" hiddenButton="0" showButton="0"/>
    <filterColumn colId="3" hiddenButton="0" showButton="0"/>
  </autoFilter>
  <mergeCells count="22">
    <mergeCell ref="B9:E9"/>
    <mergeCell ref="B6:E6"/>
    <mergeCell ref="B15:E15"/>
    <mergeCell ref="B24:E24"/>
    <mergeCell ref="B5:E5"/>
    <mergeCell ref="B20:E20"/>
    <mergeCell ref="B4:E4"/>
    <mergeCell ref="B16:E16"/>
    <mergeCell ref="B7:E7"/>
    <mergeCell ref="B25:E25"/>
    <mergeCell ref="B22:E22"/>
    <mergeCell ref="B18:E18"/>
    <mergeCell ref="B12:E12"/>
    <mergeCell ref="B21:E21"/>
    <mergeCell ref="B11:E11"/>
    <mergeCell ref="B14:E14"/>
    <mergeCell ref="B23:E23"/>
    <mergeCell ref="B17:E17"/>
    <mergeCell ref="B8:E8"/>
    <mergeCell ref="B13:E13"/>
    <mergeCell ref="B19:E19"/>
    <mergeCell ref="B10:E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G41"/>
  <sheetViews>
    <sheetView showGridLines="0" tabSelected="1" zoomScale="50" zoomScaleNormal="70" zoomScalePageLayoutView="80" workbookViewId="0">
      <selection activeCell="E33" sqref="E33"/>
    </sheetView>
  </sheetViews>
  <sheetFormatPr baseColWidth="10" defaultRowHeight="15"/>
  <cols>
    <col width="29" customWidth="1" style="68" min="1" max="1"/>
    <col width="19.1640625" bestFit="1" customWidth="1" style="133" min="2" max="2"/>
    <col width="8.6640625" bestFit="1" customWidth="1" style="133" min="3" max="3"/>
    <col width="14" bestFit="1" customWidth="1" style="133" min="4" max="4"/>
    <col width="14.1640625" bestFit="1" customWidth="1" style="133" min="5" max="5"/>
    <col width="14.1640625" customWidth="1" style="132" min="6" max="6"/>
    <col width="13" customWidth="1" style="132" min="7" max="7"/>
    <col hidden="1" width="14.6640625" customWidth="1" style="133" min="8" max="8"/>
    <col hidden="1" width="13" customWidth="1" style="133" min="9" max="9"/>
    <col hidden="1" width="14.6640625" customWidth="1" style="133" min="10" max="10"/>
    <col hidden="1" width="13" customWidth="1" style="133" min="11" max="12"/>
    <col hidden="1" width="21.5" customWidth="1" style="133" min="13" max="13"/>
    <col width="25.1640625" customWidth="1" style="135" min="14" max="14"/>
    <col width="28" customWidth="1" style="135" min="15" max="15"/>
    <col width="25.6640625" customWidth="1" style="135" min="16" max="16"/>
    <col width="16" customWidth="1" style="135" min="17" max="18"/>
    <col width="17.6640625" customWidth="1" style="135" min="19" max="19"/>
    <col width="26" customWidth="1" style="135" min="20" max="20"/>
    <col width="16" customWidth="1" style="135" min="21" max="21"/>
    <col width="28" customWidth="1" style="135" min="22" max="22"/>
    <col width="23.6640625" customWidth="1" style="135" min="23" max="23"/>
    <col width="16" customWidth="1" style="135" min="24" max="26"/>
    <col width="32" customWidth="1" style="135" min="27" max="27"/>
    <col hidden="1" width="16" customWidth="1" style="135" min="28" max="32"/>
    <col hidden="1" width="3.33203125" customWidth="1" style="135" min="33" max="33"/>
  </cols>
  <sheetData>
    <row r="1" ht="47" customHeight="1" s="135"/>
    <row r="2" ht="24" customHeight="1" s="135">
      <c r="A2" s="125" t="inlineStr">
        <is>
          <t>OPERACIÓN</t>
        </is>
      </c>
      <c r="B2" s="131" t="n">
        <v>57396989</v>
      </c>
      <c r="C2" s="118" t="n"/>
      <c r="D2" s="118" t="n"/>
      <c r="E2" s="119" t="n"/>
      <c r="N2" s="150" t="n">
        <v>1750905</v>
      </c>
      <c r="O2" s="150" t="n"/>
      <c r="P2" s="150">
        <f>+N2*1.069</f>
        <v/>
      </c>
    </row>
    <row r="3" ht="52.25" customHeight="1" s="135">
      <c r="A3" s="125" t="inlineStr">
        <is>
          <t>SUBYACENTE</t>
        </is>
      </c>
      <c r="B3" s="128" t="inlineStr">
        <is>
          <t>SERVICIO DE VIGILANCIA</t>
        </is>
      </c>
      <c r="C3" s="118" t="n"/>
      <c r="D3" s="118" t="n"/>
      <c r="E3" s="119" t="n"/>
      <c r="N3" s="150" t="n"/>
      <c r="O3" s="151" t="inlineStr">
        <is>
          <t>SMMLV 2027 PROYECTADO</t>
        </is>
      </c>
      <c r="P3" s="150" t="n">
        <v>1871717.445</v>
      </c>
    </row>
    <row r="4" ht="30.5" customHeight="1" s="135">
      <c r="A4" s="125" t="inlineStr">
        <is>
          <t>FECHA DE COMPRA</t>
        </is>
      </c>
      <c r="B4" s="127" t="n">
        <v>45246</v>
      </c>
      <c r="C4" s="118" t="n"/>
      <c r="D4" s="118" t="n"/>
      <c r="E4" s="119" t="n"/>
      <c r="O4" t="inlineStr">
        <is>
          <t>SEGURO DE VIDA</t>
        </is>
      </c>
      <c r="P4" s="149">
        <f>Hoja1!E4</f>
        <v/>
      </c>
    </row>
    <row r="5" ht="47" customHeight="1" s="135" thickBot="1">
      <c r="A5" s="125" t="inlineStr">
        <is>
          <t>VALOR TOTAL ANTES DE IVA</t>
        </is>
      </c>
      <c r="B5" s="126" t="n">
        <v>8939966638</v>
      </c>
      <c r="C5" s="118" t="n"/>
      <c r="D5" s="118" t="n"/>
      <c r="E5" s="119" t="n"/>
      <c r="F5" s="75" t="n"/>
    </row>
    <row r="6" ht="16" customHeight="1" s="135">
      <c r="H6" s="53" t="inlineStr">
        <is>
          <t>DEL 15 DE JULIO AL 31  DE DICIEMBRE 2026</t>
        </is>
      </c>
      <c r="I6" s="54" t="n"/>
      <c r="J6" s="54" t="n"/>
      <c r="K6" s="54" t="n"/>
      <c r="L6" s="54" t="n"/>
      <c r="M6" s="55" t="n"/>
      <c r="N6" s="56" t="inlineStr">
        <is>
          <t>01 AL 30 DE JUNIO</t>
        </is>
      </c>
      <c r="O6" s="56" t="n"/>
      <c r="P6" s="57" t="n"/>
      <c r="Q6" s="57" t="n"/>
      <c r="R6" s="57" t="n"/>
      <c r="S6" s="57" t="n"/>
      <c r="T6" s="57" t="n"/>
      <c r="U6" s="58" t="inlineStr">
        <is>
          <t>A PARTIR DEL 01 DE JULIO 2027</t>
        </is>
      </c>
      <c r="V6" s="58" t="n"/>
      <c r="W6" s="59" t="n"/>
      <c r="X6" s="59" t="n"/>
      <c r="Y6" s="59" t="n"/>
      <c r="Z6" s="59" t="n"/>
      <c r="AA6" s="59" t="n"/>
      <c r="AB6" s="47" t="inlineStr">
        <is>
          <t>DEL 15 DE JULIO AL 31  DE DICIEMBRE</t>
        </is>
      </c>
      <c r="AC6" s="2" t="n"/>
      <c r="AD6" s="2" t="n"/>
      <c r="AE6" s="2" t="n"/>
      <c r="AF6" s="2" t="n"/>
      <c r="AG6" s="3" t="n"/>
    </row>
    <row r="7" ht="101" customHeight="1" s="135">
      <c r="A7" s="125" t="inlineStr">
        <is>
          <t>ITEM</t>
        </is>
      </c>
      <c r="B7" s="125" t="inlineStr">
        <is>
          <t>Descripcion del item</t>
        </is>
      </c>
      <c r="C7" s="118" t="n"/>
      <c r="D7" s="118" t="n"/>
      <c r="E7" s="119" t="n"/>
      <c r="F7" s="125" t="inlineStr">
        <is>
          <t>Unidad de Medida</t>
        </is>
      </c>
      <c r="G7" s="125" t="inlineStr">
        <is>
          <t>Cantidad</t>
        </is>
      </c>
      <c r="H7" s="4" t="inlineStr">
        <is>
          <t>TARIFA 2026
(DESDE 15 DE JULIO AL 31 DE DICIEMBRE 2026)</t>
        </is>
      </c>
      <c r="I7" s="4" t="inlineStr">
        <is>
          <t>% DE GASTOS ADMINISTRATIVOS Y SUPERVISIÓN</t>
        </is>
      </c>
      <c r="J7" s="4" t="inlineStr">
        <is>
          <t>Valor Producto</t>
        </is>
      </c>
      <c r="K7" s="4" t="inlineStr">
        <is>
          <t>% IVA Producto</t>
        </is>
      </c>
      <c r="L7" s="4" t="inlineStr">
        <is>
          <t>IVA Producto</t>
        </is>
      </c>
      <c r="M7" s="4" t="inlineStr">
        <is>
          <t>Valor total con IVA</t>
        </is>
      </c>
      <c r="N7" s="4" t="inlineStr">
        <is>
          <t>TARIFA 2027
(DESDE 01 DE ENERO AL 30 DE JUNIO DE 2027)</t>
        </is>
      </c>
      <c r="O7" s="4" t="inlineStr">
        <is>
          <t>VALOR PRIMA SEGURO COLECTIVO INCLUIDO VARIABLE DE PROPORCIONALIDAD, EN CASO DE APLICAR</t>
        </is>
      </c>
      <c r="P7" s="4" t="inlineStr">
        <is>
          <t>% DE GASTOS ADMINISTRATIVOS Y SUPERVISIÓN</t>
        </is>
      </c>
      <c r="Q7" s="4" t="inlineStr">
        <is>
          <t>Valor Producto</t>
        </is>
      </c>
      <c r="R7" s="4" t="inlineStr">
        <is>
          <t>% IVA Producto</t>
        </is>
      </c>
      <c r="S7" s="4" t="inlineStr">
        <is>
          <t>IVA Producto</t>
        </is>
      </c>
      <c r="T7" s="4" t="inlineStr">
        <is>
          <t>Valor total con IVA</t>
        </is>
      </c>
      <c r="U7" s="5" t="inlineStr">
        <is>
          <t>TARIFA 2027
(A PARTIR DEL 01 DE JULIO)</t>
        </is>
      </c>
      <c r="V7" s="4" t="inlineStr">
        <is>
          <t>VALOR PRIMA SEGURO COLECTIVO INCLUIDO VARIABLE DE PROPORCIONALIDAD, EN CASO DE APLICAR</t>
        </is>
      </c>
      <c r="W7" s="5" t="inlineStr">
        <is>
          <t>% DE GASTOS ADMINISTRATIVOS Y SUPERVISIÓN</t>
        </is>
      </c>
      <c r="X7" s="5" t="inlineStr">
        <is>
          <t>Valor Producto</t>
        </is>
      </c>
      <c r="Y7" s="5" t="inlineStr">
        <is>
          <t>% IVA Producto</t>
        </is>
      </c>
      <c r="Z7" s="5" t="inlineStr">
        <is>
          <t>IVA Producto</t>
        </is>
      </c>
      <c r="AA7" s="5" t="inlineStr">
        <is>
          <t>Valor total con IVA</t>
        </is>
      </c>
      <c r="AB7" s="48" t="inlineStr">
        <is>
          <t>TARIFA 2026
(DESDE 01 DE ENERO AL 30 DE JUNIO DE 2026)</t>
        </is>
      </c>
      <c r="AC7" s="7" t="inlineStr">
        <is>
          <t>% DE GASTOS ADMINISTRATIVOS Y SUPERVISIÓN</t>
        </is>
      </c>
      <c r="AD7" s="7" t="inlineStr">
        <is>
          <t>Valor Producto</t>
        </is>
      </c>
      <c r="AE7" s="7" t="inlineStr">
        <is>
          <t>% IVA Producto</t>
        </is>
      </c>
      <c r="AF7" s="7" t="inlineStr">
        <is>
          <t>IVA Producto</t>
        </is>
      </c>
      <c r="AG7" s="8" t="inlineStr">
        <is>
          <t>Valor total con IVA</t>
        </is>
      </c>
    </row>
    <row r="8" ht="60.75" customHeight="1" s="135">
      <c r="A8" s="124" t="inlineStr">
        <is>
          <t>PUERTA PRINCIPAL</t>
        </is>
      </c>
      <c r="B8" s="124" t="inlineStr">
        <is>
          <t>SERVICIO DE VIGILANCIA PRIVADA CON ARMA, CON EQUIPOS DE COMUNICACIÓN DE 24 HORAS DIARIAS, TODO EL MES DE LUNES A DOMINGO INCLUIDOS FESTIVOS.</t>
        </is>
      </c>
      <c r="C8" s="118" t="n"/>
      <c r="D8" s="118" t="n"/>
      <c r="E8" s="119" t="n"/>
      <c r="F8" s="46" t="n">
        <v>1</v>
      </c>
      <c r="G8" s="46" t="n">
        <v>1</v>
      </c>
      <c r="H8" s="43" t="n">
        <v>17878240.05</v>
      </c>
      <c r="I8" s="43" t="n">
        <v>1787824.005</v>
      </c>
      <c r="J8" s="43" t="n">
        <v>19666064.055</v>
      </c>
      <c r="K8" s="11" t="n">
        <v>0.019</v>
      </c>
      <c r="L8" s="12" t="n">
        <v>373655.2170450001</v>
      </c>
      <c r="M8" s="61" t="n">
        <v>20039719.272045</v>
      </c>
      <c r="N8" s="72">
        <f>(10.21*$P$3)</f>
        <v/>
      </c>
      <c r="O8" s="72">
        <f>$P$4*3</f>
        <v/>
      </c>
      <c r="P8" s="72">
        <f>+N8*10%+O8*10%</f>
        <v/>
      </c>
      <c r="Q8" s="72">
        <f>+N8+P8+O8</f>
        <v/>
      </c>
      <c r="R8" s="69" t="n">
        <v>0.019</v>
      </c>
      <c r="S8" s="70">
        <f>+Q8*R8</f>
        <v/>
      </c>
      <c r="T8" s="71">
        <f>+Q8+S8</f>
        <v/>
      </c>
      <c r="U8" s="72">
        <f>(10.38*$P$3)</f>
        <v/>
      </c>
      <c r="V8" s="72">
        <f>$P$4*3</f>
        <v/>
      </c>
      <c r="W8" s="72">
        <f>+U8*10%+V8*10%</f>
        <v/>
      </c>
      <c r="X8" s="72">
        <f>+U8+W8+V8</f>
        <v/>
      </c>
      <c r="Y8" s="69" t="n">
        <v>0.019</v>
      </c>
      <c r="Z8" s="70">
        <f>+X8*Y8</f>
        <v/>
      </c>
      <c r="AA8" s="71">
        <f>+X8+Z8</f>
        <v/>
      </c>
      <c r="AB8" s="49">
        <f>(10.21*1750905+1500)</f>
        <v/>
      </c>
      <c r="AC8" s="10">
        <f>+AB8*10%</f>
        <v/>
      </c>
      <c r="AD8" s="10">
        <f>+AB8+AC8</f>
        <v/>
      </c>
      <c r="AE8" s="11" t="n">
        <v>0.019</v>
      </c>
      <c r="AF8" s="12">
        <f>+AD8*AE8</f>
        <v/>
      </c>
      <c r="AG8" s="13">
        <f>+AD8+AF8</f>
        <v/>
      </c>
    </row>
    <row r="9" ht="68.25" customHeight="1" s="135">
      <c r="A9" s="124" t="inlineStr">
        <is>
          <t>PARQUEADERO</t>
        </is>
      </c>
      <c r="B9" s="124" t="inlineStr">
        <is>
          <t>SERVICIO DE VIGILANCIA PRIVADA CON ARMA, CON EQUIPOS DE COMUNICACIÓN DE 24 HORAS DIARIAS, TODO EL MES DE LUNES A DOMINGO INCLUIDOS FESTIVOS.</t>
        </is>
      </c>
      <c r="C9" s="118" t="n"/>
      <c r="D9" s="118" t="n"/>
      <c r="E9" s="119" t="n"/>
      <c r="F9" s="46" t="n">
        <v>1</v>
      </c>
      <c r="G9" s="46" t="n">
        <v>1</v>
      </c>
      <c r="H9" s="42" t="n">
        <v>17878240.05</v>
      </c>
      <c r="I9" s="42" t="n">
        <v>1787824.005</v>
      </c>
      <c r="J9" s="42" t="n">
        <v>19666064.055</v>
      </c>
      <c r="K9" s="15" t="n">
        <v>0.019</v>
      </c>
      <c r="L9" s="16" t="n">
        <v>373655.2170450001</v>
      </c>
      <c r="M9" s="62" t="n">
        <v>20039719.272045</v>
      </c>
      <c r="N9" s="72">
        <f>(10.21*$P$3)</f>
        <v/>
      </c>
      <c r="O9" s="72">
        <f>$P$4*3</f>
        <v/>
      </c>
      <c r="P9" s="72">
        <f>+N9*10%+O9*10%</f>
        <v/>
      </c>
      <c r="Q9" s="72">
        <f>+N9+P9+O9</f>
        <v/>
      </c>
      <c r="R9" s="15" t="n">
        <v>0.019</v>
      </c>
      <c r="S9" s="16">
        <f>+Q9*R9</f>
        <v/>
      </c>
      <c r="T9" s="62">
        <f>+Q9+S9</f>
        <v/>
      </c>
      <c r="U9" s="72">
        <f>(10.38*$P$3)</f>
        <v/>
      </c>
      <c r="V9" s="72">
        <f>$P$4*3</f>
        <v/>
      </c>
      <c r="W9" s="72">
        <f>+U9*10%+V9*10%</f>
        <v/>
      </c>
      <c r="X9" s="72">
        <f>+U9+W9+V9</f>
        <v/>
      </c>
      <c r="Y9" s="15" t="n">
        <v>0.019</v>
      </c>
      <c r="Z9" s="16">
        <f>+X9*Y9</f>
        <v/>
      </c>
      <c r="AA9" s="62">
        <f>+X9+Z9</f>
        <v/>
      </c>
      <c r="AB9" s="50">
        <f>(10.21*1750905+1500)</f>
        <v/>
      </c>
      <c r="AC9" s="14">
        <f>+AB9*10%</f>
        <v/>
      </c>
      <c r="AD9" s="14">
        <f>+AB9+AC9</f>
        <v/>
      </c>
      <c r="AE9" s="15" t="n">
        <v>0.019</v>
      </c>
      <c r="AF9" s="16">
        <f>+AD9*AE9</f>
        <v/>
      </c>
      <c r="AG9" s="17">
        <f>+AD9+AF9</f>
        <v/>
      </c>
    </row>
    <row r="10" ht="89" customHeight="1" s="135">
      <c r="A10" s="124" t="inlineStr">
        <is>
          <t>BIBLIOTECA</t>
        </is>
      </c>
      <c r="B10" s="124" t="inlineStr">
        <is>
          <t>SERVICIO DE VIGILANCIA PRIVADA CON ARMA, CON EQUIPOS DE COMUNICACIÓN DE 12 HORAS DIARIAS DIURNAS, TODO EL MES DE LUNES A VIERNES DÍAS HÁBILES EN EL HORARIO DE 6:00 A.M. A 6:00 P.M.</t>
        </is>
      </c>
      <c r="C10" s="118" t="n"/>
      <c r="D10" s="118" t="n"/>
      <c r="E10" s="119" t="n"/>
      <c r="F10" s="46" t="n">
        <v>1</v>
      </c>
      <c r="G10" s="46" t="n">
        <v>1</v>
      </c>
      <c r="H10" s="42" t="n">
        <v>5235556.024489233</v>
      </c>
      <c r="I10" s="42" t="n">
        <v>523555.6024489233</v>
      </c>
      <c r="J10" s="42" t="n">
        <v>5759111.626938157</v>
      </c>
      <c r="K10" s="15" t="n">
        <v>0.019</v>
      </c>
      <c r="L10" s="16" t="n">
        <v>109423.120911825</v>
      </c>
      <c r="M10" s="62" t="n">
        <v>5868534.747849982</v>
      </c>
      <c r="N10" s="14">
        <f>(10.21*$P$3)*47.59%/13*12/30*20</f>
        <v/>
      </c>
      <c r="O10" s="14">
        <f>($P$4)*47.59%/13*12/30*20</f>
        <v/>
      </c>
      <c r="P10" s="14">
        <f>N10*10%+O10*10%</f>
        <v/>
      </c>
      <c r="Q10" s="14">
        <f>N10+P10+O10</f>
        <v/>
      </c>
      <c r="R10" s="15" t="n">
        <v>0.019</v>
      </c>
      <c r="S10" s="16">
        <f>Q10*R10</f>
        <v/>
      </c>
      <c r="T10" s="62">
        <f>Q10+S10</f>
        <v/>
      </c>
      <c r="U10" s="14">
        <f>(10.38*$P$3)*47.59%/13*12/30*20</f>
        <v/>
      </c>
      <c r="V10" s="14">
        <f>($P$4)*47.59%/13*12/30*20</f>
        <v/>
      </c>
      <c r="W10" s="14">
        <f>U10*10%+V10*10%</f>
        <v/>
      </c>
      <c r="X10" s="72">
        <f>+U10+W10+V10</f>
        <v/>
      </c>
      <c r="Y10" s="15" t="n">
        <v>0.019</v>
      </c>
      <c r="Z10" s="16">
        <f>X10*Y10</f>
        <v/>
      </c>
      <c r="AA10" s="62">
        <f>X10+Z10</f>
        <v/>
      </c>
      <c r="AB10" s="50">
        <f>(10.21*1750905+500)*55.97%/15*12/30*20</f>
        <v/>
      </c>
      <c r="AC10" s="14">
        <f>AB10*10%</f>
        <v/>
      </c>
      <c r="AD10" s="14">
        <f>AB10+AC10</f>
        <v/>
      </c>
      <c r="AE10" s="15" t="n">
        <v>0.019</v>
      </c>
      <c r="AF10" s="16">
        <f>AD10*AE10</f>
        <v/>
      </c>
      <c r="AG10" s="17">
        <f>AD10+AF10</f>
        <v/>
      </c>
    </row>
    <row r="11" ht="70.25" customHeight="1" s="135">
      <c r="A11" s="124" t="inlineStr">
        <is>
          <t>MONITOREO CCTV</t>
        </is>
      </c>
      <c r="B11" s="124" t="inlineStr">
        <is>
          <t>SERVICIO DE VIGILANCIA PRIVADA CON ARMA, CON EQUIPOS DE COMUNICACIÓN DE 24 HORAS DIARIAS, TODO EL MES DE LUNES A DOMINGO INCLUIDOS FESTIVOS.</t>
        </is>
      </c>
      <c r="C11" s="118" t="n"/>
      <c r="D11" s="118" t="n"/>
      <c r="E11" s="119" t="n"/>
      <c r="F11" s="46" t="n">
        <v>1</v>
      </c>
      <c r="G11" s="46" t="n">
        <v>1</v>
      </c>
      <c r="H11" s="42" t="n">
        <v>17878240.05</v>
      </c>
      <c r="I11" s="42" t="n">
        <v>1787824.005</v>
      </c>
      <c r="J11" s="42" t="n">
        <v>19666064.055</v>
      </c>
      <c r="K11" s="15" t="n">
        <v>0.019</v>
      </c>
      <c r="L11" s="16" t="n">
        <v>373655.2170450001</v>
      </c>
      <c r="M11" s="63" t="n">
        <v>20039719.272045</v>
      </c>
      <c r="N11" s="72">
        <f>(10.21*$P$3)</f>
        <v/>
      </c>
      <c r="O11" s="72">
        <f>$P$4*3</f>
        <v/>
      </c>
      <c r="P11" s="72">
        <f>+N11*10%+O11*10%</f>
        <v/>
      </c>
      <c r="Q11" s="72">
        <f>+N11+P11+O11</f>
        <v/>
      </c>
      <c r="R11" s="15" t="n">
        <v>0.019</v>
      </c>
      <c r="S11" s="16">
        <f>+Q11*R11</f>
        <v/>
      </c>
      <c r="T11" s="63">
        <f>+Q11+S11</f>
        <v/>
      </c>
      <c r="U11" s="72">
        <f>(10.38*$P$3)</f>
        <v/>
      </c>
      <c r="V11" s="72">
        <f>$P$4*3</f>
        <v/>
      </c>
      <c r="W11" s="72">
        <f>+U11*10%+V11*10%</f>
        <v/>
      </c>
      <c r="X11" s="72">
        <f>+U11+W11+V11</f>
        <v/>
      </c>
      <c r="Y11" s="15" t="n">
        <v>0.019</v>
      </c>
      <c r="Z11" s="16">
        <f>+X11*Y11</f>
        <v/>
      </c>
      <c r="AA11" s="63">
        <f>+X11+Z11</f>
        <v/>
      </c>
      <c r="AB11" s="50">
        <f>(10.21*1750905+1500)</f>
        <v/>
      </c>
      <c r="AC11" s="14">
        <f>+AB11*10%</f>
        <v/>
      </c>
      <c r="AD11" s="14">
        <f>+AB11+AC11</f>
        <v/>
      </c>
      <c r="AE11" s="15" t="n">
        <v>0.019</v>
      </c>
      <c r="AF11" s="16">
        <f>+AD11*AE11</f>
        <v/>
      </c>
      <c r="AG11" s="45">
        <f>+AD11+AF11</f>
        <v/>
      </c>
    </row>
    <row r="12" ht="77" customHeight="1" s="135">
      <c r="A12" s="124" t="inlineStr">
        <is>
          <t>RECEPCIONISTA PUERTA PPAL</t>
        </is>
      </c>
      <c r="B12" s="124" t="inlineStr">
        <is>
          <t>SERVICIO DE VIGILANCIA PRIVADA CON ARMA, CON EQUIPOS DE COMUNICACIÓN DE 12 HORAS DIARIAS DIURNAS TODO EL MES, DE LUNES A VIERNES DÍAS HÁBILES EN EL HORARIO DE 6:00 A.M. A 6:00 P.M.</t>
        </is>
      </c>
      <c r="C12" s="118" t="n"/>
      <c r="D12" s="118" t="n"/>
      <c r="E12" s="119" t="n"/>
      <c r="F12" s="46" t="n">
        <v>1</v>
      </c>
      <c r="G12" s="46" t="n">
        <v>1</v>
      </c>
      <c r="H12" s="42" t="n">
        <v>5235556.024489233</v>
      </c>
      <c r="I12" s="42" t="n">
        <v>523555.6024489233</v>
      </c>
      <c r="J12" s="42" t="n">
        <v>5759111.626938157</v>
      </c>
      <c r="K12" s="15" t="n">
        <v>0.019</v>
      </c>
      <c r="L12" s="16" t="n">
        <v>109423.120911825</v>
      </c>
      <c r="M12" s="62" t="n">
        <v>5868534.747849982</v>
      </c>
      <c r="N12" s="14">
        <f>(10.21*$P$3)*47.59%/13*12/30*20</f>
        <v/>
      </c>
      <c r="O12" s="14">
        <f>($P$4)*47.59%/13*12/30*20</f>
        <v/>
      </c>
      <c r="P12" s="14">
        <f>N12*10%+O12*10%</f>
        <v/>
      </c>
      <c r="Q12" s="14">
        <f>N12+P12+O12</f>
        <v/>
      </c>
      <c r="R12" s="15" t="n">
        <v>0.019</v>
      </c>
      <c r="S12" s="16">
        <f>Q12*R12</f>
        <v/>
      </c>
      <c r="T12" s="62">
        <f>Q12+S12</f>
        <v/>
      </c>
      <c r="U12" s="14">
        <f>(10.38*$P$3)*47.59%/13*12/30*20</f>
        <v/>
      </c>
      <c r="V12" s="14">
        <f>($P$4)*47.59%/13*12/30*20</f>
        <v/>
      </c>
      <c r="W12" s="14">
        <f>U12*10%+V12*10%</f>
        <v/>
      </c>
      <c r="X12" s="72">
        <f>+U12+W12+V12</f>
        <v/>
      </c>
      <c r="Y12" s="15" t="n">
        <v>0.019</v>
      </c>
      <c r="Z12" s="16">
        <f>X12*Y12</f>
        <v/>
      </c>
      <c r="AA12" s="62">
        <f>X12+Z12</f>
        <v/>
      </c>
      <c r="AB12" s="50">
        <f>(10.21*1750905+500)*55.97%/15*12/30*20</f>
        <v/>
      </c>
      <c r="AC12" s="14">
        <f>AB12*10%</f>
        <v/>
      </c>
      <c r="AD12" s="14">
        <f>AB12+AC12</f>
        <v/>
      </c>
      <c r="AE12" s="15" t="n">
        <v>0.019</v>
      </c>
      <c r="AF12" s="16">
        <f>AD12*AE12</f>
        <v/>
      </c>
      <c r="AG12" s="17">
        <f>AD12+AF12</f>
        <v/>
      </c>
    </row>
    <row r="13" ht="84.5" customHeight="1" s="135">
      <c r="A13" s="124" t="inlineStr">
        <is>
          <t>RECORREDOR</t>
        </is>
      </c>
      <c r="B13" s="124" t="inlineStr">
        <is>
          <t>SERVICIO DE VIGILANCIA PRIVADA CON ARMA, CON EQUIPOS DE COMUNICACIÓN DE 12 HORAS DIARIAS DIURNAS TODO EL MES, DE LUNES A VIERNES DÍAS HÁBILES EN EL HORARIO DE 6:00 A.M. A 6:00 P.M.</t>
        </is>
      </c>
      <c r="C13" s="118" t="n"/>
      <c r="D13" s="118" t="n"/>
      <c r="E13" s="119" t="n"/>
      <c r="F13" s="46" t="n">
        <v>1</v>
      </c>
      <c r="G13" s="46" t="n">
        <v>1</v>
      </c>
      <c r="H13" s="42" t="n">
        <v>5235556.024489233</v>
      </c>
      <c r="I13" s="42" t="n">
        <v>523555.6024489233</v>
      </c>
      <c r="J13" s="42" t="n">
        <v>5759111.626938157</v>
      </c>
      <c r="K13" s="15" t="n">
        <v>0.019</v>
      </c>
      <c r="L13" s="16" t="n">
        <v>109423.120911825</v>
      </c>
      <c r="M13" s="62" t="n">
        <v>5868534.747849982</v>
      </c>
      <c r="N13" s="14">
        <f>(10.21*$P$3)*47.59%/13*12/30*20</f>
        <v/>
      </c>
      <c r="O13" s="14">
        <f>($P$4)*47.59%/13*12/30*20</f>
        <v/>
      </c>
      <c r="P13" s="14">
        <f>N13*10%+O13*10%</f>
        <v/>
      </c>
      <c r="Q13" s="14">
        <f>N13+P13+O13</f>
        <v/>
      </c>
      <c r="R13" s="15" t="n">
        <v>0.019</v>
      </c>
      <c r="S13" s="16">
        <f>Q13*R13</f>
        <v/>
      </c>
      <c r="T13" s="62">
        <f>Q13+S13</f>
        <v/>
      </c>
      <c r="U13" s="14">
        <f>(10.38*$P$3)*47.59%/13*12/30*20</f>
        <v/>
      </c>
      <c r="V13" s="14">
        <f>($P$4)*47.59%/13*12/30*20</f>
        <v/>
      </c>
      <c r="W13" s="14">
        <f>U13*10%+V13*10%</f>
        <v/>
      </c>
      <c r="X13" s="72">
        <f>+U13+W13+V13</f>
        <v/>
      </c>
      <c r="Y13" s="15" t="n">
        <v>0.019</v>
      </c>
      <c r="Z13" s="16">
        <f>X13*Y13</f>
        <v/>
      </c>
      <c r="AA13" s="62">
        <f>X13+Z13</f>
        <v/>
      </c>
      <c r="AB13" s="50">
        <f>(10.21*1750905+500)*55.97%/15*12/30*20</f>
        <v/>
      </c>
      <c r="AC13" s="14">
        <f>AB13*10%</f>
        <v/>
      </c>
      <c r="AD13" s="14">
        <f>AB13+AC13</f>
        <v/>
      </c>
      <c r="AE13" s="15" t="n">
        <v>0.019</v>
      </c>
      <c r="AF13" s="16">
        <f>AD13*AE13</f>
        <v/>
      </c>
      <c r="AG13" s="17">
        <f>AD13+AF13</f>
        <v/>
      </c>
    </row>
    <row r="14" ht="68" customHeight="1" s="135">
      <c r="A14" s="124" t="inlineStr">
        <is>
          <t xml:space="preserve">LABORATORIO CALIDAD AMBIENTAL </t>
        </is>
      </c>
      <c r="B14" s="124" t="inlineStr">
        <is>
          <t>SERVICIO DE VIGILANCIA PRIVADA CON ARMA, CON EQUIPOS DE COMUNICACIÓN DE 24 HORAS DIARIAS, TODO EL MES DE LUNES A DOMINGO INCLUIDOS FESTIVOS.</t>
        </is>
      </c>
      <c r="C14" s="118" t="n"/>
      <c r="D14" s="118" t="n"/>
      <c r="E14" s="119" t="n"/>
      <c r="F14" s="46" t="n">
        <v>1</v>
      </c>
      <c r="G14" s="46" t="n">
        <v>1</v>
      </c>
      <c r="H14" s="42" t="n">
        <v>17878240.05</v>
      </c>
      <c r="I14" s="42" t="n">
        <v>1787824.005</v>
      </c>
      <c r="J14" s="42" t="n">
        <v>19666064.055</v>
      </c>
      <c r="K14" s="15" t="n">
        <v>0.019</v>
      </c>
      <c r="L14" s="16" t="n">
        <v>373655.2170450001</v>
      </c>
      <c r="M14" s="62" t="n">
        <v>20039719.272045</v>
      </c>
      <c r="N14" s="72">
        <f>(10.21*$P$3)</f>
        <v/>
      </c>
      <c r="O14" s="72">
        <f>$P$4*3</f>
        <v/>
      </c>
      <c r="P14" s="72">
        <f>+N14*10%+O14*10%</f>
        <v/>
      </c>
      <c r="Q14" s="72">
        <f>+N14+P14+O14</f>
        <v/>
      </c>
      <c r="R14" s="15" t="n">
        <v>0.019</v>
      </c>
      <c r="S14" s="16">
        <f>+Q14*R14</f>
        <v/>
      </c>
      <c r="T14" s="62">
        <f>+Q14+S14</f>
        <v/>
      </c>
      <c r="U14" s="72">
        <f>(10.38*$P$3)</f>
        <v/>
      </c>
      <c r="V14" s="72">
        <f>$P$4*3</f>
        <v/>
      </c>
      <c r="W14" s="72">
        <f>+U14*10%+V14*10%</f>
        <v/>
      </c>
      <c r="X14" s="72">
        <f>+U14+W14+V14</f>
        <v/>
      </c>
      <c r="Y14" s="15" t="n">
        <v>0.019</v>
      </c>
      <c r="Z14" s="16">
        <f>+X14*Y14</f>
        <v/>
      </c>
      <c r="AA14" s="62">
        <f>+X14+Z14</f>
        <v/>
      </c>
      <c r="AB14" s="50">
        <f>(10.21*1750905+1500)</f>
        <v/>
      </c>
      <c r="AC14" s="14">
        <f>+AB14*10%</f>
        <v/>
      </c>
      <c r="AD14" s="14">
        <f>+AB14+AC14</f>
        <v/>
      </c>
      <c r="AE14" s="15" t="n">
        <v>0.019</v>
      </c>
      <c r="AF14" s="16">
        <f>+AD14*AE14</f>
        <v/>
      </c>
      <c r="AG14" s="17">
        <f>+AD14+AF14</f>
        <v/>
      </c>
    </row>
    <row r="15" ht="72" customHeight="1" s="135">
      <c r="A15" s="124" t="inlineStr">
        <is>
          <t>MEDELLIN</t>
        </is>
      </c>
      <c r="B15" s="124" t="inlineStr">
        <is>
          <t>SERVICIO DE VIGILANCIA PRIVADA CON ARMA, CON EQUIPOS DE COMUNICACIÓN DE 24 HORAS DIARIAS, TODO EL MES DE LUNES A DOMINGO INCLUIDOS FESTIVOS.</t>
        </is>
      </c>
      <c r="C15" s="118" t="n"/>
      <c r="D15" s="118" t="n"/>
      <c r="E15" s="119" t="n"/>
      <c r="F15" s="46" t="n">
        <v>1</v>
      </c>
      <c r="G15" s="46" t="n">
        <v>1</v>
      </c>
      <c r="H15" s="42" t="n">
        <v>17878240.05</v>
      </c>
      <c r="I15" s="42" t="n">
        <v>1787824.005</v>
      </c>
      <c r="J15" s="42" t="n">
        <v>19666064.055</v>
      </c>
      <c r="K15" s="15" t="n">
        <v>0.019</v>
      </c>
      <c r="L15" s="16" t="n">
        <v>373655.2170450001</v>
      </c>
      <c r="M15" s="62" t="n">
        <v>20039719.272045</v>
      </c>
      <c r="N15" s="72">
        <f>(10.21*$P$3)</f>
        <v/>
      </c>
      <c r="O15" s="72">
        <f>$P$4*3</f>
        <v/>
      </c>
      <c r="P15" s="72">
        <f>+N15*10%+O15*10%</f>
        <v/>
      </c>
      <c r="Q15" s="72">
        <f>+N15+P15+O15</f>
        <v/>
      </c>
      <c r="R15" s="15" t="n">
        <v>0.019</v>
      </c>
      <c r="S15" s="16">
        <f>+Q15*R15</f>
        <v/>
      </c>
      <c r="T15" s="62">
        <f>+Q15+S15</f>
        <v/>
      </c>
      <c r="U15" s="72">
        <f>(10.38*$P$3)</f>
        <v/>
      </c>
      <c r="V15" s="72">
        <f>$P$4*3</f>
        <v/>
      </c>
      <c r="W15" s="72">
        <f>+U15*10%+V15*10%</f>
        <v/>
      </c>
      <c r="X15" s="72">
        <f>+U15+W15+V15</f>
        <v/>
      </c>
      <c r="Y15" s="15" t="n">
        <v>0.019</v>
      </c>
      <c r="Z15" s="16">
        <f>+X15*Y15</f>
        <v/>
      </c>
      <c r="AA15" s="62">
        <f>+X15+Z15</f>
        <v/>
      </c>
      <c r="AB15" s="50">
        <f>(10.21*1750905+1500)</f>
        <v/>
      </c>
      <c r="AC15" s="14">
        <f>+AB15*10%</f>
        <v/>
      </c>
      <c r="AD15" s="14">
        <f>+AB15+AC15</f>
        <v/>
      </c>
      <c r="AE15" s="15" t="n">
        <v>0.019</v>
      </c>
      <c r="AF15" s="16">
        <f>+AD15*AE15</f>
        <v/>
      </c>
      <c r="AG15" s="17">
        <f>+AD15+AF15</f>
        <v/>
      </c>
    </row>
    <row r="16" ht="62" customHeight="1" s="135">
      <c r="A16" s="124" t="inlineStr">
        <is>
          <t>BARRANQUILLA</t>
        </is>
      </c>
      <c r="B16" s="124" t="inlineStr">
        <is>
          <t>SERVICIO DE VIGILANCIA PRIVADA CON ARMA, CON EQUIPOS DE COMUNICACIÓN DE 24 HORAS DIARIAS, TODO EL MES DE LUNES A DOMINGO INCLUIDOS FESTIVOS.</t>
        </is>
      </c>
      <c r="C16" s="118" t="n"/>
      <c r="D16" s="118" t="n"/>
      <c r="E16" s="119" t="n"/>
      <c r="F16" s="46" t="n">
        <v>1</v>
      </c>
      <c r="G16" s="46" t="n">
        <v>1</v>
      </c>
      <c r="H16" s="42" t="n">
        <v>17878240.05</v>
      </c>
      <c r="I16" s="42" t="n">
        <v>1787824.005</v>
      </c>
      <c r="J16" s="42" t="n">
        <v>19666064.055</v>
      </c>
      <c r="K16" s="15" t="n">
        <v>0.019</v>
      </c>
      <c r="L16" s="16" t="n">
        <v>373655.2170450001</v>
      </c>
      <c r="M16" s="62" t="n">
        <v>20039719.272045</v>
      </c>
      <c r="N16" s="72">
        <f>(10.21*$P$3)</f>
        <v/>
      </c>
      <c r="O16" s="72">
        <f>$P$4*3</f>
        <v/>
      </c>
      <c r="P16" s="72">
        <f>+N16*10%+O16*10%</f>
        <v/>
      </c>
      <c r="Q16" s="72">
        <f>+N16+P16+O16</f>
        <v/>
      </c>
      <c r="R16" s="15" t="n">
        <v>0.019</v>
      </c>
      <c r="S16" s="16">
        <f>+Q16*R16</f>
        <v/>
      </c>
      <c r="T16" s="62">
        <f>+Q16+S16</f>
        <v/>
      </c>
      <c r="U16" s="72">
        <f>(10.38*$P$3)</f>
        <v/>
      </c>
      <c r="V16" s="72">
        <f>$P$4*3</f>
        <v/>
      </c>
      <c r="W16" s="72">
        <f>+U16*10%+V16*10%</f>
        <v/>
      </c>
      <c r="X16" s="72">
        <f>+U16+W16+V16</f>
        <v/>
      </c>
      <c r="Y16" s="15" t="n">
        <v>0.019</v>
      </c>
      <c r="Z16" s="16">
        <f>+X16*Y16</f>
        <v/>
      </c>
      <c r="AA16" s="62">
        <f>+X16+Z16</f>
        <v/>
      </c>
      <c r="AB16" s="50">
        <f>(10.21*1750905+1500)</f>
        <v/>
      </c>
      <c r="AC16" s="14">
        <f>+AB16*10%</f>
        <v/>
      </c>
      <c r="AD16" s="14">
        <f>+AB16+AC16</f>
        <v/>
      </c>
      <c r="AE16" s="15" t="n">
        <v>0.019</v>
      </c>
      <c r="AF16" s="16">
        <f>+AD16*AE16</f>
        <v/>
      </c>
      <c r="AG16" s="17">
        <f>+AD16+AF16</f>
        <v/>
      </c>
    </row>
    <row r="17" ht="65" customHeight="1" s="135">
      <c r="A17" s="124" t="inlineStr">
        <is>
          <t xml:space="preserve">VILLAVICENCIO </t>
        </is>
      </c>
      <c r="B17" s="124" t="inlineStr">
        <is>
          <t>SERVICIO DE VIGILANCIA PRIVADA CON ARMA, CON EQUIPOS DE COMUNICACIÓN DE 24 HORAS DIARIAS, TODO EL MES DE LUNES A DOMINGO INCLUIDOS FESTIVOS.</t>
        </is>
      </c>
      <c r="C17" s="118" t="n"/>
      <c r="D17" s="118" t="n"/>
      <c r="E17" s="119" t="n"/>
      <c r="F17" s="46" t="n">
        <v>1</v>
      </c>
      <c r="G17" s="46" t="n">
        <v>1</v>
      </c>
      <c r="H17" s="42" t="n">
        <v>17878240.05</v>
      </c>
      <c r="I17" s="42" t="n">
        <v>1787824.005</v>
      </c>
      <c r="J17" s="42" t="n">
        <v>19666064.055</v>
      </c>
      <c r="K17" s="15" t="n">
        <v>0.019</v>
      </c>
      <c r="L17" s="16" t="n">
        <v>373655.2170450001</v>
      </c>
      <c r="M17" s="62" t="n">
        <v>20039719.272045</v>
      </c>
      <c r="N17" s="72">
        <f>(10.21*$P$3)</f>
        <v/>
      </c>
      <c r="O17" s="72">
        <f>$P$4*3</f>
        <v/>
      </c>
      <c r="P17" s="72">
        <f>+N17*10%+O17*10%</f>
        <v/>
      </c>
      <c r="Q17" s="72">
        <f>+N17+P17+O17</f>
        <v/>
      </c>
      <c r="R17" s="15" t="n">
        <v>0.019</v>
      </c>
      <c r="S17" s="16">
        <f>+Q17*R17</f>
        <v/>
      </c>
      <c r="T17" s="62">
        <f>+Q17+S17</f>
        <v/>
      </c>
      <c r="U17" s="72">
        <f>(10.38*$P$3)</f>
        <v/>
      </c>
      <c r="V17" s="72">
        <f>$P$4*3</f>
        <v/>
      </c>
      <c r="W17" s="72">
        <f>+U17*10%+V17*10%</f>
        <v/>
      </c>
      <c r="X17" s="72">
        <f>+U17+W17+V17</f>
        <v/>
      </c>
      <c r="Y17" s="15" t="n">
        <v>0.019</v>
      </c>
      <c r="Z17" s="16">
        <f>+X17*Y17</f>
        <v/>
      </c>
      <c r="AA17" s="62">
        <f>+X17+Z17</f>
        <v/>
      </c>
      <c r="AB17" s="50">
        <f>(10.21*1750905+1500)</f>
        <v/>
      </c>
      <c r="AC17" s="14">
        <f>+AB17*10%</f>
        <v/>
      </c>
      <c r="AD17" s="14">
        <f>+AB17+AC17</f>
        <v/>
      </c>
      <c r="AE17" s="15" t="n">
        <v>0.019</v>
      </c>
      <c r="AF17" s="16">
        <f>+AD17*AE17</f>
        <v/>
      </c>
      <c r="AG17" s="17">
        <f>+AD17+AF17</f>
        <v/>
      </c>
    </row>
    <row r="18" ht="71" customHeight="1" s="135">
      <c r="A18" s="124" t="inlineStr">
        <is>
          <t>NEIVA</t>
        </is>
      </c>
      <c r="B18" s="124" t="inlineStr">
        <is>
          <t>SERVICIO DE VIGILANCIA PRIVADA CON ARMA, CON EQUIPOS DE COMUNICACIÓN DE 24 HORAS DIARIAS, TODO EL MES DE LUNES A DOMINGO INCLUIDOS FESTIVOS.</t>
        </is>
      </c>
      <c r="C18" s="118" t="n"/>
      <c r="D18" s="118" t="n"/>
      <c r="E18" s="119" t="n"/>
      <c r="F18" s="46" t="n">
        <v>1</v>
      </c>
      <c r="G18" s="46" t="n">
        <v>1</v>
      </c>
      <c r="H18" s="42" t="n">
        <v>17878240.05</v>
      </c>
      <c r="I18" s="42" t="n">
        <v>1787824.005</v>
      </c>
      <c r="J18" s="42" t="n">
        <v>19666064.055</v>
      </c>
      <c r="K18" s="15" t="n">
        <v>0.019</v>
      </c>
      <c r="L18" s="16" t="n">
        <v>373655.2170450001</v>
      </c>
      <c r="M18" s="62" t="n">
        <v>20039719.272045</v>
      </c>
      <c r="N18" s="72">
        <f>(10.21*$P$3)</f>
        <v/>
      </c>
      <c r="O18" s="72">
        <f>$P$4*3</f>
        <v/>
      </c>
      <c r="P18" s="72">
        <f>+N18*10%+O18*10%</f>
        <v/>
      </c>
      <c r="Q18" s="72">
        <f>+N18+P18+O18</f>
        <v/>
      </c>
      <c r="R18" s="15" t="n">
        <v>0.019</v>
      </c>
      <c r="S18" s="16">
        <f>+Q18*R18</f>
        <v/>
      </c>
      <c r="T18" s="62">
        <f>+Q18+S18</f>
        <v/>
      </c>
      <c r="U18" s="72">
        <f>(10.38*$P$3)</f>
        <v/>
      </c>
      <c r="V18" s="72">
        <f>$P$4*3</f>
        <v/>
      </c>
      <c r="W18" s="72">
        <f>+U18*10%+V18*10%</f>
        <v/>
      </c>
      <c r="X18" s="72">
        <f>+U18+W18+V18</f>
        <v/>
      </c>
      <c r="Y18" s="15" t="n">
        <v>0.019</v>
      </c>
      <c r="Z18" s="16">
        <f>+X18*Y18</f>
        <v/>
      </c>
      <c r="AA18" s="62">
        <f>+X18+Z18</f>
        <v/>
      </c>
      <c r="AB18" s="50">
        <f>(10.21*1750905+1500)</f>
        <v/>
      </c>
      <c r="AC18" s="14">
        <f>+AB18*10%</f>
        <v/>
      </c>
      <c r="AD18" s="14">
        <f>+AB18+AC18</f>
        <v/>
      </c>
      <c r="AE18" s="15" t="n">
        <v>0.019</v>
      </c>
      <c r="AF18" s="16">
        <f>+AD18*AE18</f>
        <v/>
      </c>
      <c r="AG18" s="17">
        <f>+AD18+AF18</f>
        <v/>
      </c>
    </row>
    <row r="19" ht="59.75" customHeight="1" s="135">
      <c r="A19" s="124" t="inlineStr">
        <is>
          <t>SANTA MARTA</t>
        </is>
      </c>
      <c r="B19" s="124" t="inlineStr">
        <is>
          <t>SERVICIO DE VIGILANCIA PRIVADA CON ARMA, CON EQUIPOS DE COMUNICACIÓN DE 24 HORAS DIARIAS, TODO EL MES DE LUNES A DOMINGO INCLUIDOS FESTIVOS.</t>
        </is>
      </c>
      <c r="C19" s="118" t="n"/>
      <c r="D19" s="118" t="n"/>
      <c r="E19" s="119" t="n"/>
      <c r="F19" s="46" t="n">
        <v>1</v>
      </c>
      <c r="G19" s="46" t="n">
        <v>1</v>
      </c>
      <c r="H19" s="42" t="n">
        <v>17878240.05</v>
      </c>
      <c r="I19" s="42" t="n">
        <v>1787824.005</v>
      </c>
      <c r="J19" s="42" t="n">
        <v>19666064.055</v>
      </c>
      <c r="K19" s="15" t="n">
        <v>0.019</v>
      </c>
      <c r="L19" s="16" t="n">
        <v>373655.2170450001</v>
      </c>
      <c r="M19" s="62" t="n">
        <v>20039719.272045</v>
      </c>
      <c r="N19" s="72">
        <f>(10.21*$P$3)</f>
        <v/>
      </c>
      <c r="O19" s="72">
        <f>$P$4*3</f>
        <v/>
      </c>
      <c r="P19" s="72">
        <f>+N19*10%+O19*10%</f>
        <v/>
      </c>
      <c r="Q19" s="72">
        <f>+N19+P19+O19</f>
        <v/>
      </c>
      <c r="R19" s="15" t="n">
        <v>0.019</v>
      </c>
      <c r="S19" s="16">
        <f>+Q19*R19</f>
        <v/>
      </c>
      <c r="T19" s="62">
        <f>+Q19+S19</f>
        <v/>
      </c>
      <c r="U19" s="72">
        <f>(10.38*$P$3)</f>
        <v/>
      </c>
      <c r="V19" s="72">
        <f>$P$4*3</f>
        <v/>
      </c>
      <c r="W19" s="72">
        <f>+U19*10%+V19*10%</f>
        <v/>
      </c>
      <c r="X19" s="72">
        <f>+U19+W19+V19</f>
        <v/>
      </c>
      <c r="Y19" s="15" t="n">
        <v>0.019</v>
      </c>
      <c r="Z19" s="16">
        <f>+X19*Y19</f>
        <v/>
      </c>
      <c r="AA19" s="62">
        <f>+X19+Z19</f>
        <v/>
      </c>
      <c r="AB19" s="50">
        <f>(10.21*1750905+1500)</f>
        <v/>
      </c>
      <c r="AC19" s="14">
        <f>+AB19*10%</f>
        <v/>
      </c>
      <c r="AD19" s="14">
        <f>+AB19+AC19</f>
        <v/>
      </c>
      <c r="AE19" s="15" t="n">
        <v>0.019</v>
      </c>
      <c r="AF19" s="16">
        <f>+AD19*AE19</f>
        <v/>
      </c>
      <c r="AG19" s="17">
        <f>+AD19+AF19</f>
        <v/>
      </c>
    </row>
    <row r="20" ht="72.5" customHeight="1" s="135">
      <c r="A20" s="124" t="inlineStr">
        <is>
          <t>DUITAMA</t>
        </is>
      </c>
      <c r="B20" s="124" t="inlineStr">
        <is>
          <t>SERVICIO DE VIGILANCIA PRIVADA CON ARMA, CON EQUIPOS DE COMUNICACIÓN DE 24 HORAS DIARIAS, TODO EL MES DE LUNES A DOMINGO INCLUIDOS FESTIVOS.</t>
        </is>
      </c>
      <c r="C20" s="118" t="n"/>
      <c r="D20" s="118" t="n"/>
      <c r="E20" s="119" t="n"/>
      <c r="F20" s="46" t="n">
        <v>1</v>
      </c>
      <c r="G20" s="46" t="n">
        <v>1</v>
      </c>
      <c r="H20" s="42" t="n">
        <v>17878240.05</v>
      </c>
      <c r="I20" s="42" t="n">
        <v>1787824.005</v>
      </c>
      <c r="J20" s="42" t="n">
        <v>19666064.055</v>
      </c>
      <c r="K20" s="15" t="n">
        <v>0.019</v>
      </c>
      <c r="L20" s="16" t="n">
        <v>373655.2170450001</v>
      </c>
      <c r="M20" s="62" t="n">
        <v>20039719.272045</v>
      </c>
      <c r="N20" s="72">
        <f>(10.21*$P$3)</f>
        <v/>
      </c>
      <c r="O20" s="72">
        <f>$P$4*3</f>
        <v/>
      </c>
      <c r="P20" s="72">
        <f>+N20*10%+O20*10%</f>
        <v/>
      </c>
      <c r="Q20" s="72">
        <f>+N20+P20+O20</f>
        <v/>
      </c>
      <c r="R20" s="15" t="n">
        <v>0.019</v>
      </c>
      <c r="S20" s="16">
        <f>+Q20*R20</f>
        <v/>
      </c>
      <c r="T20" s="62">
        <f>+Q20+S20</f>
        <v/>
      </c>
      <c r="U20" s="72">
        <f>(10.38*$P$3)</f>
        <v/>
      </c>
      <c r="V20" s="72">
        <f>$P$4*3</f>
        <v/>
      </c>
      <c r="W20" s="72">
        <f>+U20*10%+V20*10%</f>
        <v/>
      </c>
      <c r="X20" s="72">
        <f>+U20+W20+V20</f>
        <v/>
      </c>
      <c r="Y20" s="15" t="n">
        <v>0.019</v>
      </c>
      <c r="Z20" s="16">
        <f>+X20*Y20</f>
        <v/>
      </c>
      <c r="AA20" s="62">
        <f>+X20+Z20</f>
        <v/>
      </c>
      <c r="AB20" s="50">
        <f>(10.21*1423500+1500)</f>
        <v/>
      </c>
      <c r="AC20" s="14">
        <f>+AB20*10%</f>
        <v/>
      </c>
      <c r="AD20" s="14">
        <f>+AB20+AC20</f>
        <v/>
      </c>
      <c r="AE20" s="15" t="n">
        <v>0.019</v>
      </c>
      <c r="AF20" s="16">
        <f>+AD20*AE20</f>
        <v/>
      </c>
      <c r="AG20" s="17">
        <f>+AD20+AF20</f>
        <v/>
      </c>
    </row>
    <row r="21" ht="69" customHeight="1" s="135">
      <c r="A21" s="124" t="inlineStr">
        <is>
          <t>PASTO</t>
        </is>
      </c>
      <c r="B21" s="124" t="inlineStr">
        <is>
          <t>SERVICIO DE VIGILANCIA PRIVADA CON ARMA, CON EQUIPOS DE COMUNICACIÓN DE 24 HORAS DIARIAS, TODO EL MES DE LUNES A DOMINGO INCLUIDOS FESTIVOS.</t>
        </is>
      </c>
      <c r="C21" s="118" t="n"/>
      <c r="D21" s="118" t="n"/>
      <c r="E21" s="119" t="n"/>
      <c r="F21" s="46" t="n">
        <v>1</v>
      </c>
      <c r="G21" s="46" t="n">
        <v>1</v>
      </c>
      <c r="H21" s="42" t="n">
        <v>17878240.05</v>
      </c>
      <c r="I21" s="42" t="n">
        <v>1787824.005</v>
      </c>
      <c r="J21" s="42" t="n">
        <v>19666064.055</v>
      </c>
      <c r="K21" s="15" t="n">
        <v>0.019</v>
      </c>
      <c r="L21" s="16" t="n">
        <v>373655.2170450001</v>
      </c>
      <c r="M21" s="62" t="n">
        <v>20039719.272045</v>
      </c>
      <c r="N21" s="72">
        <f>(10.21*$P$3)</f>
        <v/>
      </c>
      <c r="O21" s="72">
        <f>$P$4*3</f>
        <v/>
      </c>
      <c r="P21" s="72">
        <f>+N21*10%+O21*10%</f>
        <v/>
      </c>
      <c r="Q21" s="72">
        <f>+N21+P21+O21</f>
        <v/>
      </c>
      <c r="R21" s="15" t="n">
        <v>0.019</v>
      </c>
      <c r="S21" s="16">
        <f>+Q21*R21</f>
        <v/>
      </c>
      <c r="T21" s="62">
        <f>+Q21+S21</f>
        <v/>
      </c>
      <c r="U21" s="72">
        <f>(10.38*$P$3)</f>
        <v/>
      </c>
      <c r="V21" s="72">
        <f>$P$4*3</f>
        <v/>
      </c>
      <c r="W21" s="72">
        <f>+U21*10%+V21*10%</f>
        <v/>
      </c>
      <c r="X21" s="72">
        <f>+U21+W21+V21</f>
        <v/>
      </c>
      <c r="Y21" s="15" t="n">
        <v>0.019</v>
      </c>
      <c r="Z21" s="16">
        <f>+X21*Y21</f>
        <v/>
      </c>
      <c r="AA21" s="62">
        <f>+X21+Z21</f>
        <v/>
      </c>
      <c r="AB21" s="50">
        <f>(10.21*1750905+1500)</f>
        <v/>
      </c>
      <c r="AC21" s="14">
        <f>+AB21*10%</f>
        <v/>
      </c>
      <c r="AD21" s="14">
        <f>+AB21+AC21</f>
        <v/>
      </c>
      <c r="AE21" s="15" t="n">
        <v>0.019</v>
      </c>
      <c r="AF21" s="16">
        <f>+AD21*AE21</f>
        <v/>
      </c>
      <c r="AG21" s="17">
        <f>+AD21+AF21</f>
        <v/>
      </c>
    </row>
    <row r="22" ht="65" customHeight="1" s="135">
      <c r="A22" s="124" t="inlineStr">
        <is>
          <t>BUCARAMANGA</t>
        </is>
      </c>
      <c r="B22" s="124" t="inlineStr">
        <is>
          <t>SERVICIO DE VIGILANCIA PRIVADA CON ARMA, CON EQUIPOS DE COMUNICACIÓN DE 24 HORAS DIARIAS, TODO EL MES DE LUNES A DOMINGO INCLUIDOS FESTIVOS.</t>
        </is>
      </c>
      <c r="C22" s="118" t="n"/>
      <c r="D22" s="118" t="n"/>
      <c r="E22" s="119" t="n"/>
      <c r="F22" s="46" t="n">
        <v>1</v>
      </c>
      <c r="G22" s="46" t="n">
        <v>1</v>
      </c>
      <c r="H22" s="42" t="n">
        <v>17878240.05</v>
      </c>
      <c r="I22" s="42" t="n">
        <v>1787824.005</v>
      </c>
      <c r="J22" s="42" t="n">
        <v>19666064.055</v>
      </c>
      <c r="K22" s="15" t="n">
        <v>0.019</v>
      </c>
      <c r="L22" s="16" t="n">
        <v>373655.2170450001</v>
      </c>
      <c r="M22" s="62" t="n">
        <v>20039719.272045</v>
      </c>
      <c r="N22" s="72">
        <f>(10.21*$P$3)</f>
        <v/>
      </c>
      <c r="O22" s="72">
        <f>$P$4*3</f>
        <v/>
      </c>
      <c r="P22" s="72">
        <f>+N22*10%+O22*10%</f>
        <v/>
      </c>
      <c r="Q22" s="72">
        <f>+N22+P22+O22</f>
        <v/>
      </c>
      <c r="R22" s="15" t="n">
        <v>0.019</v>
      </c>
      <c r="S22" s="16">
        <f>+Q22*R22</f>
        <v/>
      </c>
      <c r="T22" s="62">
        <f>+Q22+S22</f>
        <v/>
      </c>
      <c r="U22" s="72">
        <f>(10.38*$P$3)</f>
        <v/>
      </c>
      <c r="V22" s="72">
        <f>$P$4*3</f>
        <v/>
      </c>
      <c r="W22" s="72">
        <f>+U22*10%+V22*10%</f>
        <v/>
      </c>
      <c r="X22" s="72">
        <f>+U22+W22+V22</f>
        <v/>
      </c>
      <c r="Y22" s="15" t="n">
        <v>0.019</v>
      </c>
      <c r="Z22" s="16">
        <f>+X22*Y22</f>
        <v/>
      </c>
      <c r="AA22" s="62">
        <f>+X22+Z22</f>
        <v/>
      </c>
      <c r="AB22" s="50">
        <f>(10.21*1750905+1500)</f>
        <v/>
      </c>
      <c r="AC22" s="14">
        <f>+AB22*10%</f>
        <v/>
      </c>
      <c r="AD22" s="14">
        <f>+AB22+AC22</f>
        <v/>
      </c>
      <c r="AE22" s="15" t="n">
        <v>0.019</v>
      </c>
      <c r="AF22" s="16">
        <f>+AD22*AE22</f>
        <v/>
      </c>
      <c r="AG22" s="17">
        <f>+AD22+AF22</f>
        <v/>
      </c>
    </row>
    <row r="23" ht="63" customHeight="1" s="135">
      <c r="A23" s="124" t="inlineStr">
        <is>
          <t xml:space="preserve">CALI </t>
        </is>
      </c>
      <c r="B23" s="124" t="inlineStr">
        <is>
          <t>SERVICIO DE VIGILANCIA PRIVADA CON ARMA, CON EQUIPOS DE COMUNICACIÓN DE 24 HORAS DIARIAS, TODO EL MES DE LUNES A DOMINGO INCLUIDOS FESTIVOS.</t>
        </is>
      </c>
      <c r="C23" s="118" t="n"/>
      <c r="D23" s="118" t="n"/>
      <c r="E23" s="119" t="n"/>
      <c r="F23" s="46" t="n">
        <v>1</v>
      </c>
      <c r="G23" s="46" t="n">
        <v>1</v>
      </c>
      <c r="H23" s="42" t="n">
        <v>17878240.05</v>
      </c>
      <c r="I23" s="42" t="n">
        <v>1787824.005</v>
      </c>
      <c r="J23" s="42" t="n">
        <v>19666064.055</v>
      </c>
      <c r="K23" s="15" t="n">
        <v>0.019</v>
      </c>
      <c r="L23" s="16" t="n">
        <v>373655.2170450001</v>
      </c>
      <c r="M23" s="62" t="n">
        <v>20039719.272045</v>
      </c>
      <c r="N23" s="72">
        <f>(10.21*$P$3)</f>
        <v/>
      </c>
      <c r="O23" s="72">
        <f>$P$4*3</f>
        <v/>
      </c>
      <c r="P23" s="72">
        <f>+N23*10%+O23*10%</f>
        <v/>
      </c>
      <c r="Q23" s="72">
        <f>+N23+P23+O23</f>
        <v/>
      </c>
      <c r="R23" s="15" t="n">
        <v>0.019</v>
      </c>
      <c r="S23" s="16">
        <f>+Q23*R23</f>
        <v/>
      </c>
      <c r="T23" s="62">
        <f>+Q23+S23</f>
        <v/>
      </c>
      <c r="U23" s="72">
        <f>(10.38*$P$3)</f>
        <v/>
      </c>
      <c r="V23" s="72">
        <f>$P$4*3</f>
        <v/>
      </c>
      <c r="W23" s="72">
        <f>+U23*10%+V23*10%</f>
        <v/>
      </c>
      <c r="X23" s="72">
        <f>+U23+W23+V23</f>
        <v/>
      </c>
      <c r="Y23" s="15" t="n">
        <v>0.019</v>
      </c>
      <c r="Z23" s="16">
        <f>+X23*Y23</f>
        <v/>
      </c>
      <c r="AA23" s="62">
        <f>+X23+Z23</f>
        <v/>
      </c>
      <c r="AB23" s="50">
        <f>(10.21*1750905+1500)</f>
        <v/>
      </c>
      <c r="AC23" s="14">
        <f>+AB23*10%</f>
        <v/>
      </c>
      <c r="AD23" s="14">
        <f>+AB23+AC23</f>
        <v/>
      </c>
      <c r="AE23" s="15" t="n">
        <v>0.019</v>
      </c>
      <c r="AF23" s="16">
        <f>+AD23*AE23</f>
        <v/>
      </c>
      <c r="AG23" s="17">
        <f>+AD23+AF23</f>
        <v/>
      </c>
    </row>
    <row r="24" ht="81" customHeight="1" s="135">
      <c r="A24" s="124" t="inlineStr">
        <is>
          <t xml:space="preserve">CALI </t>
        </is>
      </c>
      <c r="B24" s="124" t="inlineStr">
        <is>
          <t>SERVICIO DE VIGILANCIA PRIVADA CON ARMA, CON EQUIPOS DE COMUNICACIÓN DE 24 HORAS DIARIAS, TODO EL MES DE LUNES A DOMINGO INCLUIDOS FESTIVOS.</t>
        </is>
      </c>
      <c r="C24" s="118" t="n"/>
      <c r="D24" s="118" t="n"/>
      <c r="E24" s="119" t="n"/>
      <c r="F24" s="46" t="n">
        <v>1</v>
      </c>
      <c r="G24" s="46" t="n">
        <v>1</v>
      </c>
      <c r="H24" s="42" t="n">
        <v>17878240.05</v>
      </c>
      <c r="I24" s="42" t="n">
        <v>1787824.005</v>
      </c>
      <c r="J24" s="42" t="n">
        <v>19666064.055</v>
      </c>
      <c r="K24" s="15" t="n">
        <v>0.019</v>
      </c>
      <c r="L24" s="16" t="n">
        <v>373655.2170450001</v>
      </c>
      <c r="M24" s="62" t="n">
        <v>20039719.272045</v>
      </c>
      <c r="N24" s="72">
        <f>(10.21*$P$3)</f>
        <v/>
      </c>
      <c r="O24" s="72">
        <f>$P$4*3</f>
        <v/>
      </c>
      <c r="P24" s="72">
        <f>+N24*10%+O24*10%</f>
        <v/>
      </c>
      <c r="Q24" s="72">
        <f>+N24+P24+O24</f>
        <v/>
      </c>
      <c r="R24" s="15" t="n">
        <v>0.019</v>
      </c>
      <c r="S24" s="16">
        <f>+Q24*R24</f>
        <v/>
      </c>
      <c r="T24" s="62">
        <f>+Q24+S24</f>
        <v/>
      </c>
      <c r="U24" s="72">
        <f>(10.38*$P$3)</f>
        <v/>
      </c>
      <c r="V24" s="72">
        <f>$P$4*3</f>
        <v/>
      </c>
      <c r="W24" s="72">
        <f>+U24*10%+V24*10%</f>
        <v/>
      </c>
      <c r="X24" s="72">
        <f>+U24+W24+V24</f>
        <v/>
      </c>
      <c r="Y24" s="15" t="n">
        <v>0.019</v>
      </c>
      <c r="Z24" s="16">
        <f>+X24*Y24</f>
        <v/>
      </c>
      <c r="AA24" s="62">
        <f>+X24+Z24</f>
        <v/>
      </c>
      <c r="AB24" s="50">
        <f>(10.21*1750905+1500)</f>
        <v/>
      </c>
      <c r="AC24" s="14">
        <f>+AB24*10%</f>
        <v/>
      </c>
      <c r="AD24" s="14">
        <f>+AB24+AC24</f>
        <v/>
      </c>
      <c r="AE24" s="15" t="n">
        <v>0.019</v>
      </c>
      <c r="AF24" s="16">
        <f>+AD24*AE24</f>
        <v/>
      </c>
      <c r="AG24" s="17">
        <f>+AD24+AF24</f>
        <v/>
      </c>
    </row>
    <row r="25" ht="72.5" customHeight="1" s="135">
      <c r="A25" s="124" t="inlineStr">
        <is>
          <t xml:space="preserve">IBAGUE </t>
        </is>
      </c>
      <c r="B25" s="124" t="inlineStr">
        <is>
          <t>SERVICIO DE VIGILANCIA PRIVADA CON ARMA, CON EQUIPOS DE COMUNICACIÓN DE 24 HORAS DIARIAS, TODO EL MES DE LUNES A DOMINGO INCLUIDOS FESTIVOS.</t>
        </is>
      </c>
      <c r="C25" s="118" t="n"/>
      <c r="D25" s="118" t="n"/>
      <c r="E25" s="119" t="n"/>
      <c r="F25" s="46" t="n">
        <v>1</v>
      </c>
      <c r="G25" s="46" t="n">
        <v>1</v>
      </c>
      <c r="H25" s="42" t="n">
        <v>17878240.05</v>
      </c>
      <c r="I25" s="42" t="n">
        <v>1787824.005</v>
      </c>
      <c r="J25" s="42" t="n">
        <v>19666064.055</v>
      </c>
      <c r="K25" s="15" t="n">
        <v>0.019</v>
      </c>
      <c r="L25" s="16" t="n">
        <v>373655.2170450001</v>
      </c>
      <c r="M25" s="62" t="n">
        <v>20039719.272045</v>
      </c>
      <c r="N25" s="72">
        <f>(10.21*$P$3)</f>
        <v/>
      </c>
      <c r="O25" s="72">
        <f>$P$4*3</f>
        <v/>
      </c>
      <c r="P25" s="72">
        <f>+N25*10%+O25*10%</f>
        <v/>
      </c>
      <c r="Q25" s="72">
        <f>+N25+P25+O25</f>
        <v/>
      </c>
      <c r="R25" s="15" t="n">
        <v>0.019</v>
      </c>
      <c r="S25" s="16">
        <f>+Q25*R25</f>
        <v/>
      </c>
      <c r="T25" s="62">
        <f>+Q25+S25</f>
        <v/>
      </c>
      <c r="U25" s="72">
        <f>(10.38*$P$3)</f>
        <v/>
      </c>
      <c r="V25" s="72">
        <f>$P$4*3</f>
        <v/>
      </c>
      <c r="W25" s="72">
        <f>+U25*10%+V25*10%</f>
        <v/>
      </c>
      <c r="X25" s="72">
        <f>+U25+W25+V25</f>
        <v/>
      </c>
      <c r="Y25" s="15" t="n">
        <v>0.019</v>
      </c>
      <c r="Z25" s="16">
        <f>+X25*Y25</f>
        <v/>
      </c>
      <c r="AA25" s="62">
        <f>+X25+Z25</f>
        <v/>
      </c>
      <c r="AB25" s="50">
        <f>(10.21*1750905+1500)</f>
        <v/>
      </c>
      <c r="AC25" s="14">
        <f>+AB25*10%</f>
        <v/>
      </c>
      <c r="AD25" s="14">
        <f>+AB25+AC25</f>
        <v/>
      </c>
      <c r="AE25" s="15" t="n">
        <v>0.019</v>
      </c>
      <c r="AF25" s="16">
        <f>+AD25*AE25</f>
        <v/>
      </c>
      <c r="AG25" s="17">
        <f>+AD25+AF25</f>
        <v/>
      </c>
    </row>
    <row r="26" ht="73.5" customHeight="1" s="135">
      <c r="A26" s="124" t="inlineStr">
        <is>
          <t>PUERTO CARREÑO</t>
        </is>
      </c>
      <c r="B26" s="124" t="inlineStr">
        <is>
          <t>SERVICIO DE VIGILANCIA PRIVADA CON ARMA, CON EQUIPOS DE COMUNICACIÓN DE 12 HORAS NOCTURNAS DIARIAS, TODO EL MES DE LUNES A DOMINGO, INCLUIDO FESTIVOS EN EL HORARIO DE 6:00 P.M. A 6:00 A.M.</t>
        </is>
      </c>
      <c r="C26" s="118" t="n"/>
      <c r="D26" s="118" t="n"/>
      <c r="E26" s="119" t="n"/>
      <c r="F26" s="46" t="n">
        <v>1</v>
      </c>
      <c r="G26" s="46" t="n">
        <v>1</v>
      </c>
      <c r="H26" s="42" t="n">
        <v>10023906.01711231</v>
      </c>
      <c r="I26" s="42" t="n">
        <v>1002390.601711231</v>
      </c>
      <c r="J26" s="42" t="n">
        <v>11026296.61882354</v>
      </c>
      <c r="K26" s="15" t="n">
        <v>0</v>
      </c>
      <c r="L26" s="16" t="n">
        <v>0</v>
      </c>
      <c r="M26" s="63" t="n">
        <v>11026296.61882354</v>
      </c>
      <c r="N26" s="14">
        <f>((10.21*$P$3)*47.59%/13*1)+((10.21*$P$3)*52.41%/11*11)</f>
        <v/>
      </c>
      <c r="O26" s="14">
        <f>(($P$4)*47.59%/13*1)+(($P$4)*52.41%/11*11)</f>
        <v/>
      </c>
      <c r="P26" s="14">
        <f>(N26*10%)+(O26*10%)</f>
        <v/>
      </c>
      <c r="Q26" s="14">
        <f>+N26+P26+O26</f>
        <v/>
      </c>
      <c r="R26" s="15" t="n">
        <v>0.019</v>
      </c>
      <c r="S26" s="16">
        <f>+Q26*R26</f>
        <v/>
      </c>
      <c r="T26" s="63">
        <f>+S26+Q26</f>
        <v/>
      </c>
      <c r="U26" s="14">
        <f>((10.38*$P$3)*47.59%/13*1)+((10.38*$P$3)*52.41%/11*11)</f>
        <v/>
      </c>
      <c r="V26" s="14">
        <f>(($P$4)*47.59%/13*1)+(($P$4)*52.41%/11*11)</f>
        <v/>
      </c>
      <c r="W26" s="14">
        <f>(U26*10%)+(V26*10%)</f>
        <v/>
      </c>
      <c r="X26" s="72">
        <f>+U26+W26+V26</f>
        <v/>
      </c>
      <c r="Y26" s="15" t="n">
        <v>0.019</v>
      </c>
      <c r="Z26" s="16">
        <f>+X26*Y26</f>
        <v/>
      </c>
      <c r="AA26" s="63">
        <f>+Z26+X26</f>
        <v/>
      </c>
      <c r="AB26" s="51">
        <f>+((10.21*1750905+1000)*$E$33%/30*30)+((10.21*1750905+1000)*$E$34%/30*30)</f>
        <v/>
      </c>
      <c r="AC26" s="18">
        <f>+AB26*10%</f>
        <v/>
      </c>
      <c r="AD26" s="18">
        <f>+AB26+AC26</f>
        <v/>
      </c>
      <c r="AE26" s="19" t="n">
        <v>0</v>
      </c>
      <c r="AF26" s="20" t="n">
        <v>0</v>
      </c>
      <c r="AG26" s="21">
        <f>+AF26+AD26</f>
        <v/>
      </c>
    </row>
    <row r="27" ht="66" customHeight="1" s="135">
      <c r="A27" s="124" t="inlineStr">
        <is>
          <t xml:space="preserve">SAN ANDRES </t>
        </is>
      </c>
      <c r="B27" s="124" t="inlineStr">
        <is>
          <t>SERVICIO DE VIGILANCIA PRIVADA CON ARMA, CON EQUIPOS DE COMUNICACIÓN DE 12 HORAS NOCTURNAS DIARIAS, TODO EL MES DE LUNES A DOMINGO, INCLUIDO FESTIVOS EN EL HORARIO DE 6:00 P.M. A 6:00 A.M.</t>
        </is>
      </c>
      <c r="C27" s="118" t="n"/>
      <c r="D27" s="118" t="n"/>
      <c r="E27" s="119" t="n"/>
      <c r="F27" s="46" t="n">
        <v>1</v>
      </c>
      <c r="G27" s="46" t="n">
        <v>1</v>
      </c>
      <c r="H27" s="42" t="n">
        <v>10023906.01711231</v>
      </c>
      <c r="I27" s="42" t="n">
        <v>1002390.601711231</v>
      </c>
      <c r="J27" s="42" t="n">
        <v>11026296.61882354</v>
      </c>
      <c r="K27" s="15" t="n">
        <v>0</v>
      </c>
      <c r="L27" s="16" t="n">
        <v>0</v>
      </c>
      <c r="M27" s="63" t="n">
        <v>11026296.61882354</v>
      </c>
      <c r="N27" s="14">
        <f>((10.21*$P$3)*47.59%/13*1)+((10.21*$P$3)*52.41%/11*11)</f>
        <v/>
      </c>
      <c r="O27" s="14">
        <f>(($P$4)*47.59%/13*1)+(($P$4)*52.41%/11*11)</f>
        <v/>
      </c>
      <c r="P27" s="14">
        <f>(N27*10%)+(O27*10%)</f>
        <v/>
      </c>
      <c r="Q27" s="14">
        <f>+N27+P27+O27</f>
        <v/>
      </c>
      <c r="R27" s="15" t="n"/>
      <c r="S27" s="16">
        <f>+Q27*R27</f>
        <v/>
      </c>
      <c r="T27" s="63">
        <f>+S27+Q27</f>
        <v/>
      </c>
      <c r="U27" s="14">
        <f>((10.38*$P$3)*47.59%/13*1)+((10.38*$P$3)*52.41%/11*11)</f>
        <v/>
      </c>
      <c r="V27" s="14">
        <f>(($P$4)*47.59%/13*1)+(($P$4)*52.41%/11*11)</f>
        <v/>
      </c>
      <c r="W27" s="14">
        <f>(U27*10%)+(V27*10%)</f>
        <v/>
      </c>
      <c r="X27" s="72">
        <f>+U27+W27+V27</f>
        <v/>
      </c>
      <c r="Y27" s="15" t="n"/>
      <c r="Z27" s="16">
        <f>+X27*Y27</f>
        <v/>
      </c>
      <c r="AA27" s="63">
        <f>+Z27+X27</f>
        <v/>
      </c>
      <c r="AB27" s="51">
        <f>(10.21*1750905+1500)</f>
        <v/>
      </c>
      <c r="AC27" s="18">
        <f>+AB27*10%</f>
        <v/>
      </c>
      <c r="AD27" s="18">
        <f>+AB27+AC27</f>
        <v/>
      </c>
      <c r="AE27" s="19" t="n">
        <v>0</v>
      </c>
      <c r="AF27" s="20" t="n">
        <v>0</v>
      </c>
      <c r="AG27" s="21">
        <f>+AF27+AD27</f>
        <v/>
      </c>
    </row>
    <row r="28" ht="66.75" customHeight="1" s="135" thickBot="1">
      <c r="A28" s="124" t="inlineStr">
        <is>
          <t>LETICIA</t>
        </is>
      </c>
      <c r="B28" s="124" t="inlineStr">
        <is>
          <t>SERVICIO DE VIGILANCIA PRIVADA CON ARMA, CON EQUIPOS DE COMUNICACIÓN DE 12 HORAS NOCTURNAS DIARIAS, TODO EL MES DE LUNES A DOMINGO, INCLUIDO FESTIVOS EN EL HORARIO DE 6:00 P.M. A 6:00 A.M.</t>
        </is>
      </c>
      <c r="C28" s="118" t="n"/>
      <c r="D28" s="118" t="n"/>
      <c r="E28" s="119" t="n"/>
      <c r="F28" s="46" t="n">
        <v>1</v>
      </c>
      <c r="G28" s="46" t="n">
        <v>1</v>
      </c>
      <c r="H28" s="42" t="n">
        <v>10023906.01711231</v>
      </c>
      <c r="I28" s="42" t="n">
        <v>1002390.601711231</v>
      </c>
      <c r="J28" s="42" t="n">
        <v>11026296.61882354</v>
      </c>
      <c r="K28" s="15" t="n">
        <v>0</v>
      </c>
      <c r="L28" s="16" t="n">
        <v>0</v>
      </c>
      <c r="M28" s="63" t="n">
        <v>11026296.61882354</v>
      </c>
      <c r="N28" s="14">
        <f>((10.21*$P$3)*47.59%/13*1)+((10.21*$P$3)*52.41%/11*11)</f>
        <v/>
      </c>
      <c r="O28" s="14">
        <f>(($P$4)*47.59%/13*1)+(($P$4)*52.41%/11*11)</f>
        <v/>
      </c>
      <c r="P28" s="14">
        <f>(N28*10%)+(O28*10%)</f>
        <v/>
      </c>
      <c r="Q28" s="14">
        <f>+N28+P28+O28</f>
        <v/>
      </c>
      <c r="R28" s="15" t="n">
        <v>0.019</v>
      </c>
      <c r="S28" s="16">
        <f>+Q28*R28</f>
        <v/>
      </c>
      <c r="T28" s="63">
        <f>+S28+Q28</f>
        <v/>
      </c>
      <c r="U28" s="14">
        <f>((10.38*$P$3)*47.59%/13*1)+((10.38*$P$3)*52.41%/11*11)</f>
        <v/>
      </c>
      <c r="V28" s="14">
        <f>(($P$4)*47.59%/13*1)+(($P$4)*52.41%/11*11)</f>
        <v/>
      </c>
      <c r="W28" s="14">
        <f>(U28*10%)+(V28*10%)</f>
        <v/>
      </c>
      <c r="X28" s="72">
        <f>+U28+W28+V28</f>
        <v/>
      </c>
      <c r="Y28" s="15" t="n">
        <v>0.019</v>
      </c>
      <c r="Z28" s="16">
        <f>+X28*Y28</f>
        <v/>
      </c>
      <c r="AA28" s="63">
        <f>+Z28+X28</f>
        <v/>
      </c>
      <c r="AB28" s="52">
        <f>(10.21*1750905+1500)</f>
        <v/>
      </c>
      <c r="AC28" s="22">
        <f>+AB28*10%</f>
        <v/>
      </c>
      <c r="AD28" s="22">
        <f>+AB28+AC28</f>
        <v/>
      </c>
      <c r="AE28" s="23" t="n">
        <v>0</v>
      </c>
      <c r="AF28" s="24" t="n">
        <v>0</v>
      </c>
      <c r="AG28" s="25">
        <f>+AF28+AD28</f>
        <v/>
      </c>
    </row>
    <row r="29" ht="15.75" customHeight="1" s="135" thickBot="1">
      <c r="B29" s="132" t="n"/>
      <c r="S29" s="26" t="n"/>
      <c r="T29" s="27" t="n"/>
      <c r="Z29" s="26" t="n"/>
      <c r="AA29" s="27" t="n"/>
      <c r="AF29" s="26" t="n"/>
      <c r="AG29" s="27" t="n"/>
    </row>
    <row r="30" ht="30" customHeight="1" s="135">
      <c r="L30" s="29" t="inlineStr">
        <is>
          <t>TOTAL MENSUAL</t>
        </is>
      </c>
      <c r="M30" s="64">
        <f>SUM(M8:M29)</f>
        <v/>
      </c>
      <c r="N30" s="65" t="inlineStr">
        <is>
          <t>AIU</t>
        </is>
      </c>
      <c r="O30" s="65" t="n"/>
      <c r="P30" s="65">
        <f>SUM(P8:P29)</f>
        <v/>
      </c>
      <c r="Q30" s="32" t="n"/>
      <c r="S30" s="66" t="inlineStr">
        <is>
          <t>TOTAL MENSUAL</t>
        </is>
      </c>
      <c r="T30" s="67">
        <f>SUM(T8:T29)</f>
        <v/>
      </c>
      <c r="U30" s="65" t="inlineStr">
        <is>
          <t>AIU</t>
        </is>
      </c>
      <c r="V30" s="65" t="n"/>
      <c r="W30" s="65">
        <f>SUM(W8:W29)</f>
        <v/>
      </c>
      <c r="Z30" s="66" t="inlineStr">
        <is>
          <t>TOTAL MENSUAL</t>
        </is>
      </c>
      <c r="AA30" s="67">
        <f>SUM(AA8:AA29)</f>
        <v/>
      </c>
      <c r="AB30" s="28" t="inlineStr">
        <is>
          <t>AIU</t>
        </is>
      </c>
      <c r="AC30" s="28">
        <f>SUM(AC8:AC29)</f>
        <v/>
      </c>
      <c r="AF30" s="29" t="inlineStr">
        <is>
          <t>TOTAL MENSUAL</t>
        </is>
      </c>
      <c r="AG30" s="30">
        <f>SUM(AG8:AG29)</f>
        <v/>
      </c>
    </row>
    <row r="31"/>
    <row r="32" ht="15.75" customHeight="1" s="135" thickBot="1">
      <c r="J32" s="31" t="n"/>
      <c r="L32" s="32" t="n"/>
      <c r="N32">
        <f>+((1000)*$E$33%/30*30)+((1000)*$E$34%/30*30)</f>
        <v/>
      </c>
      <c r="AA32" s="41" t="n"/>
    </row>
    <row r="33" ht="30.75" customHeight="1" s="135" thickBot="1">
      <c r="B33" s="129" t="inlineStr">
        <is>
          <t>PUERTO CARREÑO</t>
        </is>
      </c>
      <c r="C33" s="36" t="inlineStr">
        <is>
          <t>TURNO 1 HORAS DIURNO</t>
        </is>
      </c>
      <c r="D33" s="36" t="n"/>
      <c r="E33" s="37">
        <f>1*47.59/13</f>
        <v/>
      </c>
      <c r="J33" s="33" t="n"/>
      <c r="L33" s="32" t="n"/>
      <c r="AD33" s="34" t="inlineStr">
        <is>
          <t>DESDE 01 DE AGOSTO</t>
        </is>
      </c>
      <c r="AE33" s="35">
        <f>+AG30*5</f>
        <v/>
      </c>
    </row>
    <row r="34" ht="15.75" customHeight="1" s="135" thickBot="1">
      <c r="B34" s="130" t="n"/>
      <c r="C34" s="38" t="inlineStr">
        <is>
          <t>TURNO 11 HORAS NOCTURNO</t>
        </is>
      </c>
      <c r="D34" s="38" t="n"/>
      <c r="E34" s="39">
        <f>11*52.41/11</f>
        <v/>
      </c>
    </row>
    <row r="35">
      <c r="AG35" s="32">
        <f>+#REF!+AE33</f>
        <v/>
      </c>
    </row>
    <row r="36"/>
    <row r="37"/>
    <row r="38"/>
    <row r="39">
      <c r="T39" s="40" t="n"/>
      <c r="AA39" s="40" t="n"/>
      <c r="AG39" s="40" t="n"/>
    </row>
    <row r="40"/>
    <row r="41">
      <c r="T41" s="41" t="n"/>
      <c r="AA41" s="41" t="n"/>
      <c r="AG41" s="41" t="n"/>
    </row>
  </sheetData>
  <autoFilter ref="A7:AG28">
    <filterColumn colId="1" hiddenButton="0" showButton="0"/>
    <filterColumn colId="2" hiddenButton="0" showButton="0"/>
    <filterColumn colId="3" hiddenButton="0" showButton="0"/>
  </autoFilter>
  <mergeCells count="28">
    <mergeCell ref="B9:E9"/>
    <mergeCell ref="B15:E15"/>
    <mergeCell ref="B24:E24"/>
    <mergeCell ref="B5:E5"/>
    <mergeCell ref="B20:E20"/>
    <mergeCell ref="B26:E26"/>
    <mergeCell ref="B4:E4"/>
    <mergeCell ref="B16:E16"/>
    <mergeCell ref="B7:E7"/>
    <mergeCell ref="B25:E25"/>
    <mergeCell ref="B3:E3"/>
    <mergeCell ref="B22:E22"/>
    <mergeCell ref="B27:E27"/>
    <mergeCell ref="B18:E18"/>
    <mergeCell ref="B12:E12"/>
    <mergeCell ref="B21:E21"/>
    <mergeCell ref="B33:B34"/>
    <mergeCell ref="B11:E11"/>
    <mergeCell ref="B2:E2"/>
    <mergeCell ref="B14:E14"/>
    <mergeCell ref="B23:E23"/>
    <mergeCell ref="B17:E17"/>
    <mergeCell ref="B8:E8"/>
    <mergeCell ref="B13:E13"/>
    <mergeCell ref="B29:E29"/>
    <mergeCell ref="B19:E19"/>
    <mergeCell ref="B10:E10"/>
    <mergeCell ref="B28:E28"/>
  </mergeCells>
  <pageMargins left="0.7" right="0.7" top="0.75" bottom="0.75" header="0.3" footer="0.3"/>
  <pageSetup orientation="portrait" scale="40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N11"/>
  <sheetViews>
    <sheetView zoomScaleNormal="100" workbookViewId="0">
      <selection activeCell="J10" sqref="J10"/>
    </sheetView>
  </sheetViews>
  <sheetFormatPr baseColWidth="10" defaultRowHeight="15"/>
  <cols>
    <col width="7.33203125" customWidth="1" style="135" min="1" max="1"/>
    <col width="6.6640625" customWidth="1" style="135" min="2" max="12"/>
    <col width="8.6640625" customWidth="1" style="135" min="13" max="13"/>
    <col width="16.83203125" bestFit="1" customWidth="1" style="135" min="14" max="14"/>
  </cols>
  <sheetData>
    <row r="1"/>
    <row r="2" ht="72" customHeight="1" s="135">
      <c r="A2" s="73" t="inlineStr">
        <is>
          <t>PROYECCIÓN VIGENCIA</t>
        </is>
      </c>
      <c r="B2" s="73" t="inlineStr">
        <is>
          <t>Dic. 2026</t>
        </is>
      </c>
      <c r="C2" s="73" t="inlineStr">
        <is>
          <t>Ene. 2027</t>
        </is>
      </c>
      <c r="D2" s="73" t="inlineStr">
        <is>
          <t>Feb. 2027</t>
        </is>
      </c>
      <c r="E2" s="73" t="inlineStr">
        <is>
          <t>Mar. 2027</t>
        </is>
      </c>
      <c r="F2" s="73" t="inlineStr">
        <is>
          <t>Abr. 2027</t>
        </is>
      </c>
      <c r="G2" s="73" t="inlineStr">
        <is>
          <t>May. 2027</t>
        </is>
      </c>
      <c r="H2" s="73" t="inlineStr">
        <is>
          <t>Jun. 2027</t>
        </is>
      </c>
      <c r="I2" s="73" t="inlineStr">
        <is>
          <t>Jul. 2027</t>
        </is>
      </c>
      <c r="J2" s="73" t="inlineStr">
        <is>
          <t>Ago. 2027</t>
        </is>
      </c>
      <c r="K2" s="73" t="inlineStr">
        <is>
          <t>Sep. 2027</t>
        </is>
      </c>
      <c r="L2" s="73" t="inlineStr">
        <is>
          <t>Oct. 2027</t>
        </is>
      </c>
      <c r="M2" s="73" t="inlineStr">
        <is>
          <t>Nov. 2027</t>
        </is>
      </c>
    </row>
    <row r="3" ht="79.5" customHeight="1" s="135">
      <c r="A3" s="73" t="inlineStr">
        <is>
          <t>VALOR</t>
        </is>
      </c>
      <c r="B3" s="74">
        <f>'PROYECCION DICIEMBRE 2026'!N27</f>
        <v/>
      </c>
      <c r="C3" s="74">
        <f>'PROYECCIÓN 2027'!T30</f>
        <v/>
      </c>
      <c r="D3" s="74">
        <f>'PROYECCIÓN 2027'!T30</f>
        <v/>
      </c>
      <c r="E3" s="74">
        <f>'PROYECCIÓN 2027'!T30</f>
        <v/>
      </c>
      <c r="F3" s="74">
        <f>'PROYECCIÓN 2027'!T30</f>
        <v/>
      </c>
      <c r="G3" s="74">
        <f>'PROYECCIÓN 2027'!T30</f>
        <v/>
      </c>
      <c r="H3" s="74">
        <f>'PROYECCIÓN 2027'!T30</f>
        <v/>
      </c>
      <c r="I3" s="74">
        <f>'PROYECCIÓN 2027'!AA30</f>
        <v/>
      </c>
      <c r="J3" s="74">
        <f>'PROYECCIÓN 2027'!AA30</f>
        <v/>
      </c>
      <c r="K3" s="74">
        <f>'PROYECCIÓN 2027'!AA30</f>
        <v/>
      </c>
      <c r="L3" s="74">
        <f>'PROYECCIÓN 2027'!AA30</f>
        <v/>
      </c>
      <c r="M3" s="74">
        <f>'PROYECCIÓN 2027'!AA30</f>
        <v/>
      </c>
    </row>
    <row r="4" ht="102.75" customHeight="1" s="135">
      <c r="A4" s="73" t="inlineStr">
        <is>
          <t>MEDIOS TECNOLOGICOS MENSUALES</t>
        </is>
      </c>
      <c r="B4" s="152">
        <f>'EM MEDIOS TECNOLOGICOS'!$R$85</f>
        <v/>
      </c>
      <c r="C4" s="152">
        <f>'EM MEDIOS TECNOLOGICOS'!$R$85</f>
        <v/>
      </c>
      <c r="D4" s="152">
        <f>'EM MEDIOS TECNOLOGICOS'!$R$85</f>
        <v/>
      </c>
      <c r="E4" s="152">
        <f>'EM MEDIOS TECNOLOGICOS'!$R$85</f>
        <v/>
      </c>
      <c r="F4" s="152">
        <f>'EM MEDIOS TECNOLOGICOS'!$R$85</f>
        <v/>
      </c>
      <c r="G4" s="152">
        <f>'EM MEDIOS TECNOLOGICOS'!$R$85</f>
        <v/>
      </c>
      <c r="H4" s="152">
        <f>'EM MEDIOS TECNOLOGICOS'!$R$85</f>
        <v/>
      </c>
      <c r="I4" s="152">
        <f>'EM MEDIOS TECNOLOGICOS'!$R$85</f>
        <v/>
      </c>
      <c r="J4" s="152">
        <f>'EM MEDIOS TECNOLOGICOS'!$R$85</f>
        <v/>
      </c>
      <c r="K4" s="152">
        <f>'EM MEDIOS TECNOLOGICOS'!$R$85</f>
        <v/>
      </c>
      <c r="L4" s="152">
        <f>'EM MEDIOS TECNOLOGICOS'!$R$85</f>
        <v/>
      </c>
      <c r="M4" s="152">
        <f>'EM MEDIOS TECNOLOGICOS'!$R$85</f>
        <v/>
      </c>
    </row>
    <row r="5" ht="79.5" customHeight="1" s="135">
      <c r="A5" s="73" t="inlineStr">
        <is>
          <t>VALOR TOTAL MENSUAL</t>
        </is>
      </c>
      <c r="B5" s="74">
        <f>SUM(B3:B4)</f>
        <v/>
      </c>
      <c r="C5" s="74">
        <f>SUM(C3:C4)</f>
        <v/>
      </c>
      <c r="D5" s="74">
        <f>SUM(D3:D4)</f>
        <v/>
      </c>
      <c r="E5" s="74">
        <f>SUM(E3:E4)</f>
        <v/>
      </c>
      <c r="F5" s="74">
        <f>SUM(F3:F4)</f>
        <v/>
      </c>
      <c r="G5" s="74">
        <f>SUM(G3:G4)</f>
        <v/>
      </c>
      <c r="H5" s="74">
        <f>SUM(H3:H4)</f>
        <v/>
      </c>
      <c r="I5" s="74">
        <f>SUM(I3:I4)</f>
        <v/>
      </c>
      <c r="J5" s="74">
        <f>SUM(J3:J4)</f>
        <v/>
      </c>
      <c r="K5" s="74">
        <f>SUM(K3:K4)</f>
        <v/>
      </c>
      <c r="L5" s="74">
        <f>SUM(L3:L4)</f>
        <v/>
      </c>
      <c r="M5" s="74">
        <f>SUM(M3:M4)</f>
        <v/>
      </c>
    </row>
    <row r="6" ht="83.25" customHeight="1" s="135">
      <c r="A6" s="138" t="inlineStr">
        <is>
          <t>VALOR TOTAL PROYECCION DESDE DICIEMBRE 2026 HASTA NOVIEMBRE 2027 RECURSO HUMANO SERVICIO DE VIGILANCIA</t>
        </is>
      </c>
      <c r="B6" s="118" t="n"/>
      <c r="C6" s="118" t="n"/>
      <c r="D6" s="118" t="n"/>
      <c r="E6" s="118" t="n"/>
      <c r="F6" s="118" t="n"/>
      <c r="G6" s="118" t="n"/>
      <c r="H6" s="118" t="n"/>
      <c r="I6" s="118" t="n"/>
      <c r="J6" s="118" t="n"/>
      <c r="K6" s="118" t="n"/>
      <c r="L6" s="119" t="n"/>
      <c r="M6" s="74">
        <f>SUM(B5:M5)</f>
        <v/>
      </c>
    </row>
    <row r="7"/>
    <row r="8">
      <c r="D8" s="134" t="inlineStr">
        <is>
          <t>VF</t>
        </is>
      </c>
      <c r="F8" s="137" t="n">
        <v>4697369894</v>
      </c>
      <c r="N8" s="149" t="n"/>
    </row>
    <row r="9">
      <c r="D9" s="134" t="inlineStr">
        <is>
          <t>APALANCAMIENTO</t>
        </is>
      </c>
      <c r="F9" s="137" t="n">
        <v>394468072</v>
      </c>
      <c r="N9" s="153" t="n"/>
    </row>
    <row r="10">
      <c r="D10" s="134" t="inlineStr">
        <is>
          <t>TOTAL</t>
        </is>
      </c>
      <c r="F10" s="136">
        <f>F8+F9</f>
        <v/>
      </c>
    </row>
    <row r="11">
      <c r="F11" s="154" t="n"/>
    </row>
  </sheetData>
  <mergeCells count="8">
    <mergeCell ref="D8:E8"/>
    <mergeCell ref="F10:H10"/>
    <mergeCell ref="D10:E10"/>
    <mergeCell ref="F8:H8"/>
    <mergeCell ref="A6:L6"/>
    <mergeCell ref="F9:H9"/>
    <mergeCell ref="D9:E9"/>
    <mergeCell ref="F11:H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tabColor rgb="FFFFFF00"/>
    <outlinePr summaryBelow="1" summaryRight="1"/>
    <pageSetUpPr/>
  </sheetPr>
  <dimension ref="A1:S147"/>
  <sheetViews>
    <sheetView showGridLines="0" zoomScale="85" zoomScaleNormal="85" workbookViewId="0">
      <selection activeCell="C5" sqref="C5"/>
    </sheetView>
  </sheetViews>
  <sheetFormatPr baseColWidth="10" defaultColWidth="12.5" defaultRowHeight="15" customHeight="1"/>
  <cols>
    <col width="7.1640625" customWidth="1" style="103" min="1" max="1"/>
    <col width="16.33203125" customWidth="1" style="103" min="2" max="2"/>
    <col width="65.5" customWidth="1" style="103" min="3" max="3"/>
    <col width="11.1640625" customWidth="1" style="103" min="4" max="4"/>
    <col width="10.5" customWidth="1" style="103" min="5" max="6"/>
    <col width="14.5" customWidth="1" style="103" min="7" max="7"/>
    <col width="13.1640625" customWidth="1" style="103" min="8" max="8"/>
    <col width="10.6640625" customWidth="1" style="103" min="9" max="9"/>
    <col width="10.1640625" customWidth="1" style="103" min="10" max="10"/>
    <col width="14" customWidth="1" style="103" min="11" max="11"/>
    <col width="13.33203125" customWidth="1" style="103" min="12" max="12"/>
    <col width="10.83203125" customWidth="1" style="103" min="13" max="13"/>
    <col width="9.5" customWidth="1" style="103" min="14" max="14"/>
    <col width="13.1640625" customWidth="1" style="103" min="15" max="15"/>
    <col width="13.5" customWidth="1" style="103" min="16" max="17"/>
    <col width="14.6640625" customWidth="1" style="103" min="18" max="18"/>
    <col width="17.5" customWidth="1" style="103" min="19" max="19"/>
    <col width="12.5" customWidth="1" style="103" min="20" max="21"/>
    <col width="12.5" customWidth="1" style="103" min="22" max="16384"/>
  </cols>
  <sheetData>
    <row r="1" ht="30.75" customHeight="1" s="135">
      <c r="E1" s="143" t="inlineStr">
        <is>
          <t>COSERVIPP LTDA</t>
        </is>
      </c>
      <c r="F1" s="118" t="n"/>
      <c r="G1" s="118" t="n"/>
      <c r="H1" s="119" t="n"/>
      <c r="I1" s="143" t="inlineStr">
        <is>
          <t>CENTINELAS LTDA</t>
        </is>
      </c>
      <c r="J1" s="118" t="n"/>
      <c r="K1" s="118" t="n"/>
      <c r="L1" s="119" t="n"/>
      <c r="M1" s="143" t="inlineStr">
        <is>
          <t>SURAMERICANA DE PROTECCIÓN Y SEGURIDAD PRIVADA LTDA</t>
        </is>
      </c>
      <c r="N1" s="118" t="n"/>
      <c r="O1" s="118" t="n"/>
      <c r="P1" s="119" t="n"/>
      <c r="Q1" s="145" t="inlineStr">
        <is>
          <t>VALOR PROMEDIO UNITARIO MENSUAL ESTUDIO DE MERCADOS IVA INCLUIDO</t>
        </is>
      </c>
      <c r="R1" s="145" t="inlineStr">
        <is>
          <t>VALOR PROMEDIO MENSUAL CANTIDADES ESTUDIO DE MERCADOS IVA INCLUIDO</t>
        </is>
      </c>
      <c r="S1" s="145" t="inlineStr">
        <is>
          <t>VALOR PROMEDIO TOTAL * 12 MESES</t>
        </is>
      </c>
    </row>
    <row r="2" ht="57" customHeight="1" s="135">
      <c r="A2" s="143" t="inlineStr">
        <is>
          <t>ITEM</t>
        </is>
      </c>
      <c r="B2" s="143" t="inlineStr">
        <is>
          <t>LUGAR UBICACIÓN</t>
        </is>
      </c>
      <c r="C2" s="143" t="inlineStr">
        <is>
          <t>SERVICIO DE MEDIOS TECNOLOGICO</t>
        </is>
      </c>
      <c r="D2" s="143" t="inlineStr">
        <is>
          <t>CANTIDAD</t>
        </is>
      </c>
      <c r="E2" s="143" t="inlineStr">
        <is>
          <t>VALOR UNITARIO MENSUAL</t>
        </is>
      </c>
      <c r="F2" s="143" t="inlineStr">
        <is>
          <t>IVA</t>
        </is>
      </c>
      <c r="G2" s="143" t="inlineStr">
        <is>
          <t>VALOR UNITARIO MENSUAL INCLUIDO IVA</t>
        </is>
      </c>
      <c r="H2" s="143" t="inlineStr">
        <is>
          <t>VALOR TOTAL MENSUAL  CANTIDADES</t>
        </is>
      </c>
      <c r="I2" s="143" t="inlineStr">
        <is>
          <t>VALOR UNITARIO MENSUAL</t>
        </is>
      </c>
      <c r="J2" s="143" t="inlineStr">
        <is>
          <t>IVA</t>
        </is>
      </c>
      <c r="K2" s="143" t="inlineStr">
        <is>
          <t>VALOR UNITARIO MENSUAL INCLUIDO IVA</t>
        </is>
      </c>
      <c r="L2" s="143" t="inlineStr">
        <is>
          <t>VALOR TOTAL MENSUAL  CANTIDADES</t>
        </is>
      </c>
      <c r="M2" s="143" t="inlineStr">
        <is>
          <t>VALOR UNITARIO MENSUAL</t>
        </is>
      </c>
      <c r="N2" s="143" t="inlineStr">
        <is>
          <t>IVA</t>
        </is>
      </c>
      <c r="O2" s="143" t="inlineStr">
        <is>
          <t>VALOR UNITARIO MENSUAL INCLUIDO IVA</t>
        </is>
      </c>
      <c r="P2" s="143" t="inlineStr">
        <is>
          <t>VALOR TOTAL MENSUAL  CANTIDADES</t>
        </is>
      </c>
      <c r="Q2" s="122" t="n"/>
      <c r="R2" s="122" t="n"/>
      <c r="S2" s="122" t="n"/>
    </row>
    <row r="3" ht="15" customHeight="1" s="135">
      <c r="A3" s="146" t="n">
        <v>1</v>
      </c>
      <c r="B3" s="147" t="inlineStr">
        <is>
          <t>IDEAM FONTIBON BOGOTA</t>
        </is>
      </c>
      <c r="C3" s="106" t="inlineStr">
        <is>
          <t>NVR 32 CANALES - 4K (INCLUYE ALMACENAMIENTO Y SWITCHES)</t>
        </is>
      </c>
      <c r="D3" s="147" t="n">
        <v>2</v>
      </c>
      <c r="E3" s="155" t="n">
        <v>554000</v>
      </c>
      <c r="F3" s="155">
        <f>E3*19%</f>
        <v/>
      </c>
      <c r="G3" s="155">
        <f>E3+F3</f>
        <v/>
      </c>
      <c r="H3" s="155">
        <f>G3*D3</f>
        <v/>
      </c>
      <c r="I3" s="155" t="n">
        <v>500539</v>
      </c>
      <c r="J3" s="155">
        <f>I3*19%</f>
        <v/>
      </c>
      <c r="K3" s="155">
        <f>I3+J3</f>
        <v/>
      </c>
      <c r="L3" s="155">
        <f>K3*D3</f>
        <v/>
      </c>
      <c r="M3" s="155" t="n">
        <v>524664.9798</v>
      </c>
      <c r="N3" s="155">
        <f>M3*19%</f>
        <v/>
      </c>
      <c r="O3" s="155">
        <f>M3+N3</f>
        <v/>
      </c>
      <c r="P3" s="155">
        <f>O3*D3</f>
        <v/>
      </c>
      <c r="Q3" s="156">
        <f>AVERAGE(G3,K3,O3)</f>
        <v/>
      </c>
      <c r="R3" s="156">
        <f>AVERAGE(H3,L3,P3)</f>
        <v/>
      </c>
      <c r="S3" s="156">
        <f>R3*12</f>
        <v/>
      </c>
    </row>
    <row r="4" ht="11.25" customHeight="1" s="135">
      <c r="A4" s="141" t="n"/>
      <c r="B4" s="121" t="n"/>
      <c r="C4" s="109" t="inlineStr">
        <is>
          <t>CÁMARA TIPO DOMO FIJA. VARIFOCAL</t>
        </is>
      </c>
      <c r="D4" s="144" t="n">
        <v>59</v>
      </c>
      <c r="E4" s="155" t="n">
        <v>55000</v>
      </c>
      <c r="F4" s="155">
        <f>E4*19%</f>
        <v/>
      </c>
      <c r="G4" s="155">
        <f>E4+F4</f>
        <v/>
      </c>
      <c r="H4" s="155">
        <f>G4*D4</f>
        <v/>
      </c>
      <c r="I4" s="155" t="n">
        <v>49692.5</v>
      </c>
      <c r="J4" s="155">
        <f>I4*19%</f>
        <v/>
      </c>
      <c r="K4" s="155">
        <f>I4+J4</f>
        <v/>
      </c>
      <c r="L4" s="155">
        <f>K4*D4</f>
        <v/>
      </c>
      <c r="M4" s="155" t="n">
        <v>52087.6785</v>
      </c>
      <c r="N4" s="155">
        <f>M4*19%</f>
        <v/>
      </c>
      <c r="O4" s="155">
        <f>M4+N4</f>
        <v/>
      </c>
      <c r="P4" s="155">
        <f>O4*D4</f>
        <v/>
      </c>
      <c r="Q4" s="156">
        <f>AVERAGE(G4,K4,O4)</f>
        <v/>
      </c>
      <c r="R4" s="156">
        <f>AVERAGE(H4,L4,P4)</f>
        <v/>
      </c>
      <c r="S4" s="156">
        <f>R4*12</f>
        <v/>
      </c>
    </row>
    <row r="5" ht="11.25" customHeight="1" s="135">
      <c r="A5" s="141" t="n"/>
      <c r="B5" s="121" t="n"/>
      <c r="C5" s="109" t="inlineStr">
        <is>
          <t>CÁMARA TIPO DOMO PTZ. 4MP 25X VARIFOCAL</t>
        </is>
      </c>
      <c r="D5" s="144" t="n">
        <v>4</v>
      </c>
      <c r="E5" s="155" t="n">
        <v>235000</v>
      </c>
      <c r="F5" s="155">
        <f>E5*19%</f>
        <v/>
      </c>
      <c r="G5" s="155">
        <f>E5+F5</f>
        <v/>
      </c>
      <c r="H5" s="155">
        <f>G5*D5</f>
        <v/>
      </c>
      <c r="I5" s="155" t="n">
        <v>212322.5</v>
      </c>
      <c r="J5" s="155">
        <f>I5*19%</f>
        <v/>
      </c>
      <c r="K5" s="155">
        <f>I5+J5</f>
        <v/>
      </c>
      <c r="L5" s="155">
        <f>K5*D5</f>
        <v/>
      </c>
      <c r="M5" s="155" t="n">
        <v>222556.4445</v>
      </c>
      <c r="N5" s="155">
        <f>M5*19%</f>
        <v/>
      </c>
      <c r="O5" s="155">
        <f>M5+N5</f>
        <v/>
      </c>
      <c r="P5" s="155">
        <f>O5*D5</f>
        <v/>
      </c>
      <c r="Q5" s="156">
        <f>AVERAGE(G5,K5,O5)</f>
        <v/>
      </c>
      <c r="R5" s="156">
        <f>AVERAGE(H5,L5,P5)</f>
        <v/>
      </c>
      <c r="S5" s="156">
        <f>R5*12</f>
        <v/>
      </c>
    </row>
    <row r="6" ht="14.25" customHeight="1" s="135">
      <c r="A6" s="141" t="n"/>
      <c r="B6" s="121" t="n"/>
      <c r="C6" s="109" t="inlineStr">
        <is>
          <t>SERVIDOR CENTRAL DE GESTIÓN DE VIDEO DE MONITOREO Y SOFTWARE VMS</t>
        </is>
      </c>
      <c r="D6" s="144" t="n">
        <v>1</v>
      </c>
      <c r="E6" s="155" t="n">
        <v>370000</v>
      </c>
      <c r="F6" s="155">
        <f>E6*19%</f>
        <v/>
      </c>
      <c r="G6" s="155">
        <f>E6+F6</f>
        <v/>
      </c>
      <c r="H6" s="155">
        <f>G6*D6</f>
        <v/>
      </c>
      <c r="I6" s="155" t="n">
        <v>334295</v>
      </c>
      <c r="J6" s="155">
        <f>I6*19%</f>
        <v/>
      </c>
      <c r="K6" s="155">
        <f>I6+J6</f>
        <v/>
      </c>
      <c r="L6" s="155">
        <f>K6*D6</f>
        <v/>
      </c>
      <c r="M6" s="155" t="n">
        <v>350408.019</v>
      </c>
      <c r="N6" s="155">
        <f>M6*19%</f>
        <v/>
      </c>
      <c r="O6" s="155">
        <f>M6+N6</f>
        <v/>
      </c>
      <c r="P6" s="155">
        <f>O6*D6</f>
        <v/>
      </c>
      <c r="Q6" s="156">
        <f>AVERAGE(G6,K6,O6)</f>
        <v/>
      </c>
      <c r="R6" s="156">
        <f>AVERAGE(H6,L6,P6)</f>
        <v/>
      </c>
      <c r="S6" s="156">
        <f>R6*12</f>
        <v/>
      </c>
    </row>
    <row r="7" ht="11.25" customHeight="1" s="135">
      <c r="A7" s="141" t="n"/>
      <c r="B7" s="121" t="n"/>
      <c r="C7" s="109" t="inlineStr">
        <is>
          <t>MONITOR 43" (MATRIX 2x2)</t>
        </is>
      </c>
      <c r="D7" s="144" t="n">
        <v>4</v>
      </c>
      <c r="E7" s="155" t="n">
        <v>130000</v>
      </c>
      <c r="F7" s="155">
        <f>E7*19%</f>
        <v/>
      </c>
      <c r="G7" s="155">
        <f>E7+F7</f>
        <v/>
      </c>
      <c r="H7" s="155">
        <f>G7*D7</f>
        <v/>
      </c>
      <c r="I7" s="155" t="n">
        <v>117455</v>
      </c>
      <c r="J7" s="155">
        <f>I7*19%</f>
        <v/>
      </c>
      <c r="K7" s="155">
        <f>I7+J7</f>
        <v/>
      </c>
      <c r="L7" s="155">
        <f>K7*D7</f>
        <v/>
      </c>
      <c r="M7" s="155" t="n">
        <v>123116.331</v>
      </c>
      <c r="N7" s="155">
        <f>M7*19%</f>
        <v/>
      </c>
      <c r="O7" s="155">
        <f>M7+N7</f>
        <v/>
      </c>
      <c r="P7" s="155">
        <f>O7*D7</f>
        <v/>
      </c>
      <c r="Q7" s="156">
        <f>AVERAGE(G7,K7,O7)</f>
        <v/>
      </c>
      <c r="R7" s="156">
        <f>AVERAGE(H7,L7,P7)</f>
        <v/>
      </c>
      <c r="S7" s="156">
        <f>R7*12</f>
        <v/>
      </c>
    </row>
    <row r="8" ht="11.25" customHeight="1" s="135">
      <c r="A8" s="141" t="n"/>
      <c r="B8" s="121" t="n"/>
      <c r="C8" s="109" t="inlineStr">
        <is>
          <t>DECODIFICADOR DE VIDEO IP DE ALTO RENDIMIENTO PARA PARED DE TV</t>
        </is>
      </c>
      <c r="D8" s="144" t="n">
        <v>1</v>
      </c>
      <c r="E8" s="155" t="n">
        <v>370000</v>
      </c>
      <c r="F8" s="155">
        <f>E8*19%</f>
        <v/>
      </c>
      <c r="G8" s="155">
        <f>E8+F8</f>
        <v/>
      </c>
      <c r="H8" s="155">
        <f>G8*D8</f>
        <v/>
      </c>
      <c r="I8" s="155" t="n">
        <v>334295</v>
      </c>
      <c r="J8" s="155">
        <f>I8*19%</f>
        <v/>
      </c>
      <c r="K8" s="155">
        <f>I8+J8</f>
        <v/>
      </c>
      <c r="L8" s="155">
        <f>K8*D8</f>
        <v/>
      </c>
      <c r="M8" s="155" t="n">
        <v>350408.019</v>
      </c>
      <c r="N8" s="155">
        <f>M8*19%</f>
        <v/>
      </c>
      <c r="O8" s="155">
        <f>M8+N8</f>
        <v/>
      </c>
      <c r="P8" s="155">
        <f>O8*D8</f>
        <v/>
      </c>
      <c r="Q8" s="156">
        <f>AVERAGE(G8,K8,O8)</f>
        <v/>
      </c>
      <c r="R8" s="156">
        <f>AVERAGE(H8,L8,P8)</f>
        <v/>
      </c>
      <c r="S8" s="156">
        <f>R8*12</f>
        <v/>
      </c>
    </row>
    <row r="9" ht="11.25" customHeight="1" s="135">
      <c r="A9" s="141" t="n"/>
      <c r="B9" s="121" t="n"/>
      <c r="C9" s="109" t="inlineStr">
        <is>
          <t xml:space="preserve">MESA CONTROLADORA IPKEY </t>
        </is>
      </c>
      <c r="D9" s="144" t="n">
        <v>1</v>
      </c>
      <c r="E9" s="155" t="n">
        <v>176000</v>
      </c>
      <c r="F9" s="155">
        <f>E9*19%</f>
        <v/>
      </c>
      <c r="G9" s="155">
        <f>E9+F9</f>
        <v/>
      </c>
      <c r="H9" s="155">
        <f>G9*D9</f>
        <v/>
      </c>
      <c r="I9" s="155" t="n">
        <v>159016</v>
      </c>
      <c r="J9" s="155">
        <f>I9*19%</f>
        <v/>
      </c>
      <c r="K9" s="155">
        <f>I9+J9</f>
        <v/>
      </c>
      <c r="L9" s="155">
        <f>K9*D9</f>
        <v/>
      </c>
      <c r="M9" s="155" t="n">
        <v>166680.5712</v>
      </c>
      <c r="N9" s="155">
        <f>M9*19%</f>
        <v/>
      </c>
      <c r="O9" s="155">
        <f>M9+N9</f>
        <v/>
      </c>
      <c r="P9" s="155">
        <f>O9*D9</f>
        <v/>
      </c>
      <c r="Q9" s="156">
        <f>AVERAGE(G9,K9,O9)</f>
        <v/>
      </c>
      <c r="R9" s="156">
        <f>AVERAGE(H9,L9,P9)</f>
        <v/>
      </c>
      <c r="S9" s="156">
        <f>R9*12</f>
        <v/>
      </c>
    </row>
    <row r="10" ht="11.25" customHeight="1" s="135">
      <c r="A10" s="141" t="n"/>
      <c r="B10" s="121" t="n"/>
      <c r="C10" s="109" t="inlineStr">
        <is>
          <t>UPS 3 KVA</t>
        </is>
      </c>
      <c r="D10" s="144" t="n">
        <v>1</v>
      </c>
      <c r="E10" s="155" t="n">
        <v>190000</v>
      </c>
      <c r="F10" s="155">
        <f>E10*19%</f>
        <v/>
      </c>
      <c r="G10" s="155">
        <f>E10+F10</f>
        <v/>
      </c>
      <c r="H10" s="155">
        <f>G10*D10</f>
        <v/>
      </c>
      <c r="I10" s="155" t="n">
        <v>171665</v>
      </c>
      <c r="J10" s="155">
        <f>I10*19%</f>
        <v/>
      </c>
      <c r="K10" s="155">
        <f>I10+J10</f>
        <v/>
      </c>
      <c r="L10" s="155">
        <f>K10*D10</f>
        <v/>
      </c>
      <c r="M10" s="155" t="n">
        <v>179939.253</v>
      </c>
      <c r="N10" s="155">
        <f>M10*19%</f>
        <v/>
      </c>
      <c r="O10" s="155">
        <f>M10+N10</f>
        <v/>
      </c>
      <c r="P10" s="155">
        <f>O10*D10</f>
        <v/>
      </c>
      <c r="Q10" s="156">
        <f>AVERAGE(G10,K10,O10)</f>
        <v/>
      </c>
      <c r="R10" s="156">
        <f>AVERAGE(H10,L10,P10)</f>
        <v/>
      </c>
      <c r="S10" s="156">
        <f>R10*12</f>
        <v/>
      </c>
    </row>
    <row r="11" ht="11.25" customHeight="1" s="135">
      <c r="A11" s="141" t="n"/>
      <c r="B11" s="121" t="n"/>
      <c r="C11" s="109" t="inlineStr">
        <is>
          <t>RACK GABINETE 20RU PARA PISO CON RUEDAS</t>
        </is>
      </c>
      <c r="D11" s="144" t="n">
        <v>1</v>
      </c>
      <c r="E11" s="155" t="n">
        <v>70000</v>
      </c>
      <c r="F11" s="155">
        <f>E11*19%</f>
        <v/>
      </c>
      <c r="G11" s="155">
        <f>E11+F11</f>
        <v/>
      </c>
      <c r="H11" s="155">
        <f>G11*D11</f>
        <v/>
      </c>
      <c r="I11" s="155" t="n">
        <v>63245</v>
      </c>
      <c r="J11" s="155">
        <f>I11*19%</f>
        <v/>
      </c>
      <c r="K11" s="155">
        <f>I11+J11</f>
        <v/>
      </c>
      <c r="L11" s="155">
        <f>K11*D11</f>
        <v/>
      </c>
      <c r="M11" s="155" t="n">
        <v>66293.409</v>
      </c>
      <c r="N11" s="155">
        <f>M11*19%</f>
        <v/>
      </c>
      <c r="O11" s="155">
        <f>M11+N11</f>
        <v/>
      </c>
      <c r="P11" s="155">
        <f>O11*D11</f>
        <v/>
      </c>
      <c r="Q11" s="156">
        <f>AVERAGE(G11,K11,O11)</f>
        <v/>
      </c>
      <c r="R11" s="156">
        <f>AVERAGE(H11,L11,P11)</f>
        <v/>
      </c>
      <c r="S11" s="156">
        <f>R11*12</f>
        <v/>
      </c>
    </row>
    <row r="12" ht="36.75" customHeight="1" s="135">
      <c r="A12" s="141" t="n"/>
      <c r="B12" s="121" t="n"/>
      <c r="C12" s="109" t="inlineStr">
        <is>
          <t>SISTEMA CONTROL DE ACCESO CON IMPRESIÓN DE STICKERS (Incluye Lector de cédulas, Cámara Web conexión USB, Impresora de tickets, Rollo de stickers durante toda la ejecución del contrato)</t>
        </is>
      </c>
      <c r="D12" s="144" t="n">
        <v>1</v>
      </c>
      <c r="E12" s="155" t="n">
        <v>759725.1666666666</v>
      </c>
      <c r="F12" s="155">
        <f>E12*19%</f>
        <v/>
      </c>
      <c r="G12" s="155">
        <f>E12+F12</f>
        <v/>
      </c>
      <c r="H12" s="155">
        <f>G12*D12</f>
        <v/>
      </c>
      <c r="I12" s="155" t="n">
        <v>686411.6880833333</v>
      </c>
      <c r="J12" s="155">
        <f>I12*19%</f>
        <v/>
      </c>
      <c r="K12" s="155">
        <f>I12+J12</f>
        <v/>
      </c>
      <c r="L12" s="155">
        <f>K12*D12</f>
        <v/>
      </c>
      <c r="M12" s="155" t="n">
        <v>719496.73144895</v>
      </c>
      <c r="N12" s="155">
        <f>M12*19%</f>
        <v/>
      </c>
      <c r="O12" s="155">
        <f>M12+N12</f>
        <v/>
      </c>
      <c r="P12" s="155">
        <f>O12*D12</f>
        <v/>
      </c>
      <c r="Q12" s="156">
        <f>AVERAGE(G12,K12,O12)</f>
        <v/>
      </c>
      <c r="R12" s="156">
        <f>AVERAGE(H12,L12,P12)</f>
        <v/>
      </c>
      <c r="S12" s="156">
        <f>R12*12</f>
        <v/>
      </c>
    </row>
    <row r="13" ht="34.5" customHeight="1" s="135">
      <c r="A13" s="142" t="n"/>
      <c r="B13" s="122" t="n"/>
      <c r="C13" s="109" t="inlineStr">
        <is>
          <t>INFRAESTRUCTURA (infraestructura de interconexión (cableado, canalizaciones, rack), mano de obra por instalación, configuración y mantenimiento, un canal de internet en la sede principal para la recepción de video de las sedes externas)</t>
        </is>
      </c>
      <c r="D13" s="144" t="n">
        <v>1</v>
      </c>
      <c r="E13" s="155" t="n">
        <v>8026326</v>
      </c>
      <c r="F13" s="155">
        <f>E13*19%</f>
        <v/>
      </c>
      <c r="G13" s="155">
        <f>E13+F13</f>
        <v/>
      </c>
      <c r="H13" s="155">
        <f>G13*D13</f>
        <v/>
      </c>
      <c r="I13" s="155" t="n">
        <v>7251785.541</v>
      </c>
      <c r="J13" s="155">
        <f>I13*19%</f>
        <v/>
      </c>
      <c r="K13" s="155">
        <f>I13+J13</f>
        <v/>
      </c>
      <c r="L13" s="155">
        <f>K13*D13</f>
        <v/>
      </c>
      <c r="M13" s="155" t="n">
        <v>7601321.6040762</v>
      </c>
      <c r="N13" s="155">
        <f>M13*19%</f>
        <v/>
      </c>
      <c r="O13" s="155">
        <f>M13+N13</f>
        <v/>
      </c>
      <c r="P13" s="155">
        <f>O13*D13</f>
        <v/>
      </c>
      <c r="Q13" s="156">
        <f>AVERAGE(G13,K13,O13)</f>
        <v/>
      </c>
      <c r="R13" s="156">
        <f>AVERAGE(H13,L13,P13)</f>
        <v/>
      </c>
      <c r="S13" s="156">
        <f>R13*12</f>
        <v/>
      </c>
    </row>
    <row r="14" ht="11.25" customHeight="1" s="135">
      <c r="A14" s="140" t="n">
        <v>2</v>
      </c>
      <c r="B14" s="144" t="inlineStr">
        <is>
          <t>PTE ARANDA BODEGA BOGOTA</t>
        </is>
      </c>
      <c r="C14" s="109" t="inlineStr">
        <is>
          <t>NVR 32 CANALES - 4K (INCLUYE ALMACENAMIENTO Y SWITCHES)</t>
        </is>
      </c>
      <c r="D14" s="144" t="n">
        <v>1</v>
      </c>
      <c r="E14" s="155" t="n">
        <v>554000</v>
      </c>
      <c r="F14" s="155">
        <f>E14*19%</f>
        <v/>
      </c>
      <c r="G14" s="155">
        <f>E14+F14</f>
        <v/>
      </c>
      <c r="H14" s="155">
        <f>G14*D14</f>
        <v/>
      </c>
      <c r="I14" s="155" t="n">
        <v>500539</v>
      </c>
      <c r="J14" s="155">
        <f>I14*19%</f>
        <v/>
      </c>
      <c r="K14" s="155">
        <f>I14+J14</f>
        <v/>
      </c>
      <c r="L14" s="155">
        <f>K14*D14</f>
        <v/>
      </c>
      <c r="M14" s="155" t="n">
        <v>524664.9798</v>
      </c>
      <c r="N14" s="155">
        <f>M14*19%</f>
        <v/>
      </c>
      <c r="O14" s="155">
        <f>M14+N14</f>
        <v/>
      </c>
      <c r="P14" s="155">
        <f>O14*D14</f>
        <v/>
      </c>
      <c r="Q14" s="156">
        <f>AVERAGE(G14,K14,O14)</f>
        <v/>
      </c>
      <c r="R14" s="156">
        <f>AVERAGE(H14,L14,P14)</f>
        <v/>
      </c>
      <c r="S14" s="156">
        <f>R14*12</f>
        <v/>
      </c>
    </row>
    <row r="15" ht="11.25" customHeight="1" s="135">
      <c r="A15" s="141" t="n"/>
      <c r="B15" s="121" t="n"/>
      <c r="C15" s="109" t="inlineStr">
        <is>
          <t>CÁMARA TIPO DOMO FIJA. VARIFOCAL</t>
        </is>
      </c>
      <c r="D15" s="144" t="n">
        <v>32</v>
      </c>
      <c r="E15" s="155" t="n">
        <v>55000</v>
      </c>
      <c r="F15" s="155">
        <f>E15*19%</f>
        <v/>
      </c>
      <c r="G15" s="155">
        <f>E15+F15</f>
        <v/>
      </c>
      <c r="H15" s="155">
        <f>G15*D15</f>
        <v/>
      </c>
      <c r="I15" s="155" t="n">
        <v>49692.5</v>
      </c>
      <c r="J15" s="155">
        <f>I15*19%</f>
        <v/>
      </c>
      <c r="K15" s="155">
        <f>I15+J15</f>
        <v/>
      </c>
      <c r="L15" s="155">
        <f>K15*D15</f>
        <v/>
      </c>
      <c r="M15" s="155" t="n">
        <v>52087.6785</v>
      </c>
      <c r="N15" s="155">
        <f>M15*19%</f>
        <v/>
      </c>
      <c r="O15" s="155">
        <f>M15+N15</f>
        <v/>
      </c>
      <c r="P15" s="155">
        <f>O15*D15</f>
        <v/>
      </c>
      <c r="Q15" s="156">
        <f>AVERAGE(G15,K15,O15)</f>
        <v/>
      </c>
      <c r="R15" s="156">
        <f>AVERAGE(H15,L15,P15)</f>
        <v/>
      </c>
      <c r="S15" s="156">
        <f>R15*12</f>
        <v/>
      </c>
    </row>
    <row r="16" ht="11.25" customHeight="1" s="135">
      <c r="A16" s="141" t="n"/>
      <c r="B16" s="121" t="n"/>
      <c r="C16" s="109" t="inlineStr">
        <is>
          <t>UPS 3 KVA</t>
        </is>
      </c>
      <c r="D16" s="144" t="n">
        <v>1</v>
      </c>
      <c r="E16" s="155" t="n">
        <v>190000</v>
      </c>
      <c r="F16" s="155">
        <f>E16*19%</f>
        <v/>
      </c>
      <c r="G16" s="155">
        <f>E16+F16</f>
        <v/>
      </c>
      <c r="H16" s="155">
        <f>G16*D16</f>
        <v/>
      </c>
      <c r="I16" s="155" t="n">
        <v>171665</v>
      </c>
      <c r="J16" s="155">
        <f>I16*19%</f>
        <v/>
      </c>
      <c r="K16" s="155">
        <f>I16+J16</f>
        <v/>
      </c>
      <c r="L16" s="155">
        <f>K16*D16</f>
        <v/>
      </c>
      <c r="M16" s="155" t="n">
        <v>179939.253</v>
      </c>
      <c r="N16" s="155">
        <f>M16*19%</f>
        <v/>
      </c>
      <c r="O16" s="155">
        <f>M16+N16</f>
        <v/>
      </c>
      <c r="P16" s="155">
        <f>O16*D16</f>
        <v/>
      </c>
      <c r="Q16" s="156">
        <f>AVERAGE(G16,K16,O16)</f>
        <v/>
      </c>
      <c r="R16" s="156">
        <f>AVERAGE(H16,L16,P16)</f>
        <v/>
      </c>
      <c r="S16" s="156">
        <f>R16*12</f>
        <v/>
      </c>
    </row>
    <row r="17" ht="11.25" customHeight="1" s="135">
      <c r="A17" s="141" t="n"/>
      <c r="B17" s="121" t="n"/>
      <c r="C17" s="109" t="inlineStr">
        <is>
          <t>RACK GABINETE 5RU PARED</t>
        </is>
      </c>
      <c r="D17" s="144" t="n">
        <v>1</v>
      </c>
      <c r="E17" s="155" t="n">
        <v>31666.66666666667</v>
      </c>
      <c r="F17" s="155">
        <f>E17*19%</f>
        <v/>
      </c>
      <c r="G17" s="155">
        <f>E17+F17</f>
        <v/>
      </c>
      <c r="H17" s="155">
        <f>G17*D17</f>
        <v/>
      </c>
      <c r="I17" s="155" t="n">
        <v>28610.83333333334</v>
      </c>
      <c r="J17" s="155">
        <f>I17*19%</f>
        <v/>
      </c>
      <c r="K17" s="155">
        <f>I17+J17</f>
        <v/>
      </c>
      <c r="L17" s="155">
        <f>K17*D17</f>
        <v/>
      </c>
      <c r="M17" s="155" t="n">
        <v>29989.8755</v>
      </c>
      <c r="N17" s="155">
        <f>M17*19%</f>
        <v/>
      </c>
      <c r="O17" s="155">
        <f>M17+N17</f>
        <v/>
      </c>
      <c r="P17" s="155">
        <f>O17*D17</f>
        <v/>
      </c>
      <c r="Q17" s="156">
        <f>AVERAGE(G17,K17,O17)</f>
        <v/>
      </c>
      <c r="R17" s="156">
        <f>AVERAGE(H17,L17,P17)</f>
        <v/>
      </c>
      <c r="S17" s="156">
        <f>R17*12</f>
        <v/>
      </c>
    </row>
    <row r="18" ht="15" customHeight="1" s="135">
      <c r="A18" s="141" t="n"/>
      <c r="B18" s="121" t="n"/>
      <c r="C18" s="109" t="inlineStr">
        <is>
          <t>MONITOR 43"</t>
        </is>
      </c>
      <c r="D18" s="144" t="n">
        <v>1</v>
      </c>
      <c r="E18" s="155" t="n">
        <v>130000</v>
      </c>
      <c r="F18" s="155">
        <f>E18*19%</f>
        <v/>
      </c>
      <c r="G18" s="155">
        <f>E18+F18</f>
        <v/>
      </c>
      <c r="H18" s="155">
        <f>G18*D18</f>
        <v/>
      </c>
      <c r="I18" s="155" t="n">
        <v>117455</v>
      </c>
      <c r="J18" s="155">
        <f>I18*19%</f>
        <v/>
      </c>
      <c r="K18" s="155">
        <f>I18+J18</f>
        <v/>
      </c>
      <c r="L18" s="155">
        <f>K18*D18</f>
        <v/>
      </c>
      <c r="M18" s="155" t="n">
        <v>123116.331</v>
      </c>
      <c r="N18" s="155">
        <f>M18*19%</f>
        <v/>
      </c>
      <c r="O18" s="155">
        <f>M18+N18</f>
        <v/>
      </c>
      <c r="P18" s="155">
        <f>O18*D18</f>
        <v/>
      </c>
      <c r="Q18" s="156">
        <f>AVERAGE(G18,K18,O18)</f>
        <v/>
      </c>
      <c r="R18" s="156">
        <f>AVERAGE(H18,L18,P18)</f>
        <v/>
      </c>
      <c r="S18" s="156">
        <f>R18*12</f>
        <v/>
      </c>
    </row>
    <row r="19" ht="23.25" customHeight="1" s="135">
      <c r="A19" s="142" t="n"/>
      <c r="B19" s="122" t="n"/>
      <c r="C19" s="109" t="inlineStr">
        <is>
          <t>INFRAESTRUCTURA (infraestructura de interconexión (cableado, canalizaciones, rack), mano de obra por instalación, configuración y mantenimiento)</t>
        </is>
      </c>
      <c r="D19" s="144" t="n">
        <v>1</v>
      </c>
      <c r="E19" s="155" t="n">
        <v>3206808.833333333</v>
      </c>
      <c r="F19" s="155">
        <f>E19*19%</f>
        <v/>
      </c>
      <c r="G19" s="155">
        <f>E19+F19</f>
        <v/>
      </c>
      <c r="H19" s="155">
        <f>G19*D19</f>
        <v/>
      </c>
      <c r="I19" s="155" t="n">
        <v>2897351.780916667</v>
      </c>
      <c r="J19" s="155">
        <f>I19*19%</f>
        <v/>
      </c>
      <c r="K19" s="155">
        <f>I19+J19</f>
        <v/>
      </c>
      <c r="L19" s="155">
        <f>K19*D19</f>
        <v/>
      </c>
      <c r="M19" s="155" t="n">
        <v>3037004.13675685</v>
      </c>
      <c r="N19" s="155">
        <f>M19*19%</f>
        <v/>
      </c>
      <c r="O19" s="155">
        <f>M19+N19</f>
        <v/>
      </c>
      <c r="P19" s="155">
        <f>O19*D19</f>
        <v/>
      </c>
      <c r="Q19" s="156">
        <f>AVERAGE(G19,K19,O19)</f>
        <v/>
      </c>
      <c r="R19" s="156">
        <f>AVERAGE(H19,L19,P19)</f>
        <v/>
      </c>
      <c r="S19" s="156">
        <f>R19*12</f>
        <v/>
      </c>
    </row>
    <row r="20" ht="11.25" customHeight="1" s="135">
      <c r="A20" s="140" t="n">
        <v>3</v>
      </c>
      <c r="B20" s="144" t="inlineStr">
        <is>
          <t>PTE ARANDA LABORATORIO BOGOTA</t>
        </is>
      </c>
      <c r="C20" s="109" t="inlineStr">
        <is>
          <t>NVR 32 CANALES - 4K (INCLUYE ALMACENAMIENTO Y SWITCHES)</t>
        </is>
      </c>
      <c r="D20" s="144" t="n">
        <v>1</v>
      </c>
      <c r="E20" s="155" t="n">
        <v>554000</v>
      </c>
      <c r="F20" s="155">
        <f>E20*19%</f>
        <v/>
      </c>
      <c r="G20" s="155">
        <f>E20+F20</f>
        <v/>
      </c>
      <c r="H20" s="155">
        <f>G20*D20</f>
        <v/>
      </c>
      <c r="I20" s="155" t="n">
        <v>500539</v>
      </c>
      <c r="J20" s="155">
        <f>I20*19%</f>
        <v/>
      </c>
      <c r="K20" s="155">
        <f>I20+J20</f>
        <v/>
      </c>
      <c r="L20" s="155">
        <f>K20*D20</f>
        <v/>
      </c>
      <c r="M20" s="155" t="n">
        <v>524664.9798</v>
      </c>
      <c r="N20" s="155">
        <f>M20*19%</f>
        <v/>
      </c>
      <c r="O20" s="155">
        <f>M20+N20</f>
        <v/>
      </c>
      <c r="P20" s="155">
        <f>O20*D20</f>
        <v/>
      </c>
      <c r="Q20" s="156">
        <f>AVERAGE(G20,K20,O20)</f>
        <v/>
      </c>
      <c r="R20" s="156">
        <f>AVERAGE(H20,L20,P20)</f>
        <v/>
      </c>
      <c r="S20" s="156">
        <f>R20*12</f>
        <v/>
      </c>
    </row>
    <row r="21" ht="11.25" customHeight="1" s="135">
      <c r="A21" s="141" t="n"/>
      <c r="B21" s="121" t="n"/>
      <c r="C21" s="109" t="inlineStr">
        <is>
          <t>CÁMARA TIPO DOMO FIJA. VARIFOCAL</t>
        </is>
      </c>
      <c r="D21" s="144" t="n">
        <v>26</v>
      </c>
      <c r="E21" s="155" t="n">
        <v>55000</v>
      </c>
      <c r="F21" s="155">
        <f>E21*19%</f>
        <v/>
      </c>
      <c r="G21" s="155">
        <f>E21+F21</f>
        <v/>
      </c>
      <c r="H21" s="155">
        <f>G21*D21</f>
        <v/>
      </c>
      <c r="I21" s="155" t="n">
        <v>49692.5</v>
      </c>
      <c r="J21" s="155">
        <f>I21*19%</f>
        <v/>
      </c>
      <c r="K21" s="155">
        <f>I21+J21</f>
        <v/>
      </c>
      <c r="L21" s="155">
        <f>K21*D21</f>
        <v/>
      </c>
      <c r="M21" s="155" t="n">
        <v>52087.6785</v>
      </c>
      <c r="N21" s="155">
        <f>M21*19%</f>
        <v/>
      </c>
      <c r="O21" s="155">
        <f>M21+N21</f>
        <v/>
      </c>
      <c r="P21" s="155">
        <f>O21*D21</f>
        <v/>
      </c>
      <c r="Q21" s="156">
        <f>AVERAGE(G21,K21,O21)</f>
        <v/>
      </c>
      <c r="R21" s="156">
        <f>AVERAGE(H21,L21,P21)</f>
        <v/>
      </c>
      <c r="S21" s="156">
        <f>R21*12</f>
        <v/>
      </c>
    </row>
    <row r="22" ht="11.25" customHeight="1" s="135">
      <c r="A22" s="141" t="n"/>
      <c r="B22" s="121" t="n"/>
      <c r="C22" s="109" t="inlineStr">
        <is>
          <t>RACK GABINETE 5RU PARED</t>
        </is>
      </c>
      <c r="D22" s="144" t="n">
        <v>1</v>
      </c>
      <c r="E22" s="155" t="n">
        <v>31666.66666666667</v>
      </c>
      <c r="F22" s="155">
        <f>E22*19%</f>
        <v/>
      </c>
      <c r="G22" s="155">
        <f>E22+F22</f>
        <v/>
      </c>
      <c r="H22" s="155">
        <f>G22*D22</f>
        <v/>
      </c>
      <c r="I22" s="155" t="n">
        <v>28610.83333333334</v>
      </c>
      <c r="J22" s="155">
        <f>I22*19%</f>
        <v/>
      </c>
      <c r="K22" s="155">
        <f>I22+J22</f>
        <v/>
      </c>
      <c r="L22" s="155">
        <f>K22*D22</f>
        <v/>
      </c>
      <c r="M22" s="155" t="n">
        <v>29989.8755</v>
      </c>
      <c r="N22" s="155">
        <f>M22*19%</f>
        <v/>
      </c>
      <c r="O22" s="155">
        <f>M22+N22</f>
        <v/>
      </c>
      <c r="P22" s="155">
        <f>O22*D22</f>
        <v/>
      </c>
      <c r="Q22" s="156">
        <f>AVERAGE(G22,K22,O22)</f>
        <v/>
      </c>
      <c r="R22" s="156">
        <f>AVERAGE(H22,L22,P22)</f>
        <v/>
      </c>
      <c r="S22" s="156">
        <f>R22*12</f>
        <v/>
      </c>
    </row>
    <row r="23" ht="11.25" customHeight="1" s="135">
      <c r="A23" s="141" t="n"/>
      <c r="B23" s="121" t="n"/>
      <c r="C23" s="109" t="inlineStr">
        <is>
          <t>MONITOR 43"</t>
        </is>
      </c>
      <c r="D23" s="144" t="n">
        <v>1</v>
      </c>
      <c r="E23" s="155" t="n">
        <v>130000</v>
      </c>
      <c r="F23" s="155">
        <f>E23*19%</f>
        <v/>
      </c>
      <c r="G23" s="155">
        <f>E23+F23</f>
        <v/>
      </c>
      <c r="H23" s="155">
        <f>G23*D23</f>
        <v/>
      </c>
      <c r="I23" s="155" t="n">
        <v>117455</v>
      </c>
      <c r="J23" s="155">
        <f>I23*19%</f>
        <v/>
      </c>
      <c r="K23" s="155">
        <f>I23+J23</f>
        <v/>
      </c>
      <c r="L23" s="155">
        <f>K23*D23</f>
        <v/>
      </c>
      <c r="M23" s="155" t="n">
        <v>123116.331</v>
      </c>
      <c r="N23" s="155">
        <f>M23*19%</f>
        <v/>
      </c>
      <c r="O23" s="155">
        <f>M23+N23</f>
        <v/>
      </c>
      <c r="P23" s="155">
        <f>O23*D23</f>
        <v/>
      </c>
      <c r="Q23" s="156">
        <f>AVERAGE(G23,K23,O23)</f>
        <v/>
      </c>
      <c r="R23" s="156">
        <f>AVERAGE(H23,L23,P23)</f>
        <v/>
      </c>
      <c r="S23" s="156">
        <f>R23*12</f>
        <v/>
      </c>
    </row>
    <row r="24" ht="31.5" customHeight="1" s="135">
      <c r="A24" s="142" t="n"/>
      <c r="B24" s="122" t="n"/>
      <c r="C24" s="109" t="inlineStr">
        <is>
          <t>INFRAESTRUCTURA (infraestructura de interconexión (cableado, canalizaciones, rack), mano de obra por instalación, configuración y mantenimiento)</t>
        </is>
      </c>
      <c r="D24" s="144" t="n">
        <v>1</v>
      </c>
      <c r="E24" s="155" t="n">
        <v>2605532.166666667</v>
      </c>
      <c r="F24" s="155">
        <f>E24*19%</f>
        <v/>
      </c>
      <c r="G24" s="155">
        <f>E24+F24</f>
        <v/>
      </c>
      <c r="H24" s="155">
        <f>G24*D24</f>
        <v/>
      </c>
      <c r="I24" s="155" t="n">
        <v>2354098.312583333</v>
      </c>
      <c r="J24" s="155">
        <f>I24*19%</f>
        <v/>
      </c>
      <c r="K24" s="155">
        <f>I24+J24</f>
        <v/>
      </c>
      <c r="L24" s="155">
        <f>K24*D24</f>
        <v/>
      </c>
      <c r="M24" s="155" t="n">
        <v>2467565.85124985</v>
      </c>
      <c r="N24" s="155">
        <f>M24*19%</f>
        <v/>
      </c>
      <c r="O24" s="155">
        <f>M24+N24</f>
        <v/>
      </c>
      <c r="P24" s="155">
        <f>O24*D24</f>
        <v/>
      </c>
      <c r="Q24" s="156">
        <f>AVERAGE(G24,K24,O24)</f>
        <v/>
      </c>
      <c r="R24" s="156">
        <f>AVERAGE(H24,L24,P24)</f>
        <v/>
      </c>
      <c r="S24" s="156">
        <f>R24*12</f>
        <v/>
      </c>
    </row>
    <row r="25" ht="11.25" customHeight="1" s="135">
      <c r="A25" s="140" t="n">
        <v>4</v>
      </c>
      <c r="B25" s="144" t="inlineStr">
        <is>
          <t>MEDELLIN</t>
        </is>
      </c>
      <c r="C25" s="109" t="inlineStr">
        <is>
          <t>NVR 8 CANALES - 4K (INCLUYE ALMACENAMIENTO)</t>
        </is>
      </c>
      <c r="D25" s="144" t="n">
        <v>1</v>
      </c>
      <c r="E25" s="155" t="n">
        <v>267000</v>
      </c>
      <c r="F25" s="155">
        <f>E25*19%</f>
        <v/>
      </c>
      <c r="G25" s="155">
        <f>E25+F25</f>
        <v/>
      </c>
      <c r="H25" s="155">
        <f>G25*D25</f>
        <v/>
      </c>
      <c r="I25" s="155" t="n">
        <v>241234.5</v>
      </c>
      <c r="J25" s="155">
        <f>I25*19%</f>
        <v/>
      </c>
      <c r="K25" s="155">
        <f>I25+J25</f>
        <v/>
      </c>
      <c r="L25" s="155">
        <f>K25*D25</f>
        <v/>
      </c>
      <c r="M25" s="155" t="n">
        <v>252862.0029</v>
      </c>
      <c r="N25" s="155">
        <f>M25*19%</f>
        <v/>
      </c>
      <c r="O25" s="155">
        <f>M25+N25</f>
        <v/>
      </c>
      <c r="P25" s="155">
        <f>O25*D25</f>
        <v/>
      </c>
      <c r="Q25" s="156">
        <f>AVERAGE(G25,K25,O25)</f>
        <v/>
      </c>
      <c r="R25" s="156">
        <f>AVERAGE(H25,L25,P25)</f>
        <v/>
      </c>
      <c r="S25" s="156">
        <f>R25*12</f>
        <v/>
      </c>
    </row>
    <row r="26" ht="11.25" customHeight="1" s="135">
      <c r="A26" s="141" t="n"/>
      <c r="B26" s="121" t="n"/>
      <c r="C26" s="109" t="inlineStr">
        <is>
          <t>CÁMARA TIPO DOMO FIJA. VARIFOCAL</t>
        </is>
      </c>
      <c r="D26" s="144" t="n">
        <v>1</v>
      </c>
      <c r="E26" s="155" t="n">
        <v>55000</v>
      </c>
      <c r="F26" s="155">
        <f>E26*19%</f>
        <v/>
      </c>
      <c r="G26" s="155">
        <f>E26+F26</f>
        <v/>
      </c>
      <c r="H26" s="155">
        <f>G26*D26</f>
        <v/>
      </c>
      <c r="I26" s="155" t="n">
        <v>49692.5</v>
      </c>
      <c r="J26" s="155">
        <f>I26*19%</f>
        <v/>
      </c>
      <c r="K26" s="155">
        <f>I26+J26</f>
        <v/>
      </c>
      <c r="L26" s="155">
        <f>K26*D26</f>
        <v/>
      </c>
      <c r="M26" s="155" t="n">
        <v>52087.6785</v>
      </c>
      <c r="N26" s="155">
        <f>M26*19%</f>
        <v/>
      </c>
      <c r="O26" s="155">
        <f>M26+N26</f>
        <v/>
      </c>
      <c r="P26" s="155">
        <f>O26*D26</f>
        <v/>
      </c>
      <c r="Q26" s="156">
        <f>AVERAGE(G26,K26,O26)</f>
        <v/>
      </c>
      <c r="R26" s="156">
        <f>AVERAGE(H26,L26,P26)</f>
        <v/>
      </c>
      <c r="S26" s="156">
        <f>R26*12</f>
        <v/>
      </c>
    </row>
    <row r="27" ht="11.25" customHeight="1" s="135">
      <c r="A27" s="141" t="n"/>
      <c r="B27" s="121" t="n"/>
      <c r="C27" s="109" t="inlineStr">
        <is>
          <t>UPS 1KVA</t>
        </is>
      </c>
      <c r="D27" s="144" t="n">
        <v>1</v>
      </c>
      <c r="E27" s="155" t="n">
        <v>51000</v>
      </c>
      <c r="F27" s="155">
        <f>E27*19%</f>
        <v/>
      </c>
      <c r="G27" s="155">
        <f>E27+F27</f>
        <v/>
      </c>
      <c r="H27" s="155">
        <f>G27*D27</f>
        <v/>
      </c>
      <c r="I27" s="155" t="n">
        <v>46078.5</v>
      </c>
      <c r="J27" s="155">
        <f>I27*19%</f>
        <v/>
      </c>
      <c r="K27" s="155">
        <f>I27+J27</f>
        <v/>
      </c>
      <c r="L27" s="155">
        <f>K27*D27</f>
        <v/>
      </c>
      <c r="M27" s="155" t="n">
        <v>48299.4837</v>
      </c>
      <c r="N27" s="155">
        <f>M27*19%</f>
        <v/>
      </c>
      <c r="O27" s="155">
        <f>M27+N27</f>
        <v/>
      </c>
      <c r="P27" s="155">
        <f>O27*D27</f>
        <v/>
      </c>
      <c r="Q27" s="156">
        <f>AVERAGE(G27,K27,O27)</f>
        <v/>
      </c>
      <c r="R27" s="156">
        <f>AVERAGE(H27,L27,P27)</f>
        <v/>
      </c>
      <c r="S27" s="156">
        <f>R27*12</f>
        <v/>
      </c>
    </row>
    <row r="28" ht="11.25" customHeight="1" s="135">
      <c r="A28" s="141" t="n"/>
      <c r="B28" s="121" t="n"/>
      <c r="C28" s="109" t="inlineStr">
        <is>
          <t>RACK GABINETE 5RU PARED</t>
        </is>
      </c>
      <c r="D28" s="144" t="n">
        <v>1</v>
      </c>
      <c r="E28" s="155" t="n">
        <v>31666.66666666667</v>
      </c>
      <c r="F28" s="155">
        <f>E28*19%</f>
        <v/>
      </c>
      <c r="G28" s="155">
        <f>E28+F28</f>
        <v/>
      </c>
      <c r="H28" s="155">
        <f>G28*D28</f>
        <v/>
      </c>
      <c r="I28" s="155" t="n">
        <v>28610.83333333334</v>
      </c>
      <c r="J28" s="155">
        <f>I28*19%</f>
        <v/>
      </c>
      <c r="K28" s="155">
        <f>I28+J28</f>
        <v/>
      </c>
      <c r="L28" s="155">
        <f>K28*D28</f>
        <v/>
      </c>
      <c r="M28" s="155" t="n">
        <v>29989.8755</v>
      </c>
      <c r="N28" s="155">
        <f>M28*19%</f>
        <v/>
      </c>
      <c r="O28" s="155">
        <f>M28+N28</f>
        <v/>
      </c>
      <c r="P28" s="155">
        <f>O28*D28</f>
        <v/>
      </c>
      <c r="Q28" s="156">
        <f>AVERAGE(G28,K28,O28)</f>
        <v/>
      </c>
      <c r="R28" s="156">
        <f>AVERAGE(H28,L28,P28)</f>
        <v/>
      </c>
      <c r="S28" s="156">
        <f>R28*12</f>
        <v/>
      </c>
    </row>
    <row r="29" ht="11.25" customHeight="1" s="135">
      <c r="A29" s="141" t="n"/>
      <c r="B29" s="121" t="n"/>
      <c r="C29" s="109" t="inlineStr">
        <is>
          <t>MONITOR 24"</t>
        </is>
      </c>
      <c r="D29" s="144" t="n">
        <v>1</v>
      </c>
      <c r="E29" s="155" t="n">
        <v>50000</v>
      </c>
      <c r="F29" s="155">
        <f>E29*19%</f>
        <v/>
      </c>
      <c r="G29" s="155">
        <f>E29+F29</f>
        <v/>
      </c>
      <c r="H29" s="155">
        <f>G29*D29</f>
        <v/>
      </c>
      <c r="I29" s="155" t="n">
        <v>45175</v>
      </c>
      <c r="J29" s="155">
        <f>I29*19%</f>
        <v/>
      </c>
      <c r="K29" s="155">
        <f>I29+J29</f>
        <v/>
      </c>
      <c r="L29" s="155">
        <f>K29*D29</f>
        <v/>
      </c>
      <c r="M29" s="155" t="n">
        <v>47352.435</v>
      </c>
      <c r="N29" s="155">
        <f>M29*19%</f>
        <v/>
      </c>
      <c r="O29" s="155">
        <f>M29+N29</f>
        <v/>
      </c>
      <c r="P29" s="155">
        <f>O29*D29</f>
        <v/>
      </c>
      <c r="Q29" s="156">
        <f>AVERAGE(G29,K29,O29)</f>
        <v/>
      </c>
      <c r="R29" s="156">
        <f>AVERAGE(H29,L29,P29)</f>
        <v/>
      </c>
      <c r="S29" s="156">
        <f>R29*12</f>
        <v/>
      </c>
    </row>
    <row r="30" ht="26.25" customHeight="1" s="135">
      <c r="A30" s="142" t="n"/>
      <c r="B30" s="122" t="n"/>
      <c r="C30" s="109" t="inlineStr">
        <is>
          <t>INFRAESTRUCTURA (infraestructura de interconexión (cableado, canalizaciones, rack), mano de obra por instalación, configuración y mantenimiento)</t>
        </is>
      </c>
      <c r="D30" s="144" t="n">
        <v>1</v>
      </c>
      <c r="E30" s="155" t="n">
        <v>327425.4166666667</v>
      </c>
      <c r="F30" s="155">
        <f>E30*19%</f>
        <v/>
      </c>
      <c r="G30" s="155">
        <f>E30+F30</f>
        <v/>
      </c>
      <c r="H30" s="155">
        <f>G30*D30</f>
        <v/>
      </c>
      <c r="I30" s="155" t="n">
        <v>295828.8639583333</v>
      </c>
      <c r="J30" s="155">
        <f>I30*19%</f>
        <v/>
      </c>
      <c r="K30" s="155">
        <f>I30+J30</f>
        <v/>
      </c>
      <c r="L30" s="155">
        <f>K30*D30</f>
        <v/>
      </c>
      <c r="M30" s="155" t="n">
        <v>310087.815201125</v>
      </c>
      <c r="N30" s="155">
        <f>M30*19%</f>
        <v/>
      </c>
      <c r="O30" s="155">
        <f>M30+N30</f>
        <v/>
      </c>
      <c r="P30" s="155">
        <f>O30*D30</f>
        <v/>
      </c>
      <c r="Q30" s="156">
        <f>AVERAGE(G30,K30,O30)</f>
        <v/>
      </c>
      <c r="R30" s="156">
        <f>AVERAGE(H30,L30,P30)</f>
        <v/>
      </c>
      <c r="S30" s="156">
        <f>R30*12</f>
        <v/>
      </c>
    </row>
    <row r="31" ht="11.25" customHeight="1" s="135">
      <c r="A31" s="140" t="n">
        <v>5</v>
      </c>
      <c r="B31" s="144" t="inlineStr">
        <is>
          <t>BARRANQUILLA</t>
        </is>
      </c>
      <c r="C31" s="109" t="inlineStr">
        <is>
          <t>NVR 8 CANALES - 4K (INCLUYE ALMACENAMIENTO)</t>
        </is>
      </c>
      <c r="D31" s="144" t="n">
        <v>1</v>
      </c>
      <c r="E31" s="155" t="n">
        <v>267000</v>
      </c>
      <c r="F31" s="155">
        <f>E31*19%</f>
        <v/>
      </c>
      <c r="G31" s="155">
        <f>E31+F31</f>
        <v/>
      </c>
      <c r="H31" s="155">
        <f>G31*D31</f>
        <v/>
      </c>
      <c r="I31" s="155" t="n">
        <v>241234.5</v>
      </c>
      <c r="J31" s="155">
        <f>I31*19%</f>
        <v/>
      </c>
      <c r="K31" s="155">
        <f>I31+J31</f>
        <v/>
      </c>
      <c r="L31" s="155">
        <f>K31*D31</f>
        <v/>
      </c>
      <c r="M31" s="155" t="n">
        <v>252862.0029</v>
      </c>
      <c r="N31" s="155">
        <f>M31*19%</f>
        <v/>
      </c>
      <c r="O31" s="155">
        <f>M31+N31</f>
        <v/>
      </c>
      <c r="P31" s="155">
        <f>O31*D31</f>
        <v/>
      </c>
      <c r="Q31" s="156">
        <f>AVERAGE(G31,K31,O31)</f>
        <v/>
      </c>
      <c r="R31" s="156">
        <f>AVERAGE(H31,L31,P31)</f>
        <v/>
      </c>
      <c r="S31" s="156">
        <f>R31*12</f>
        <v/>
      </c>
    </row>
    <row r="32" ht="11.25" customHeight="1" s="135">
      <c r="A32" s="141" t="n"/>
      <c r="B32" s="121" t="n"/>
      <c r="C32" s="109" t="inlineStr">
        <is>
          <t>CÁMARA TIPO DOMO FIJA. VARIFOCAL</t>
        </is>
      </c>
      <c r="D32" s="144" t="n">
        <v>1</v>
      </c>
      <c r="E32" s="155" t="n">
        <v>55000</v>
      </c>
      <c r="F32" s="155">
        <f>E32*19%</f>
        <v/>
      </c>
      <c r="G32" s="155">
        <f>E32+F32</f>
        <v/>
      </c>
      <c r="H32" s="155">
        <f>G32*D32</f>
        <v/>
      </c>
      <c r="I32" s="155" t="n">
        <v>49692.5</v>
      </c>
      <c r="J32" s="155">
        <f>I32*19%</f>
        <v/>
      </c>
      <c r="K32" s="155">
        <f>I32+J32</f>
        <v/>
      </c>
      <c r="L32" s="155">
        <f>K32*D32</f>
        <v/>
      </c>
      <c r="M32" s="155" t="n">
        <v>52087.6785</v>
      </c>
      <c r="N32" s="155">
        <f>M32*19%</f>
        <v/>
      </c>
      <c r="O32" s="155">
        <f>M32+N32</f>
        <v/>
      </c>
      <c r="P32" s="155">
        <f>O32*D32</f>
        <v/>
      </c>
      <c r="Q32" s="156">
        <f>AVERAGE(G32,K32,O32)</f>
        <v/>
      </c>
      <c r="R32" s="156">
        <f>AVERAGE(H32,L32,P32)</f>
        <v/>
      </c>
      <c r="S32" s="156">
        <f>R32*12</f>
        <v/>
      </c>
    </row>
    <row r="33" ht="11.25" customHeight="1" s="135">
      <c r="A33" s="141" t="n"/>
      <c r="B33" s="121" t="n"/>
      <c r="C33" s="109" t="inlineStr">
        <is>
          <t>UPS 1KVA</t>
        </is>
      </c>
      <c r="D33" s="144" t="n">
        <v>1</v>
      </c>
      <c r="E33" s="155" t="n">
        <v>51000</v>
      </c>
      <c r="F33" s="155">
        <f>E33*19%</f>
        <v/>
      </c>
      <c r="G33" s="155">
        <f>E33+F33</f>
        <v/>
      </c>
      <c r="H33" s="155">
        <f>G33*D33</f>
        <v/>
      </c>
      <c r="I33" s="155" t="n">
        <v>46078.5</v>
      </c>
      <c r="J33" s="155">
        <f>I33*19%</f>
        <v/>
      </c>
      <c r="K33" s="155">
        <f>I33+J33</f>
        <v/>
      </c>
      <c r="L33" s="155">
        <f>K33*D33</f>
        <v/>
      </c>
      <c r="M33" s="155" t="n">
        <v>48299.4837</v>
      </c>
      <c r="N33" s="155">
        <f>M33*19%</f>
        <v/>
      </c>
      <c r="O33" s="155">
        <f>M33+N33</f>
        <v/>
      </c>
      <c r="P33" s="155">
        <f>O33*D33</f>
        <v/>
      </c>
      <c r="Q33" s="156">
        <f>AVERAGE(G33,K33,O33)</f>
        <v/>
      </c>
      <c r="R33" s="156">
        <f>AVERAGE(H33,L33,P33)</f>
        <v/>
      </c>
      <c r="S33" s="156">
        <f>R33*12</f>
        <v/>
      </c>
    </row>
    <row r="34" ht="11.25" customHeight="1" s="135">
      <c r="A34" s="141" t="n"/>
      <c r="B34" s="121" t="n"/>
      <c r="C34" s="109" t="inlineStr">
        <is>
          <t>RACK GABINETE 5RU PARED</t>
        </is>
      </c>
      <c r="D34" s="144" t="n">
        <v>1</v>
      </c>
      <c r="E34" s="155" t="n">
        <v>31666.66666666667</v>
      </c>
      <c r="F34" s="155">
        <f>E34*19%</f>
        <v/>
      </c>
      <c r="G34" s="155">
        <f>E34+F34</f>
        <v/>
      </c>
      <c r="H34" s="155">
        <f>G34*D34</f>
        <v/>
      </c>
      <c r="I34" s="155" t="n">
        <v>28610.83333333334</v>
      </c>
      <c r="J34" s="155">
        <f>I34*19%</f>
        <v/>
      </c>
      <c r="K34" s="155">
        <f>I34+J34</f>
        <v/>
      </c>
      <c r="L34" s="155">
        <f>K34*D34</f>
        <v/>
      </c>
      <c r="M34" s="155" t="n">
        <v>29989.8755</v>
      </c>
      <c r="N34" s="155">
        <f>M34*19%</f>
        <v/>
      </c>
      <c r="O34" s="155">
        <f>M34+N34</f>
        <v/>
      </c>
      <c r="P34" s="155">
        <f>O34*D34</f>
        <v/>
      </c>
      <c r="Q34" s="156">
        <f>AVERAGE(G34,K34,O34)</f>
        <v/>
      </c>
      <c r="R34" s="156">
        <f>AVERAGE(H34,L34,P34)</f>
        <v/>
      </c>
      <c r="S34" s="156">
        <f>R34*12</f>
        <v/>
      </c>
    </row>
    <row r="35" ht="11.25" customHeight="1" s="135">
      <c r="A35" s="141" t="n"/>
      <c r="B35" s="121" t="n"/>
      <c r="C35" s="109" t="inlineStr">
        <is>
          <t>MONITOR 24"</t>
        </is>
      </c>
      <c r="D35" s="144" t="n">
        <v>1</v>
      </c>
      <c r="E35" s="155" t="n">
        <v>50000</v>
      </c>
      <c r="F35" s="155">
        <f>E35*19%</f>
        <v/>
      </c>
      <c r="G35" s="155">
        <f>E35+F35</f>
        <v/>
      </c>
      <c r="H35" s="155">
        <f>G35*D35</f>
        <v/>
      </c>
      <c r="I35" s="155" t="n">
        <v>45175</v>
      </c>
      <c r="J35" s="155">
        <f>I35*19%</f>
        <v/>
      </c>
      <c r="K35" s="155">
        <f>I35+J35</f>
        <v/>
      </c>
      <c r="L35" s="155">
        <f>K35*D35</f>
        <v/>
      </c>
      <c r="M35" s="155" t="n">
        <v>47352.435</v>
      </c>
      <c r="N35" s="155">
        <f>M35*19%</f>
        <v/>
      </c>
      <c r="O35" s="155">
        <f>M35+N35</f>
        <v/>
      </c>
      <c r="P35" s="155">
        <f>O35*D35</f>
        <v/>
      </c>
      <c r="Q35" s="156">
        <f>AVERAGE(G35,K35,O35)</f>
        <v/>
      </c>
      <c r="R35" s="156">
        <f>AVERAGE(H35,L35,P35)</f>
        <v/>
      </c>
      <c r="S35" s="156">
        <f>R35*12</f>
        <v/>
      </c>
    </row>
    <row r="36" ht="24.75" customHeight="1" s="135">
      <c r="A36" s="142" t="n"/>
      <c r="B36" s="122" t="n"/>
      <c r="C36" s="109" t="inlineStr">
        <is>
          <t>INFRAESTRUCTURA (infraestructura de interconexión (cableado, canalizaciones, rack), mano de obra por instalación, configuración y mantenimiento)</t>
        </is>
      </c>
      <c r="D36" s="144" t="n">
        <v>1</v>
      </c>
      <c r="E36" s="155" t="n">
        <v>327425.4166666667</v>
      </c>
      <c r="F36" s="155">
        <f>E36*19%</f>
        <v/>
      </c>
      <c r="G36" s="155">
        <f>E36+F36</f>
        <v/>
      </c>
      <c r="H36" s="155">
        <f>G36*D36</f>
        <v/>
      </c>
      <c r="I36" s="155" t="n">
        <v>295828.8639583333</v>
      </c>
      <c r="J36" s="155">
        <f>I36*19%</f>
        <v/>
      </c>
      <c r="K36" s="155">
        <f>I36+J36</f>
        <v/>
      </c>
      <c r="L36" s="155">
        <f>K36*D36</f>
        <v/>
      </c>
      <c r="M36" s="155" t="n">
        <v>310087.815201125</v>
      </c>
      <c r="N36" s="155">
        <f>M36*19%</f>
        <v/>
      </c>
      <c r="O36" s="155">
        <f>M36+N36</f>
        <v/>
      </c>
      <c r="P36" s="155">
        <f>O36*D36</f>
        <v/>
      </c>
      <c r="Q36" s="156">
        <f>AVERAGE(G36,K36,O36)</f>
        <v/>
      </c>
      <c r="R36" s="156">
        <f>AVERAGE(H36,L36,P36)</f>
        <v/>
      </c>
      <c r="S36" s="156">
        <f>R36*12</f>
        <v/>
      </c>
    </row>
    <row r="37" ht="11.25" customHeight="1" s="135">
      <c r="A37" s="140" t="n">
        <v>6</v>
      </c>
      <c r="B37" s="144" t="inlineStr">
        <is>
          <t>VILLAVICENCIO</t>
        </is>
      </c>
      <c r="C37" s="109" t="inlineStr">
        <is>
          <t>NVR 8 CANALES - 4K (INCLUYE ALMACENAMIENTO)</t>
        </is>
      </c>
      <c r="D37" s="144" t="n">
        <v>1</v>
      </c>
      <c r="E37" s="155" t="n">
        <v>267000</v>
      </c>
      <c r="F37" s="155">
        <f>E37*19%</f>
        <v/>
      </c>
      <c r="G37" s="155">
        <f>E37+F37</f>
        <v/>
      </c>
      <c r="H37" s="155">
        <f>G37*D37</f>
        <v/>
      </c>
      <c r="I37" s="155" t="n">
        <v>241234.5</v>
      </c>
      <c r="J37" s="155">
        <f>I37*19%</f>
        <v/>
      </c>
      <c r="K37" s="155">
        <f>I37+J37</f>
        <v/>
      </c>
      <c r="L37" s="155">
        <f>K37*D37</f>
        <v/>
      </c>
      <c r="M37" s="155" t="n">
        <v>252862.0029</v>
      </c>
      <c r="N37" s="155">
        <f>M37*19%</f>
        <v/>
      </c>
      <c r="O37" s="155">
        <f>M37+N37</f>
        <v/>
      </c>
      <c r="P37" s="155">
        <f>O37*D37</f>
        <v/>
      </c>
      <c r="Q37" s="156">
        <f>AVERAGE(G37,K37,O37)</f>
        <v/>
      </c>
      <c r="R37" s="156">
        <f>AVERAGE(H37,L37,P37)</f>
        <v/>
      </c>
      <c r="S37" s="156">
        <f>R37*12</f>
        <v/>
      </c>
    </row>
    <row r="38" ht="11.25" customHeight="1" s="135">
      <c r="A38" s="141" t="n"/>
      <c r="B38" s="121" t="n"/>
      <c r="C38" s="109" t="inlineStr">
        <is>
          <t>CÁMARA TIPO DOMO FIJA. VARIFOCAL</t>
        </is>
      </c>
      <c r="D38" s="144" t="n">
        <v>2</v>
      </c>
      <c r="E38" s="155" t="n">
        <v>55000</v>
      </c>
      <c r="F38" s="155">
        <f>E38*19%</f>
        <v/>
      </c>
      <c r="G38" s="155">
        <f>E38+F38</f>
        <v/>
      </c>
      <c r="H38" s="155">
        <f>G38*D38</f>
        <v/>
      </c>
      <c r="I38" s="155" t="n">
        <v>49692.5</v>
      </c>
      <c r="J38" s="155">
        <f>I38*19%</f>
        <v/>
      </c>
      <c r="K38" s="155">
        <f>I38+J38</f>
        <v/>
      </c>
      <c r="L38" s="155">
        <f>K38*D38</f>
        <v/>
      </c>
      <c r="M38" s="155" t="n">
        <v>52087.6785</v>
      </c>
      <c r="N38" s="155">
        <f>M38*19%</f>
        <v/>
      </c>
      <c r="O38" s="155">
        <f>M38+N38</f>
        <v/>
      </c>
      <c r="P38" s="155">
        <f>O38*D38</f>
        <v/>
      </c>
      <c r="Q38" s="156">
        <f>AVERAGE(G38,K38,O38)</f>
        <v/>
      </c>
      <c r="R38" s="156">
        <f>AVERAGE(H38,L38,P38)</f>
        <v/>
      </c>
      <c r="S38" s="156">
        <f>R38*12</f>
        <v/>
      </c>
    </row>
    <row r="39" ht="11.25" customHeight="1" s="135">
      <c r="A39" s="141" t="n"/>
      <c r="B39" s="121" t="n"/>
      <c r="C39" s="109" t="inlineStr">
        <is>
          <t>UPS 1KVA</t>
        </is>
      </c>
      <c r="D39" s="144" t="n">
        <v>1</v>
      </c>
      <c r="E39" s="155" t="n">
        <v>51000</v>
      </c>
      <c r="F39" s="155">
        <f>E39*19%</f>
        <v/>
      </c>
      <c r="G39" s="155">
        <f>E39+F39</f>
        <v/>
      </c>
      <c r="H39" s="155">
        <f>G39*D39</f>
        <v/>
      </c>
      <c r="I39" s="155" t="n">
        <v>46078.5</v>
      </c>
      <c r="J39" s="155">
        <f>I39*19%</f>
        <v/>
      </c>
      <c r="K39" s="155">
        <f>I39+J39</f>
        <v/>
      </c>
      <c r="L39" s="155">
        <f>K39*D39</f>
        <v/>
      </c>
      <c r="M39" s="155" t="n">
        <v>48299.4837</v>
      </c>
      <c r="N39" s="155">
        <f>M39*19%</f>
        <v/>
      </c>
      <c r="O39" s="155">
        <f>M39+N39</f>
        <v/>
      </c>
      <c r="P39" s="155">
        <f>O39*D39</f>
        <v/>
      </c>
      <c r="Q39" s="156">
        <f>AVERAGE(G39,K39,O39)</f>
        <v/>
      </c>
      <c r="R39" s="156">
        <f>AVERAGE(H39,L39,P39)</f>
        <v/>
      </c>
      <c r="S39" s="156">
        <f>R39*12</f>
        <v/>
      </c>
    </row>
    <row r="40" ht="11.25" customHeight="1" s="135">
      <c r="A40" s="141" t="n"/>
      <c r="B40" s="121" t="n"/>
      <c r="C40" s="109" t="inlineStr">
        <is>
          <t>RACK GABINETE 5RU PARED</t>
        </is>
      </c>
      <c r="D40" s="144" t="n">
        <v>1</v>
      </c>
      <c r="E40" s="155" t="n">
        <v>31666.66666666667</v>
      </c>
      <c r="F40" s="155">
        <f>E40*19%</f>
        <v/>
      </c>
      <c r="G40" s="155">
        <f>E40+F40</f>
        <v/>
      </c>
      <c r="H40" s="155">
        <f>G40*D40</f>
        <v/>
      </c>
      <c r="I40" s="155" t="n">
        <v>28610.83333333334</v>
      </c>
      <c r="J40" s="155">
        <f>I40*19%</f>
        <v/>
      </c>
      <c r="K40" s="155">
        <f>I40+J40</f>
        <v/>
      </c>
      <c r="L40" s="155">
        <f>K40*D40</f>
        <v/>
      </c>
      <c r="M40" s="155" t="n">
        <v>29989.8755</v>
      </c>
      <c r="N40" s="155">
        <f>M40*19%</f>
        <v/>
      </c>
      <c r="O40" s="155">
        <f>M40+N40</f>
        <v/>
      </c>
      <c r="P40" s="155">
        <f>O40*D40</f>
        <v/>
      </c>
      <c r="Q40" s="156">
        <f>AVERAGE(G40,K40,O40)</f>
        <v/>
      </c>
      <c r="R40" s="156">
        <f>AVERAGE(H40,L40,P40)</f>
        <v/>
      </c>
      <c r="S40" s="156">
        <f>R40*12</f>
        <v/>
      </c>
    </row>
    <row r="41" ht="11.25" customHeight="1" s="135">
      <c r="A41" s="141" t="n"/>
      <c r="B41" s="121" t="n"/>
      <c r="C41" s="109" t="inlineStr">
        <is>
          <t>MONITOR 24"</t>
        </is>
      </c>
      <c r="D41" s="144" t="n">
        <v>1</v>
      </c>
      <c r="E41" s="155" t="n">
        <v>50000</v>
      </c>
      <c r="F41" s="155">
        <f>E41*19%</f>
        <v/>
      </c>
      <c r="G41" s="155">
        <f>E41+F41</f>
        <v/>
      </c>
      <c r="H41" s="155">
        <f>G41*D41</f>
        <v/>
      </c>
      <c r="I41" s="155" t="n">
        <v>45175</v>
      </c>
      <c r="J41" s="155">
        <f>I41*19%</f>
        <v/>
      </c>
      <c r="K41" s="155">
        <f>I41+J41</f>
        <v/>
      </c>
      <c r="L41" s="155">
        <f>K41*D41</f>
        <v/>
      </c>
      <c r="M41" s="155" t="n">
        <v>47352.435</v>
      </c>
      <c r="N41" s="155">
        <f>M41*19%</f>
        <v/>
      </c>
      <c r="O41" s="155">
        <f>M41+N41</f>
        <v/>
      </c>
      <c r="P41" s="155">
        <f>O41*D41</f>
        <v/>
      </c>
      <c r="Q41" s="156">
        <f>AVERAGE(G41,K41,O41)</f>
        <v/>
      </c>
      <c r="R41" s="156">
        <f>AVERAGE(H41,L41,P41)</f>
        <v/>
      </c>
      <c r="S41" s="156">
        <f>R41*12</f>
        <v/>
      </c>
    </row>
    <row r="42" ht="31.5" customHeight="1" s="135">
      <c r="A42" s="142" t="n"/>
      <c r="B42" s="122" t="n"/>
      <c r="C42" s="109" t="inlineStr">
        <is>
          <t>INFRAESTRUCTURA (infraestructura de interconexión (cableado, canalizaciones, rack), mano de obra por instalación, configuración y mantenimiento)</t>
        </is>
      </c>
      <c r="D42" s="144" t="n">
        <v>1</v>
      </c>
      <c r="E42" s="155" t="n">
        <v>601858.0833333334</v>
      </c>
      <c r="F42" s="155">
        <f>E42*19%</f>
        <v/>
      </c>
      <c r="G42" s="155">
        <f>E42+F42</f>
        <v/>
      </c>
      <c r="H42" s="155">
        <f>G42*D42</f>
        <v/>
      </c>
      <c r="I42" s="155" t="n">
        <v>543778.7782916666</v>
      </c>
      <c r="J42" s="155">
        <f>I42*19%</f>
        <v/>
      </c>
      <c r="K42" s="155">
        <f>I42+J42</f>
        <v/>
      </c>
      <c r="L42" s="155">
        <f>K42*D42</f>
        <v/>
      </c>
      <c r="M42" s="155" t="n">
        <v>569988.915405325</v>
      </c>
      <c r="N42" s="155">
        <f>M42*19%</f>
        <v/>
      </c>
      <c r="O42" s="155">
        <f>M42+N42</f>
        <v/>
      </c>
      <c r="P42" s="155">
        <f>O42*D42</f>
        <v/>
      </c>
      <c r="Q42" s="156">
        <f>AVERAGE(G42,K42,O42)</f>
        <v/>
      </c>
      <c r="R42" s="156">
        <f>AVERAGE(H42,L42,P42)</f>
        <v/>
      </c>
      <c r="S42" s="156">
        <f>R42*12</f>
        <v/>
      </c>
    </row>
    <row r="43" ht="11.25" customHeight="1" s="135">
      <c r="A43" s="140" t="n">
        <v>7</v>
      </c>
      <c r="B43" s="144" t="inlineStr">
        <is>
          <t>NEIVA</t>
        </is>
      </c>
      <c r="C43" s="109" t="inlineStr">
        <is>
          <t>NVR 8 CANALES - 4K (INCLUYE ALMACENAMIENTO)</t>
        </is>
      </c>
      <c r="D43" s="144" t="n">
        <v>1</v>
      </c>
      <c r="E43" s="155" t="n">
        <v>267000</v>
      </c>
      <c r="F43" s="155">
        <f>E43*19%</f>
        <v/>
      </c>
      <c r="G43" s="155">
        <f>E43+F43</f>
        <v/>
      </c>
      <c r="H43" s="155">
        <f>G43*D43</f>
        <v/>
      </c>
      <c r="I43" s="155" t="n">
        <v>241234.5</v>
      </c>
      <c r="J43" s="155">
        <f>I43*19%</f>
        <v/>
      </c>
      <c r="K43" s="155">
        <f>I43+J43</f>
        <v/>
      </c>
      <c r="L43" s="155">
        <f>K43*D43</f>
        <v/>
      </c>
      <c r="M43" s="155" t="n">
        <v>252862.0029</v>
      </c>
      <c r="N43" s="155">
        <f>M43*19%</f>
        <v/>
      </c>
      <c r="O43" s="155">
        <f>M43+N43</f>
        <v/>
      </c>
      <c r="P43" s="155">
        <f>O43*D43</f>
        <v/>
      </c>
      <c r="Q43" s="156">
        <f>AVERAGE(G43,K43,O43)</f>
        <v/>
      </c>
      <c r="R43" s="156">
        <f>AVERAGE(H43,L43,P43)</f>
        <v/>
      </c>
      <c r="S43" s="156">
        <f>R43*12</f>
        <v/>
      </c>
    </row>
    <row r="44" ht="11.25" customHeight="1" s="135">
      <c r="A44" s="141" t="n"/>
      <c r="B44" s="121" t="n"/>
      <c r="C44" s="109" t="inlineStr">
        <is>
          <t>CÁMARA TIPO DOMO FIJA. VARIFOCAL</t>
        </is>
      </c>
      <c r="D44" s="144" t="n">
        <v>2</v>
      </c>
      <c r="E44" s="155" t="n">
        <v>55000</v>
      </c>
      <c r="F44" s="155">
        <f>E44*19%</f>
        <v/>
      </c>
      <c r="G44" s="155">
        <f>E44+F44</f>
        <v/>
      </c>
      <c r="H44" s="155">
        <f>G44*D44</f>
        <v/>
      </c>
      <c r="I44" s="155" t="n">
        <v>49692.5</v>
      </c>
      <c r="J44" s="155">
        <f>I44*19%</f>
        <v/>
      </c>
      <c r="K44" s="155">
        <f>I44+J44</f>
        <v/>
      </c>
      <c r="L44" s="155">
        <f>K44*D44</f>
        <v/>
      </c>
      <c r="M44" s="155" t="n">
        <v>52087.6785</v>
      </c>
      <c r="N44" s="155">
        <f>M44*19%</f>
        <v/>
      </c>
      <c r="O44" s="155">
        <f>M44+N44</f>
        <v/>
      </c>
      <c r="P44" s="155">
        <f>O44*D44</f>
        <v/>
      </c>
      <c r="Q44" s="156">
        <f>AVERAGE(G44,K44,O44)</f>
        <v/>
      </c>
      <c r="R44" s="156">
        <f>AVERAGE(H44,L44,P44)</f>
        <v/>
      </c>
      <c r="S44" s="156">
        <f>R44*12</f>
        <v/>
      </c>
    </row>
    <row r="45" ht="11.25" customHeight="1" s="135">
      <c r="A45" s="141" t="n"/>
      <c r="B45" s="121" t="n"/>
      <c r="C45" s="109" t="inlineStr">
        <is>
          <t>UPS 1KVA</t>
        </is>
      </c>
      <c r="D45" s="144" t="n">
        <v>1</v>
      </c>
      <c r="E45" s="155" t="n">
        <v>51000</v>
      </c>
      <c r="F45" s="155">
        <f>E45*19%</f>
        <v/>
      </c>
      <c r="G45" s="155">
        <f>E45+F45</f>
        <v/>
      </c>
      <c r="H45" s="155">
        <f>G45*D45</f>
        <v/>
      </c>
      <c r="I45" s="155" t="n">
        <v>46078.5</v>
      </c>
      <c r="J45" s="155">
        <f>I45*19%</f>
        <v/>
      </c>
      <c r="K45" s="155">
        <f>I45+J45</f>
        <v/>
      </c>
      <c r="L45" s="155">
        <f>K45*D45</f>
        <v/>
      </c>
      <c r="M45" s="155" t="n">
        <v>48299.4837</v>
      </c>
      <c r="N45" s="155">
        <f>M45*19%</f>
        <v/>
      </c>
      <c r="O45" s="155">
        <f>M45+N45</f>
        <v/>
      </c>
      <c r="P45" s="155">
        <f>O45*D45</f>
        <v/>
      </c>
      <c r="Q45" s="156">
        <f>AVERAGE(G45,K45,O45)</f>
        <v/>
      </c>
      <c r="R45" s="156">
        <f>AVERAGE(H45,L45,P45)</f>
        <v/>
      </c>
      <c r="S45" s="156">
        <f>R45*12</f>
        <v/>
      </c>
    </row>
    <row r="46" ht="11.25" customHeight="1" s="135">
      <c r="A46" s="141" t="n"/>
      <c r="B46" s="121" t="n"/>
      <c r="C46" s="109" t="inlineStr">
        <is>
          <t>RACK GABINETE 5RU PARED</t>
        </is>
      </c>
      <c r="D46" s="144" t="n">
        <v>1</v>
      </c>
      <c r="E46" s="155" t="n">
        <v>31666.66666666667</v>
      </c>
      <c r="F46" s="155">
        <f>E46*19%</f>
        <v/>
      </c>
      <c r="G46" s="155">
        <f>E46+F46</f>
        <v/>
      </c>
      <c r="H46" s="155">
        <f>G46*D46</f>
        <v/>
      </c>
      <c r="I46" s="155" t="n">
        <v>28610.83333333334</v>
      </c>
      <c r="J46" s="155">
        <f>I46*19%</f>
        <v/>
      </c>
      <c r="K46" s="155">
        <f>I46+J46</f>
        <v/>
      </c>
      <c r="L46" s="155">
        <f>K46*D46</f>
        <v/>
      </c>
      <c r="M46" s="155" t="n">
        <v>29989.8755</v>
      </c>
      <c r="N46" s="155">
        <f>M46*19%</f>
        <v/>
      </c>
      <c r="O46" s="155">
        <f>M46+N46</f>
        <v/>
      </c>
      <c r="P46" s="155">
        <f>O46*D46</f>
        <v/>
      </c>
      <c r="Q46" s="156">
        <f>AVERAGE(G46,K46,O46)</f>
        <v/>
      </c>
      <c r="R46" s="156">
        <f>AVERAGE(H46,L46,P46)</f>
        <v/>
      </c>
      <c r="S46" s="156">
        <f>R46*12</f>
        <v/>
      </c>
    </row>
    <row r="47" ht="11.25" customHeight="1" s="135">
      <c r="A47" s="141" t="n"/>
      <c r="B47" s="121" t="n"/>
      <c r="C47" s="109" t="inlineStr">
        <is>
          <t>MONITOR 24"</t>
        </is>
      </c>
      <c r="D47" s="144" t="n">
        <v>1</v>
      </c>
      <c r="E47" s="155" t="n">
        <v>50000</v>
      </c>
      <c r="F47" s="155">
        <f>E47*19%</f>
        <v/>
      </c>
      <c r="G47" s="155">
        <f>E47+F47</f>
        <v/>
      </c>
      <c r="H47" s="155">
        <f>G47*D47</f>
        <v/>
      </c>
      <c r="I47" s="155" t="n">
        <v>45175</v>
      </c>
      <c r="J47" s="155">
        <f>I47*19%</f>
        <v/>
      </c>
      <c r="K47" s="155">
        <f>I47+J47</f>
        <v/>
      </c>
      <c r="L47" s="155">
        <f>K47*D47</f>
        <v/>
      </c>
      <c r="M47" s="155" t="n">
        <v>47352.435</v>
      </c>
      <c r="N47" s="155">
        <f>M47*19%</f>
        <v/>
      </c>
      <c r="O47" s="155">
        <f>M47+N47</f>
        <v/>
      </c>
      <c r="P47" s="155">
        <f>O47*D47</f>
        <v/>
      </c>
      <c r="Q47" s="156">
        <f>AVERAGE(G47,K47,O47)</f>
        <v/>
      </c>
      <c r="R47" s="156">
        <f>AVERAGE(H47,L47,P47)</f>
        <v/>
      </c>
      <c r="S47" s="156">
        <f>R47*12</f>
        <v/>
      </c>
    </row>
    <row r="48" ht="24" customHeight="1" s="135">
      <c r="A48" s="142" t="n"/>
      <c r="B48" s="122" t="n"/>
      <c r="C48" s="109" t="inlineStr">
        <is>
          <t>INFRAESTRUCTURA (infraestructura de interconexión (cableado, canalizaciones, rack), mano de obra por instalación, configuración y mantenimiento)</t>
        </is>
      </c>
      <c r="D48" s="144" t="n">
        <v>1</v>
      </c>
      <c r="E48" s="155" t="n">
        <v>601858.0833333334</v>
      </c>
      <c r="F48" s="155">
        <f>E48*19%</f>
        <v/>
      </c>
      <c r="G48" s="155">
        <f>E48+F48</f>
        <v/>
      </c>
      <c r="H48" s="155">
        <f>G48*D48</f>
        <v/>
      </c>
      <c r="I48" s="155" t="n">
        <v>543778.7782916666</v>
      </c>
      <c r="J48" s="155">
        <f>I48*19%</f>
        <v/>
      </c>
      <c r="K48" s="155">
        <f>I48+J48</f>
        <v/>
      </c>
      <c r="L48" s="155">
        <f>K48*D48</f>
        <v/>
      </c>
      <c r="M48" s="155" t="n">
        <v>569988.915405325</v>
      </c>
      <c r="N48" s="155">
        <f>M48*19%</f>
        <v/>
      </c>
      <c r="O48" s="155">
        <f>M48+N48</f>
        <v/>
      </c>
      <c r="P48" s="155">
        <f>O48*D48</f>
        <v/>
      </c>
      <c r="Q48" s="156">
        <f>AVERAGE(G48,K48,O48)</f>
        <v/>
      </c>
      <c r="R48" s="156">
        <f>AVERAGE(H48,L48,P48)</f>
        <v/>
      </c>
      <c r="S48" s="156">
        <f>R48*12</f>
        <v/>
      </c>
    </row>
    <row r="49" ht="11.25" customHeight="1" s="135">
      <c r="A49" s="140" t="n">
        <v>8</v>
      </c>
      <c r="B49" s="144" t="inlineStr">
        <is>
          <t>SANTA MARTA</t>
        </is>
      </c>
      <c r="C49" s="109" t="inlineStr">
        <is>
          <t>NVR 8 CANALES - 4K (INCLUYE ALMACENAMIENTO)</t>
        </is>
      </c>
      <c r="D49" s="144" t="n">
        <v>1</v>
      </c>
      <c r="E49" s="155" t="n">
        <v>267000</v>
      </c>
      <c r="F49" s="155">
        <f>E49*19%</f>
        <v/>
      </c>
      <c r="G49" s="155">
        <f>E49+F49</f>
        <v/>
      </c>
      <c r="H49" s="155">
        <f>G49*D49</f>
        <v/>
      </c>
      <c r="I49" s="155" t="n">
        <v>241234.5</v>
      </c>
      <c r="J49" s="155">
        <f>I49*19%</f>
        <v/>
      </c>
      <c r="K49" s="155">
        <f>I49+J49</f>
        <v/>
      </c>
      <c r="L49" s="155">
        <f>K49*D49</f>
        <v/>
      </c>
      <c r="M49" s="155" t="n">
        <v>252862.0029</v>
      </c>
      <c r="N49" s="155">
        <f>M49*19%</f>
        <v/>
      </c>
      <c r="O49" s="155">
        <f>M49+N49</f>
        <v/>
      </c>
      <c r="P49" s="155">
        <f>O49*D49</f>
        <v/>
      </c>
      <c r="Q49" s="156">
        <f>AVERAGE(G49,K49,O49)</f>
        <v/>
      </c>
      <c r="R49" s="156">
        <f>AVERAGE(H49,L49,P49)</f>
        <v/>
      </c>
      <c r="S49" s="156">
        <f>R49*12</f>
        <v/>
      </c>
    </row>
    <row r="50" ht="11.25" customHeight="1" s="135">
      <c r="A50" s="141" t="n"/>
      <c r="B50" s="121" t="n"/>
      <c r="C50" s="109" t="inlineStr">
        <is>
          <t>CÁMARA TIPO DOMO FIJA. VARIFOCAL</t>
        </is>
      </c>
      <c r="D50" s="144" t="n">
        <v>2</v>
      </c>
      <c r="E50" s="155" t="n">
        <v>55000</v>
      </c>
      <c r="F50" s="155">
        <f>E50*19%</f>
        <v/>
      </c>
      <c r="G50" s="155">
        <f>E50+F50</f>
        <v/>
      </c>
      <c r="H50" s="155">
        <f>G50*D50</f>
        <v/>
      </c>
      <c r="I50" s="155" t="n">
        <v>49692.5</v>
      </c>
      <c r="J50" s="155">
        <f>I50*19%</f>
        <v/>
      </c>
      <c r="K50" s="155">
        <f>I50+J50</f>
        <v/>
      </c>
      <c r="L50" s="155">
        <f>K50*D50</f>
        <v/>
      </c>
      <c r="M50" s="155" t="n">
        <v>52087.6785</v>
      </c>
      <c r="N50" s="155">
        <f>M50*19%</f>
        <v/>
      </c>
      <c r="O50" s="155">
        <f>M50+N50</f>
        <v/>
      </c>
      <c r="P50" s="155">
        <f>O50*D50</f>
        <v/>
      </c>
      <c r="Q50" s="156">
        <f>AVERAGE(G50,K50,O50)</f>
        <v/>
      </c>
      <c r="R50" s="156">
        <f>AVERAGE(H50,L50,P50)</f>
        <v/>
      </c>
      <c r="S50" s="156">
        <f>R50*12</f>
        <v/>
      </c>
    </row>
    <row r="51" ht="11.25" customHeight="1" s="135">
      <c r="A51" s="141" t="n"/>
      <c r="B51" s="121" t="n"/>
      <c r="C51" s="109" t="inlineStr">
        <is>
          <t>UPS 1KVA</t>
        </is>
      </c>
      <c r="D51" s="144" t="n">
        <v>1</v>
      </c>
      <c r="E51" s="155" t="n">
        <v>51000</v>
      </c>
      <c r="F51" s="155">
        <f>E51*19%</f>
        <v/>
      </c>
      <c r="G51" s="155">
        <f>E51+F51</f>
        <v/>
      </c>
      <c r="H51" s="155">
        <f>G51*D51</f>
        <v/>
      </c>
      <c r="I51" s="155" t="n">
        <v>46078.5</v>
      </c>
      <c r="J51" s="155">
        <f>I51*19%</f>
        <v/>
      </c>
      <c r="K51" s="155">
        <f>I51+J51</f>
        <v/>
      </c>
      <c r="L51" s="155">
        <f>K51*D51</f>
        <v/>
      </c>
      <c r="M51" s="155" t="n">
        <v>48299.4837</v>
      </c>
      <c r="N51" s="155">
        <f>M51*19%</f>
        <v/>
      </c>
      <c r="O51" s="155">
        <f>M51+N51</f>
        <v/>
      </c>
      <c r="P51" s="155">
        <f>O51*D51</f>
        <v/>
      </c>
      <c r="Q51" s="156">
        <f>AVERAGE(G51,K51,O51)</f>
        <v/>
      </c>
      <c r="R51" s="156">
        <f>AVERAGE(H51,L51,P51)</f>
        <v/>
      </c>
      <c r="S51" s="156">
        <f>R51*12</f>
        <v/>
      </c>
    </row>
    <row r="52" ht="11.25" customHeight="1" s="135">
      <c r="A52" s="141" t="n"/>
      <c r="B52" s="121" t="n"/>
      <c r="C52" s="109" t="inlineStr">
        <is>
          <t>RACK GABINETE 5RU PARED</t>
        </is>
      </c>
      <c r="D52" s="144" t="n">
        <v>1</v>
      </c>
      <c r="E52" s="155" t="n">
        <v>31666.66666666667</v>
      </c>
      <c r="F52" s="155">
        <f>E52*19%</f>
        <v/>
      </c>
      <c r="G52" s="155">
        <f>E52+F52</f>
        <v/>
      </c>
      <c r="H52" s="155">
        <f>G52*D52</f>
        <v/>
      </c>
      <c r="I52" s="155" t="n">
        <v>28610.83333333334</v>
      </c>
      <c r="J52" s="155">
        <f>I52*19%</f>
        <v/>
      </c>
      <c r="K52" s="155">
        <f>I52+J52</f>
        <v/>
      </c>
      <c r="L52" s="155">
        <f>K52*D52</f>
        <v/>
      </c>
      <c r="M52" s="155" t="n">
        <v>29989.8755</v>
      </c>
      <c r="N52" s="155">
        <f>M52*19%</f>
        <v/>
      </c>
      <c r="O52" s="155">
        <f>M52+N52</f>
        <v/>
      </c>
      <c r="P52" s="155">
        <f>O52*D52</f>
        <v/>
      </c>
      <c r="Q52" s="156">
        <f>AVERAGE(G52,K52,O52)</f>
        <v/>
      </c>
      <c r="R52" s="156">
        <f>AVERAGE(H52,L52,P52)</f>
        <v/>
      </c>
      <c r="S52" s="156">
        <f>R52*12</f>
        <v/>
      </c>
    </row>
    <row r="53" ht="15" customHeight="1" s="135">
      <c r="A53" s="141" t="n"/>
      <c r="B53" s="121" t="n"/>
      <c r="C53" s="109" t="inlineStr">
        <is>
          <t>MONITOR 24"</t>
        </is>
      </c>
      <c r="D53" s="144" t="n">
        <v>1</v>
      </c>
      <c r="E53" s="155" t="n">
        <v>50000</v>
      </c>
      <c r="F53" s="155">
        <f>E53*19%</f>
        <v/>
      </c>
      <c r="G53" s="155">
        <f>E53+F53</f>
        <v/>
      </c>
      <c r="H53" s="155">
        <f>G53*D53</f>
        <v/>
      </c>
      <c r="I53" s="155" t="n">
        <v>45175</v>
      </c>
      <c r="J53" s="155">
        <f>I53*19%</f>
        <v/>
      </c>
      <c r="K53" s="155">
        <f>I53+J53</f>
        <v/>
      </c>
      <c r="L53" s="155">
        <f>K53*D53</f>
        <v/>
      </c>
      <c r="M53" s="155" t="n">
        <v>47352.435</v>
      </c>
      <c r="N53" s="155">
        <f>M53*19%</f>
        <v/>
      </c>
      <c r="O53" s="155">
        <f>M53+N53</f>
        <v/>
      </c>
      <c r="P53" s="155">
        <f>O53*D53</f>
        <v/>
      </c>
      <c r="Q53" s="156">
        <f>AVERAGE(G53,K53,O53)</f>
        <v/>
      </c>
      <c r="R53" s="156">
        <f>AVERAGE(H53,L53,P53)</f>
        <v/>
      </c>
      <c r="S53" s="156">
        <f>R53*12</f>
        <v/>
      </c>
    </row>
    <row r="54" ht="23.25" customHeight="1" s="135">
      <c r="A54" s="142" t="n"/>
      <c r="B54" s="122" t="n"/>
      <c r="C54" s="109" t="inlineStr">
        <is>
          <t>INFRAESTRUCTURA (infraestructura de interconexión (cableado, canalizaciones, rack), mano de obra por instalación, configuración y mantenimiento)</t>
        </is>
      </c>
      <c r="D54" s="144" t="n">
        <v>1</v>
      </c>
      <c r="E54" s="155" t="n">
        <v>601858.0833333334</v>
      </c>
      <c r="F54" s="155">
        <f>E54*19%</f>
        <v/>
      </c>
      <c r="G54" s="155">
        <f>E54+F54</f>
        <v/>
      </c>
      <c r="H54" s="155">
        <f>G54*D54</f>
        <v/>
      </c>
      <c r="I54" s="155" t="n">
        <v>543778.7782916666</v>
      </c>
      <c r="J54" s="155">
        <f>I54*19%</f>
        <v/>
      </c>
      <c r="K54" s="155">
        <f>I54+J54</f>
        <v/>
      </c>
      <c r="L54" s="155">
        <f>K54*D54</f>
        <v/>
      </c>
      <c r="M54" s="155" t="n">
        <v>569988.915405325</v>
      </c>
      <c r="N54" s="155">
        <f>M54*19%</f>
        <v/>
      </c>
      <c r="O54" s="155">
        <f>M54+N54</f>
        <v/>
      </c>
      <c r="P54" s="155">
        <f>O54*D54</f>
        <v/>
      </c>
      <c r="Q54" s="156">
        <f>AVERAGE(G54,K54,O54)</f>
        <v/>
      </c>
      <c r="R54" s="156">
        <f>AVERAGE(H54,L54,P54)</f>
        <v/>
      </c>
      <c r="S54" s="156">
        <f>R54*12</f>
        <v/>
      </c>
    </row>
    <row r="55" ht="11.25" customHeight="1" s="135">
      <c r="A55" s="140" t="n">
        <v>9</v>
      </c>
      <c r="B55" s="144" t="inlineStr">
        <is>
          <t>DUITAMA</t>
        </is>
      </c>
      <c r="C55" s="109" t="inlineStr">
        <is>
          <t>NVR 8 CANALES - 4K (INCLUYE ALMACENAMIENTO)</t>
        </is>
      </c>
      <c r="D55" s="144" t="n">
        <v>1</v>
      </c>
      <c r="E55" s="155" t="n">
        <v>267000</v>
      </c>
      <c r="F55" s="155">
        <f>E55*19%</f>
        <v/>
      </c>
      <c r="G55" s="155">
        <f>E55+F55</f>
        <v/>
      </c>
      <c r="H55" s="155">
        <f>G55*D55</f>
        <v/>
      </c>
      <c r="I55" s="155" t="n">
        <v>241234.5</v>
      </c>
      <c r="J55" s="155">
        <f>I55*19%</f>
        <v/>
      </c>
      <c r="K55" s="155">
        <f>I55+J55</f>
        <v/>
      </c>
      <c r="L55" s="155">
        <f>K55*D55</f>
        <v/>
      </c>
      <c r="M55" s="155" t="n">
        <v>252862.0029</v>
      </c>
      <c r="N55" s="155">
        <f>M55*19%</f>
        <v/>
      </c>
      <c r="O55" s="155">
        <f>M55+N55</f>
        <v/>
      </c>
      <c r="P55" s="155">
        <f>O55*D55</f>
        <v/>
      </c>
      <c r="Q55" s="156">
        <f>AVERAGE(G55,K55,O55)</f>
        <v/>
      </c>
      <c r="R55" s="156">
        <f>AVERAGE(H55,L55,P55)</f>
        <v/>
      </c>
      <c r="S55" s="156">
        <f>R55*12</f>
        <v/>
      </c>
    </row>
    <row r="56" ht="11.25" customHeight="1" s="135">
      <c r="A56" s="141" t="n"/>
      <c r="B56" s="121" t="n"/>
      <c r="C56" s="109" t="inlineStr">
        <is>
          <t>CÁMARA TIPO DOMO FIJA. VARIFOCAL</t>
        </is>
      </c>
      <c r="D56" s="144" t="n">
        <v>2</v>
      </c>
      <c r="E56" s="155" t="n">
        <v>55000</v>
      </c>
      <c r="F56" s="155">
        <f>E56*19%</f>
        <v/>
      </c>
      <c r="G56" s="155">
        <f>E56+F56</f>
        <v/>
      </c>
      <c r="H56" s="155">
        <f>G56*D56</f>
        <v/>
      </c>
      <c r="I56" s="155" t="n">
        <v>49692.5</v>
      </c>
      <c r="J56" s="155">
        <f>I56*19%</f>
        <v/>
      </c>
      <c r="K56" s="155">
        <f>I56+J56</f>
        <v/>
      </c>
      <c r="L56" s="155">
        <f>K56*D56</f>
        <v/>
      </c>
      <c r="M56" s="155" t="n">
        <v>52087.6785</v>
      </c>
      <c r="N56" s="155">
        <f>M56*19%</f>
        <v/>
      </c>
      <c r="O56" s="155">
        <f>M56+N56</f>
        <v/>
      </c>
      <c r="P56" s="155">
        <f>O56*D56</f>
        <v/>
      </c>
      <c r="Q56" s="156">
        <f>AVERAGE(G56,K56,O56)</f>
        <v/>
      </c>
      <c r="R56" s="156">
        <f>AVERAGE(H56,L56,P56)</f>
        <v/>
      </c>
      <c r="S56" s="156">
        <f>R56*12</f>
        <v/>
      </c>
    </row>
    <row r="57" ht="11.25" customHeight="1" s="135">
      <c r="A57" s="141" t="n"/>
      <c r="B57" s="121" t="n"/>
      <c r="C57" s="109" t="inlineStr">
        <is>
          <t>UPS 1KVA</t>
        </is>
      </c>
      <c r="D57" s="144" t="n">
        <v>1</v>
      </c>
      <c r="E57" s="155" t="n">
        <v>51000</v>
      </c>
      <c r="F57" s="155">
        <f>E57*19%</f>
        <v/>
      </c>
      <c r="G57" s="155">
        <f>E57+F57</f>
        <v/>
      </c>
      <c r="H57" s="155">
        <f>G57*D57</f>
        <v/>
      </c>
      <c r="I57" s="155" t="n">
        <v>46078.5</v>
      </c>
      <c r="J57" s="155">
        <f>I57*19%</f>
        <v/>
      </c>
      <c r="K57" s="155">
        <f>I57+J57</f>
        <v/>
      </c>
      <c r="L57" s="155">
        <f>K57*D57</f>
        <v/>
      </c>
      <c r="M57" s="155" t="n">
        <v>48299.4837</v>
      </c>
      <c r="N57" s="155">
        <f>M57*19%</f>
        <v/>
      </c>
      <c r="O57" s="155">
        <f>M57+N57</f>
        <v/>
      </c>
      <c r="P57" s="155">
        <f>O57*D57</f>
        <v/>
      </c>
      <c r="Q57" s="156">
        <f>AVERAGE(G57,K57,O57)</f>
        <v/>
      </c>
      <c r="R57" s="156">
        <f>AVERAGE(H57,L57,P57)</f>
        <v/>
      </c>
      <c r="S57" s="156">
        <f>R57*12</f>
        <v/>
      </c>
    </row>
    <row r="58" ht="11.25" customHeight="1" s="135">
      <c r="A58" s="141" t="n"/>
      <c r="B58" s="121" t="n"/>
      <c r="C58" s="109" t="inlineStr">
        <is>
          <t>RACK GABINETE 5RU PARED</t>
        </is>
      </c>
      <c r="D58" s="144" t="n">
        <v>1</v>
      </c>
      <c r="E58" s="155" t="n">
        <v>31666.66666666667</v>
      </c>
      <c r="F58" s="155">
        <f>E58*19%</f>
        <v/>
      </c>
      <c r="G58" s="155">
        <f>E58+F58</f>
        <v/>
      </c>
      <c r="H58" s="155">
        <f>G58*D58</f>
        <v/>
      </c>
      <c r="I58" s="155" t="n">
        <v>28610.83333333334</v>
      </c>
      <c r="J58" s="155">
        <f>I58*19%</f>
        <v/>
      </c>
      <c r="K58" s="155">
        <f>I58+J58</f>
        <v/>
      </c>
      <c r="L58" s="155">
        <f>K58*D58</f>
        <v/>
      </c>
      <c r="M58" s="155" t="n">
        <v>29989.8755</v>
      </c>
      <c r="N58" s="155">
        <f>M58*19%</f>
        <v/>
      </c>
      <c r="O58" s="155">
        <f>M58+N58</f>
        <v/>
      </c>
      <c r="P58" s="155">
        <f>O58*D58</f>
        <v/>
      </c>
      <c r="Q58" s="156">
        <f>AVERAGE(G58,K58,O58)</f>
        <v/>
      </c>
      <c r="R58" s="156">
        <f>AVERAGE(H58,L58,P58)</f>
        <v/>
      </c>
      <c r="S58" s="156">
        <f>R58*12</f>
        <v/>
      </c>
    </row>
    <row r="59" ht="11.25" customHeight="1" s="135">
      <c r="A59" s="141" t="n"/>
      <c r="B59" s="121" t="n"/>
      <c r="C59" s="109" t="inlineStr">
        <is>
          <t>MONITOR 24"</t>
        </is>
      </c>
      <c r="D59" s="144" t="n">
        <v>1</v>
      </c>
      <c r="E59" s="155" t="n">
        <v>50000</v>
      </c>
      <c r="F59" s="155">
        <f>E59*19%</f>
        <v/>
      </c>
      <c r="G59" s="155">
        <f>E59+F59</f>
        <v/>
      </c>
      <c r="H59" s="155">
        <f>G59*D59</f>
        <v/>
      </c>
      <c r="I59" s="155" t="n">
        <v>45175</v>
      </c>
      <c r="J59" s="155">
        <f>I59*19%</f>
        <v/>
      </c>
      <c r="K59" s="155">
        <f>I59+J59</f>
        <v/>
      </c>
      <c r="L59" s="155">
        <f>K59*D59</f>
        <v/>
      </c>
      <c r="M59" s="155" t="n">
        <v>47352.435</v>
      </c>
      <c r="N59" s="155">
        <f>M59*19%</f>
        <v/>
      </c>
      <c r="O59" s="155">
        <f>M59+N59</f>
        <v/>
      </c>
      <c r="P59" s="155">
        <f>O59*D59</f>
        <v/>
      </c>
      <c r="Q59" s="156">
        <f>AVERAGE(G59,K59,O59)</f>
        <v/>
      </c>
      <c r="R59" s="156">
        <f>AVERAGE(H59,L59,P59)</f>
        <v/>
      </c>
      <c r="S59" s="156">
        <f>R59*12</f>
        <v/>
      </c>
    </row>
    <row r="60" ht="21" customHeight="1" s="135">
      <c r="A60" s="142" t="n"/>
      <c r="B60" s="122" t="n"/>
      <c r="C60" s="109" t="inlineStr">
        <is>
          <t>INFRAESTRUCTURA (infraestructura de interconexión (cableado, canalizaciones, rack), mano de obra por instalación, configuración y mantenimiento)</t>
        </is>
      </c>
      <c r="D60" s="144" t="n">
        <v>1</v>
      </c>
      <c r="E60" s="155" t="n">
        <v>601858.0833333334</v>
      </c>
      <c r="F60" s="155">
        <f>E60*19%</f>
        <v/>
      </c>
      <c r="G60" s="155">
        <f>E60+F60</f>
        <v/>
      </c>
      <c r="H60" s="155">
        <f>G60*D60</f>
        <v/>
      </c>
      <c r="I60" s="155" t="n">
        <v>543778.7782916666</v>
      </c>
      <c r="J60" s="155">
        <f>I60*19%</f>
        <v/>
      </c>
      <c r="K60" s="155">
        <f>I60+J60</f>
        <v/>
      </c>
      <c r="L60" s="155">
        <f>K60*D60</f>
        <v/>
      </c>
      <c r="M60" s="155" t="n">
        <v>569988.915405325</v>
      </c>
      <c r="N60" s="155">
        <f>M60*19%</f>
        <v/>
      </c>
      <c r="O60" s="155">
        <f>M60+N60</f>
        <v/>
      </c>
      <c r="P60" s="155">
        <f>O60*D60</f>
        <v/>
      </c>
      <c r="Q60" s="156">
        <f>AVERAGE(G60,K60,O60)</f>
        <v/>
      </c>
      <c r="R60" s="156">
        <f>AVERAGE(H60,L60,P60)</f>
        <v/>
      </c>
      <c r="S60" s="156">
        <f>R60*12</f>
        <v/>
      </c>
    </row>
    <row r="61" ht="11.25" customHeight="1" s="135">
      <c r="A61" s="140" t="n">
        <v>10</v>
      </c>
      <c r="B61" s="144" t="inlineStr">
        <is>
          <t>IDEAM CALI PRINCIPAL</t>
        </is>
      </c>
      <c r="C61" s="109" t="inlineStr">
        <is>
          <t>NVR 8 CANALES - 4K (INCLUYE ALMACENAMIENTO)</t>
        </is>
      </c>
      <c r="D61" s="144" t="n">
        <v>1</v>
      </c>
      <c r="E61" s="155" t="n">
        <v>267000</v>
      </c>
      <c r="F61" s="155">
        <f>E61*19%</f>
        <v/>
      </c>
      <c r="G61" s="155">
        <f>E61+F61</f>
        <v/>
      </c>
      <c r="H61" s="155">
        <f>G61*D61</f>
        <v/>
      </c>
      <c r="I61" s="155" t="n">
        <v>241234.5</v>
      </c>
      <c r="J61" s="155">
        <f>I61*19%</f>
        <v/>
      </c>
      <c r="K61" s="155">
        <f>I61+J61</f>
        <v/>
      </c>
      <c r="L61" s="155">
        <f>K61*D61</f>
        <v/>
      </c>
      <c r="M61" s="155" t="n">
        <v>252862.0029</v>
      </c>
      <c r="N61" s="155">
        <f>M61*19%</f>
        <v/>
      </c>
      <c r="O61" s="155">
        <f>M61+N61</f>
        <v/>
      </c>
      <c r="P61" s="155">
        <f>O61*D61</f>
        <v/>
      </c>
      <c r="Q61" s="156">
        <f>AVERAGE(G61,K61,O61)</f>
        <v/>
      </c>
      <c r="R61" s="156">
        <f>AVERAGE(H61,L61,P61)</f>
        <v/>
      </c>
      <c r="S61" s="156">
        <f>R61*12</f>
        <v/>
      </c>
    </row>
    <row r="62" ht="11.25" customHeight="1" s="135">
      <c r="A62" s="141" t="n"/>
      <c r="B62" s="121" t="n"/>
      <c r="C62" s="109" t="inlineStr">
        <is>
          <t>CÁMARA TIPO DOMO FIJA. VARIFOCAL</t>
        </is>
      </c>
      <c r="D62" s="144" t="n">
        <v>1</v>
      </c>
      <c r="E62" s="155" t="n">
        <v>55000</v>
      </c>
      <c r="F62" s="155">
        <f>E62*19%</f>
        <v/>
      </c>
      <c r="G62" s="155">
        <f>E62+F62</f>
        <v/>
      </c>
      <c r="H62" s="155">
        <f>G62*D62</f>
        <v/>
      </c>
      <c r="I62" s="155" t="n">
        <v>49692.5</v>
      </c>
      <c r="J62" s="155">
        <f>I62*19%</f>
        <v/>
      </c>
      <c r="K62" s="155">
        <f>I62+J62</f>
        <v/>
      </c>
      <c r="L62" s="155">
        <f>K62*D62</f>
        <v/>
      </c>
      <c r="M62" s="155" t="n">
        <v>52087.6785</v>
      </c>
      <c r="N62" s="155">
        <f>M62*19%</f>
        <v/>
      </c>
      <c r="O62" s="155">
        <f>M62+N62</f>
        <v/>
      </c>
      <c r="P62" s="155">
        <f>O62*D62</f>
        <v/>
      </c>
      <c r="Q62" s="156">
        <f>AVERAGE(G62,K62,O62)</f>
        <v/>
      </c>
      <c r="R62" s="156">
        <f>AVERAGE(H62,L62,P62)</f>
        <v/>
      </c>
      <c r="S62" s="156">
        <f>R62*12</f>
        <v/>
      </c>
    </row>
    <row r="63" ht="11.25" customHeight="1" s="135">
      <c r="A63" s="141" t="n"/>
      <c r="B63" s="121" t="n"/>
      <c r="C63" s="109" t="inlineStr">
        <is>
          <t>UPS 1KVA</t>
        </is>
      </c>
      <c r="D63" s="144" t="n">
        <v>1</v>
      </c>
      <c r="E63" s="155" t="n">
        <v>51000</v>
      </c>
      <c r="F63" s="155">
        <f>E63*19%</f>
        <v/>
      </c>
      <c r="G63" s="155">
        <f>E63+F63</f>
        <v/>
      </c>
      <c r="H63" s="155">
        <f>G63*D63</f>
        <v/>
      </c>
      <c r="I63" s="155" t="n">
        <v>46078.5</v>
      </c>
      <c r="J63" s="155">
        <f>I63*19%</f>
        <v/>
      </c>
      <c r="K63" s="155">
        <f>I63+J63</f>
        <v/>
      </c>
      <c r="L63" s="155">
        <f>K63*D63</f>
        <v/>
      </c>
      <c r="M63" s="155" t="n">
        <v>48299.4837</v>
      </c>
      <c r="N63" s="155">
        <f>M63*19%</f>
        <v/>
      </c>
      <c r="O63" s="155">
        <f>M63+N63</f>
        <v/>
      </c>
      <c r="P63" s="155">
        <f>O63*D63</f>
        <v/>
      </c>
      <c r="Q63" s="156">
        <f>AVERAGE(G63,K63,O63)</f>
        <v/>
      </c>
      <c r="R63" s="156">
        <f>AVERAGE(H63,L63,P63)</f>
        <v/>
      </c>
      <c r="S63" s="156">
        <f>R63*12</f>
        <v/>
      </c>
    </row>
    <row r="64" ht="11.25" customHeight="1" s="135">
      <c r="A64" s="141" t="n"/>
      <c r="B64" s="121" t="n"/>
      <c r="C64" s="109" t="inlineStr">
        <is>
          <t>RACK GABINETE 5RU PARED</t>
        </is>
      </c>
      <c r="D64" s="144" t="n">
        <v>1</v>
      </c>
      <c r="E64" s="155" t="n">
        <v>31666.66666666667</v>
      </c>
      <c r="F64" s="155">
        <f>E64*19%</f>
        <v/>
      </c>
      <c r="G64" s="155">
        <f>E64+F64</f>
        <v/>
      </c>
      <c r="H64" s="155">
        <f>G64*D64</f>
        <v/>
      </c>
      <c r="I64" s="155" t="n">
        <v>28610.83333333334</v>
      </c>
      <c r="J64" s="155">
        <f>I64*19%</f>
        <v/>
      </c>
      <c r="K64" s="155">
        <f>I64+J64</f>
        <v/>
      </c>
      <c r="L64" s="155">
        <f>K64*D64</f>
        <v/>
      </c>
      <c r="M64" s="155" t="n">
        <v>29989.8755</v>
      </c>
      <c r="N64" s="155">
        <f>M64*19%</f>
        <v/>
      </c>
      <c r="O64" s="155">
        <f>M64+N64</f>
        <v/>
      </c>
      <c r="P64" s="155">
        <f>O64*D64</f>
        <v/>
      </c>
      <c r="Q64" s="156">
        <f>AVERAGE(G64,K64,O64)</f>
        <v/>
      </c>
      <c r="R64" s="156">
        <f>AVERAGE(H64,L64,P64)</f>
        <v/>
      </c>
      <c r="S64" s="156">
        <f>R64*12</f>
        <v/>
      </c>
    </row>
    <row r="65" ht="11.25" customHeight="1" s="135">
      <c r="A65" s="141" t="n"/>
      <c r="B65" s="121" t="n"/>
      <c r="C65" s="109" t="inlineStr">
        <is>
          <t>MONITOR 24"</t>
        </is>
      </c>
      <c r="D65" s="144" t="n">
        <v>1</v>
      </c>
      <c r="E65" s="155" t="n">
        <v>50000</v>
      </c>
      <c r="F65" s="155">
        <f>E65*19%</f>
        <v/>
      </c>
      <c r="G65" s="155">
        <f>E65+F65</f>
        <v/>
      </c>
      <c r="H65" s="155">
        <f>G65*D65</f>
        <v/>
      </c>
      <c r="I65" s="155" t="n">
        <v>45175</v>
      </c>
      <c r="J65" s="155">
        <f>I65*19%</f>
        <v/>
      </c>
      <c r="K65" s="155">
        <f>I65+J65</f>
        <v/>
      </c>
      <c r="L65" s="155">
        <f>K65*D65</f>
        <v/>
      </c>
      <c r="M65" s="155" t="n">
        <v>47352.435</v>
      </c>
      <c r="N65" s="155">
        <f>M65*19%</f>
        <v/>
      </c>
      <c r="O65" s="155">
        <f>M65+N65</f>
        <v/>
      </c>
      <c r="P65" s="155">
        <f>O65*D65</f>
        <v/>
      </c>
      <c r="Q65" s="156">
        <f>AVERAGE(G65,K65,O65)</f>
        <v/>
      </c>
      <c r="R65" s="156">
        <f>AVERAGE(H65,L65,P65)</f>
        <v/>
      </c>
      <c r="S65" s="156">
        <f>R65*12</f>
        <v/>
      </c>
    </row>
    <row r="66" ht="24" customHeight="1" s="135">
      <c r="A66" s="142" t="n"/>
      <c r="B66" s="122" t="n"/>
      <c r="C66" s="109" t="inlineStr">
        <is>
          <t>INFRAESTRUCTURA (infraestructura de interconexión (cableado, canalizaciones, rack), mano de obra por instalación, configuración y mantenimiento)</t>
        </is>
      </c>
      <c r="D66" s="144" t="n">
        <v>1</v>
      </c>
      <c r="E66" s="155" t="n">
        <v>327425.4166666667</v>
      </c>
      <c r="F66" s="155">
        <f>E66*19%</f>
        <v/>
      </c>
      <c r="G66" s="155">
        <f>E66+F66</f>
        <v/>
      </c>
      <c r="H66" s="155">
        <f>G66*D66</f>
        <v/>
      </c>
      <c r="I66" s="155" t="n">
        <v>295828.8639583333</v>
      </c>
      <c r="J66" s="155">
        <f>I66*19%</f>
        <v/>
      </c>
      <c r="K66" s="155">
        <f>I66+J66</f>
        <v/>
      </c>
      <c r="L66" s="155">
        <f>K66*D66</f>
        <v/>
      </c>
      <c r="M66" s="155" t="n">
        <v>310087.815201125</v>
      </c>
      <c r="N66" s="155">
        <f>M66*19%</f>
        <v/>
      </c>
      <c r="O66" s="155">
        <f>M66+N66</f>
        <v/>
      </c>
      <c r="P66" s="155">
        <f>O66*D66</f>
        <v/>
      </c>
      <c r="Q66" s="156">
        <f>AVERAGE(G66,K66,O66)</f>
        <v/>
      </c>
      <c r="R66" s="156">
        <f>AVERAGE(H66,L66,P66)</f>
        <v/>
      </c>
      <c r="S66" s="156">
        <f>R66*12</f>
        <v/>
      </c>
    </row>
    <row r="67" ht="11.25" customHeight="1" s="135">
      <c r="A67" s="140" t="n">
        <v>11</v>
      </c>
      <c r="B67" s="144" t="inlineStr">
        <is>
          <t>PUERTO CARREÑO</t>
        </is>
      </c>
      <c r="C67" s="109" t="inlineStr">
        <is>
          <t>NVR 8 CANALES - 4K (INCLUYE ALMACENAMIENTO)</t>
        </is>
      </c>
      <c r="D67" s="144" t="n">
        <v>1</v>
      </c>
      <c r="E67" s="155" t="n">
        <v>267000</v>
      </c>
      <c r="F67" s="155">
        <f>E67*19%</f>
        <v/>
      </c>
      <c r="G67" s="155">
        <f>E67+F67</f>
        <v/>
      </c>
      <c r="H67" s="155">
        <f>G67*D67</f>
        <v/>
      </c>
      <c r="I67" s="155" t="n">
        <v>241234.5</v>
      </c>
      <c r="J67" s="155">
        <f>I67*19%</f>
        <v/>
      </c>
      <c r="K67" s="155">
        <f>I67+J67</f>
        <v/>
      </c>
      <c r="L67" s="155">
        <f>K67*D67</f>
        <v/>
      </c>
      <c r="M67" s="155" t="n">
        <v>252862.0029</v>
      </c>
      <c r="N67" s="155">
        <f>M67*19%</f>
        <v/>
      </c>
      <c r="O67" s="155">
        <f>M67+N67</f>
        <v/>
      </c>
      <c r="P67" s="155">
        <f>O67*D67</f>
        <v/>
      </c>
      <c r="Q67" s="156">
        <f>AVERAGE(G67,K67,O67)</f>
        <v/>
      </c>
      <c r="R67" s="156">
        <f>AVERAGE(H67,L67,P67)</f>
        <v/>
      </c>
      <c r="S67" s="156">
        <f>R67*12</f>
        <v/>
      </c>
    </row>
    <row r="68" ht="11.25" customHeight="1" s="135">
      <c r="A68" s="141" t="n"/>
      <c r="B68" s="121" t="n"/>
      <c r="C68" s="109" t="inlineStr">
        <is>
          <t>CÁMARA TIPO DOMO FIJA. VARIFOCAL</t>
        </is>
      </c>
      <c r="D68" s="144" t="n">
        <v>2</v>
      </c>
      <c r="E68" s="155" t="n">
        <v>55000</v>
      </c>
      <c r="F68" s="155">
        <f>E68*19%</f>
        <v/>
      </c>
      <c r="G68" s="155">
        <f>E68+F68</f>
        <v/>
      </c>
      <c r="H68" s="155">
        <f>G68*D68</f>
        <v/>
      </c>
      <c r="I68" s="155" t="n">
        <v>49692.5</v>
      </c>
      <c r="J68" s="155">
        <f>I68*19%</f>
        <v/>
      </c>
      <c r="K68" s="155">
        <f>I68+J68</f>
        <v/>
      </c>
      <c r="L68" s="155">
        <f>K68*D68</f>
        <v/>
      </c>
      <c r="M68" s="155" t="n">
        <v>52087.6785</v>
      </c>
      <c r="N68" s="155">
        <f>M68*19%</f>
        <v/>
      </c>
      <c r="O68" s="155">
        <f>M68+N68</f>
        <v/>
      </c>
      <c r="P68" s="155">
        <f>O68*D68</f>
        <v/>
      </c>
      <c r="Q68" s="156">
        <f>AVERAGE(G68,K68,O68)</f>
        <v/>
      </c>
      <c r="R68" s="156">
        <f>AVERAGE(H68,L68,P68)</f>
        <v/>
      </c>
      <c r="S68" s="156">
        <f>R68*12</f>
        <v/>
      </c>
    </row>
    <row r="69" ht="11.25" customHeight="1" s="135">
      <c r="A69" s="141" t="n"/>
      <c r="B69" s="121" t="n"/>
      <c r="C69" s="109" t="inlineStr">
        <is>
          <t>UPS 1KVA</t>
        </is>
      </c>
      <c r="D69" s="144" t="n">
        <v>1</v>
      </c>
      <c r="E69" s="155" t="n">
        <v>51000</v>
      </c>
      <c r="F69" s="155">
        <f>E69*19%</f>
        <v/>
      </c>
      <c r="G69" s="155">
        <f>E69+F69</f>
        <v/>
      </c>
      <c r="H69" s="155">
        <f>G69*D69</f>
        <v/>
      </c>
      <c r="I69" s="155" t="n">
        <v>46078.5</v>
      </c>
      <c r="J69" s="155">
        <f>I69*19%</f>
        <v/>
      </c>
      <c r="K69" s="155">
        <f>I69+J69</f>
        <v/>
      </c>
      <c r="L69" s="155">
        <f>K69*D69</f>
        <v/>
      </c>
      <c r="M69" s="155" t="n">
        <v>48299.4837</v>
      </c>
      <c r="N69" s="155">
        <f>M69*19%</f>
        <v/>
      </c>
      <c r="O69" s="155">
        <f>M69+N69</f>
        <v/>
      </c>
      <c r="P69" s="155">
        <f>O69*D69</f>
        <v/>
      </c>
      <c r="Q69" s="156">
        <f>AVERAGE(G69,K69,O69)</f>
        <v/>
      </c>
      <c r="R69" s="156">
        <f>AVERAGE(H69,L69,P69)</f>
        <v/>
      </c>
      <c r="S69" s="156">
        <f>R69*12</f>
        <v/>
      </c>
    </row>
    <row r="70" ht="11.25" customHeight="1" s="135">
      <c r="A70" s="141" t="n"/>
      <c r="B70" s="121" t="n"/>
      <c r="C70" s="109" t="inlineStr">
        <is>
          <t>RACK GABINETE 5RU PARED</t>
        </is>
      </c>
      <c r="D70" s="144" t="n">
        <v>1</v>
      </c>
      <c r="E70" s="155" t="n">
        <v>31666.66666666667</v>
      </c>
      <c r="F70" s="155">
        <f>E70*19%</f>
        <v/>
      </c>
      <c r="G70" s="155">
        <f>E70+F70</f>
        <v/>
      </c>
      <c r="H70" s="155">
        <f>G70*D70</f>
        <v/>
      </c>
      <c r="I70" s="155" t="n">
        <v>28610.83333333334</v>
      </c>
      <c r="J70" s="155">
        <f>I70*19%</f>
        <v/>
      </c>
      <c r="K70" s="155">
        <f>I70+J70</f>
        <v/>
      </c>
      <c r="L70" s="155">
        <f>K70*D70</f>
        <v/>
      </c>
      <c r="M70" s="155" t="n">
        <v>29989.8755</v>
      </c>
      <c r="N70" s="155">
        <f>M70*19%</f>
        <v/>
      </c>
      <c r="O70" s="155">
        <f>M70+N70</f>
        <v/>
      </c>
      <c r="P70" s="155">
        <f>O70*D70</f>
        <v/>
      </c>
      <c r="Q70" s="156">
        <f>AVERAGE(G70,K70,O70)</f>
        <v/>
      </c>
      <c r="R70" s="156">
        <f>AVERAGE(H70,L70,P70)</f>
        <v/>
      </c>
      <c r="S70" s="156">
        <f>R70*12</f>
        <v/>
      </c>
    </row>
    <row r="71" ht="11.25" customHeight="1" s="135">
      <c r="A71" s="141" t="n"/>
      <c r="B71" s="121" t="n"/>
      <c r="C71" s="109" t="inlineStr">
        <is>
          <t>MONITOR 24"</t>
        </is>
      </c>
      <c r="D71" s="144" t="n">
        <v>1</v>
      </c>
      <c r="E71" s="155" t="n">
        <v>50000</v>
      </c>
      <c r="F71" s="155">
        <f>E71*19%</f>
        <v/>
      </c>
      <c r="G71" s="155">
        <f>E71+F71</f>
        <v/>
      </c>
      <c r="H71" s="155">
        <f>G71*D71</f>
        <v/>
      </c>
      <c r="I71" s="155" t="n">
        <v>45175</v>
      </c>
      <c r="J71" s="155">
        <f>I71*19%</f>
        <v/>
      </c>
      <c r="K71" s="155">
        <f>I71+J71</f>
        <v/>
      </c>
      <c r="L71" s="155">
        <f>K71*D71</f>
        <v/>
      </c>
      <c r="M71" s="155" t="n">
        <v>47352.435</v>
      </c>
      <c r="N71" s="155">
        <f>M71*19%</f>
        <v/>
      </c>
      <c r="O71" s="155">
        <f>M71+N71</f>
        <v/>
      </c>
      <c r="P71" s="155">
        <f>O71*D71</f>
        <v/>
      </c>
      <c r="Q71" s="156">
        <f>AVERAGE(G71,K71,O71)</f>
        <v/>
      </c>
      <c r="R71" s="156">
        <f>AVERAGE(H71,L71,P71)</f>
        <v/>
      </c>
      <c r="S71" s="156">
        <f>R71*12</f>
        <v/>
      </c>
    </row>
    <row r="72" ht="26.25" customHeight="1" s="135">
      <c r="A72" s="142" t="n"/>
      <c r="B72" s="122" t="n"/>
      <c r="C72" s="109" t="inlineStr">
        <is>
          <t>INFRAESTRUCTURA (infraestructura de interconexión (cableado, canalizaciones, rack), mano de obra por instalación, configuración y mantenimiento)</t>
        </is>
      </c>
      <c r="D72" s="144" t="n">
        <v>1</v>
      </c>
      <c r="E72" s="155" t="n">
        <v>601858.0833333334</v>
      </c>
      <c r="F72" s="155">
        <f>E72*19%</f>
        <v/>
      </c>
      <c r="G72" s="155">
        <f>E72+F72</f>
        <v/>
      </c>
      <c r="H72" s="155">
        <f>G72*D72</f>
        <v/>
      </c>
      <c r="I72" s="155" t="n">
        <v>543778.7782916666</v>
      </c>
      <c r="J72" s="155">
        <f>I72*19%</f>
        <v/>
      </c>
      <c r="K72" s="155">
        <f>I72+J72</f>
        <v/>
      </c>
      <c r="L72" s="155">
        <f>K72*D72</f>
        <v/>
      </c>
      <c r="M72" s="155" t="n">
        <v>569988.915405325</v>
      </c>
      <c r="N72" s="155">
        <f>M72*19%</f>
        <v/>
      </c>
      <c r="O72" s="155">
        <f>M72+N72</f>
        <v/>
      </c>
      <c r="P72" s="155">
        <f>O72*D72</f>
        <v/>
      </c>
      <c r="Q72" s="156">
        <f>AVERAGE(G72,K72,O72)</f>
        <v/>
      </c>
      <c r="R72" s="156">
        <f>AVERAGE(H72,L72,P72)</f>
        <v/>
      </c>
      <c r="S72" s="156">
        <f>R72*12</f>
        <v/>
      </c>
    </row>
    <row r="73" ht="14.25" customHeight="1" s="135">
      <c r="A73" s="140" t="n">
        <v>12</v>
      </c>
      <c r="B73" s="144" t="inlineStr">
        <is>
          <t>SAN ANDRES</t>
        </is>
      </c>
      <c r="C73" s="109" t="inlineStr">
        <is>
          <t>NVR 8 CANALES - 4K (INCLUYE ALMACENAMIENTO)</t>
        </is>
      </c>
      <c r="D73" s="144" t="n">
        <v>1</v>
      </c>
      <c r="E73" s="155" t="n">
        <v>317730</v>
      </c>
      <c r="F73" s="155" t="n">
        <v>0</v>
      </c>
      <c r="G73" s="155">
        <f>E73+F73</f>
        <v/>
      </c>
      <c r="H73" s="155">
        <f>G73*D73</f>
        <v/>
      </c>
      <c r="I73" s="155" t="n">
        <v>287069.055</v>
      </c>
      <c r="J73" s="155" t="n">
        <v>0</v>
      </c>
      <c r="K73" s="155">
        <f>I73+J73</f>
        <v/>
      </c>
      <c r="L73" s="155">
        <f>K73*D73</f>
        <v/>
      </c>
      <c r="M73" s="155" t="n">
        <v>300905.783451</v>
      </c>
      <c r="N73" s="155" t="n">
        <v>0</v>
      </c>
      <c r="O73" s="155">
        <f>M73+N73</f>
        <v/>
      </c>
      <c r="P73" s="155">
        <f>O73*D73</f>
        <v/>
      </c>
      <c r="Q73" s="156">
        <f>AVERAGE(G73,K73,O73)</f>
        <v/>
      </c>
      <c r="R73" s="156">
        <f>AVERAGE(H73,L73,P73)</f>
        <v/>
      </c>
      <c r="S73" s="156">
        <f>R73*12</f>
        <v/>
      </c>
    </row>
    <row r="74" ht="14.25" customHeight="1" s="135">
      <c r="A74" s="141" t="n"/>
      <c r="B74" s="121" t="n"/>
      <c r="C74" s="109" t="inlineStr">
        <is>
          <t>CÁMARA TIPO DOMO FIJA. VARIFOCAL</t>
        </is>
      </c>
      <c r="D74" s="144" t="n">
        <v>2</v>
      </c>
      <c r="E74" s="155" t="n">
        <v>65450</v>
      </c>
      <c r="F74" s="155" t="n">
        <v>0</v>
      </c>
      <c r="G74" s="155">
        <f>E74+F74</f>
        <v/>
      </c>
      <c r="H74" s="155">
        <f>G74*D74</f>
        <v/>
      </c>
      <c r="I74" s="155" t="n">
        <v>59134.075</v>
      </c>
      <c r="J74" s="155" t="n">
        <v>0</v>
      </c>
      <c r="K74" s="155">
        <f>I74+J74</f>
        <v/>
      </c>
      <c r="L74" s="155">
        <f>K74*D74</f>
        <v/>
      </c>
      <c r="M74" s="155" t="n">
        <v>61984.337415</v>
      </c>
      <c r="N74" s="155" t="n">
        <v>0</v>
      </c>
      <c r="O74" s="155">
        <f>M74+N74</f>
        <v/>
      </c>
      <c r="P74" s="155">
        <f>O74*D74</f>
        <v/>
      </c>
      <c r="Q74" s="156">
        <f>AVERAGE(G74,K74,O74)</f>
        <v/>
      </c>
      <c r="R74" s="156">
        <f>AVERAGE(H74,L74,P74)</f>
        <v/>
      </c>
      <c r="S74" s="156">
        <f>R74*12</f>
        <v/>
      </c>
    </row>
    <row r="75" ht="14.25" customHeight="1" s="135">
      <c r="A75" s="141" t="n"/>
      <c r="B75" s="121" t="n"/>
      <c r="C75" s="109" t="inlineStr">
        <is>
          <t>UPS 1KVA</t>
        </is>
      </c>
      <c r="D75" s="144" t="n">
        <v>1</v>
      </c>
      <c r="E75" s="155" t="n">
        <v>60690</v>
      </c>
      <c r="F75" s="155" t="n">
        <v>0</v>
      </c>
      <c r="G75" s="155">
        <f>E75+F75</f>
        <v/>
      </c>
      <c r="H75" s="155">
        <f>G75*D75</f>
        <v/>
      </c>
      <c r="I75" s="155" t="n">
        <v>54833.415</v>
      </c>
      <c r="J75" s="155" t="n">
        <v>0</v>
      </c>
      <c r="K75" s="155">
        <f>I75+J75</f>
        <v/>
      </c>
      <c r="L75" s="155">
        <f>K75*D75</f>
        <v/>
      </c>
      <c r="M75" s="155" t="n">
        <v>57476.385603</v>
      </c>
      <c r="N75" s="155" t="n">
        <v>0</v>
      </c>
      <c r="O75" s="155">
        <f>M75+N75</f>
        <v/>
      </c>
      <c r="P75" s="155">
        <f>O75*D75</f>
        <v/>
      </c>
      <c r="Q75" s="156">
        <f>AVERAGE(G75,K75,O75)</f>
        <v/>
      </c>
      <c r="R75" s="156">
        <f>AVERAGE(H75,L75,P75)</f>
        <v/>
      </c>
      <c r="S75" s="156">
        <f>R75*12</f>
        <v/>
      </c>
    </row>
    <row r="76" ht="14.25" customHeight="1" s="135">
      <c r="A76" s="141" t="n"/>
      <c r="B76" s="121" t="n"/>
      <c r="C76" s="109" t="inlineStr">
        <is>
          <t>RACK GABINETE 5RU PARED</t>
        </is>
      </c>
      <c r="D76" s="144" t="n">
        <v>1</v>
      </c>
      <c r="E76" s="155" t="n">
        <v>37683.33333333334</v>
      </c>
      <c r="F76" s="155" t="n">
        <v>0</v>
      </c>
      <c r="G76" s="155">
        <f>E76+F76</f>
        <v/>
      </c>
      <c r="H76" s="155">
        <f>G76*D76</f>
        <v/>
      </c>
      <c r="I76" s="155" t="n">
        <v>34046.89166666668</v>
      </c>
      <c r="J76" s="155" t="n">
        <v>0</v>
      </c>
      <c r="K76" s="155">
        <f>I76+J76</f>
        <v/>
      </c>
      <c r="L76" s="155">
        <f>K76*D76</f>
        <v/>
      </c>
      <c r="M76" s="155" t="n">
        <v>35687.951845</v>
      </c>
      <c r="N76" s="155" t="n">
        <v>0</v>
      </c>
      <c r="O76" s="155">
        <f>M76+N76</f>
        <v/>
      </c>
      <c r="P76" s="155">
        <f>O76*D76</f>
        <v/>
      </c>
      <c r="Q76" s="156">
        <f>AVERAGE(G76,K76,O76)</f>
        <v/>
      </c>
      <c r="R76" s="156">
        <f>AVERAGE(H76,L76,P76)</f>
        <v/>
      </c>
      <c r="S76" s="156">
        <f>R76*12</f>
        <v/>
      </c>
    </row>
    <row r="77" ht="14.25" customHeight="1" s="135">
      <c r="A77" s="141" t="n"/>
      <c r="B77" s="121" t="n"/>
      <c r="C77" s="109" t="inlineStr">
        <is>
          <t>MONITOR 24"</t>
        </is>
      </c>
      <c r="D77" s="144" t="n">
        <v>1</v>
      </c>
      <c r="E77" s="155" t="n">
        <v>59500</v>
      </c>
      <c r="F77" s="155" t="n">
        <v>0</v>
      </c>
      <c r="G77" s="155">
        <f>E77+F77</f>
        <v/>
      </c>
      <c r="H77" s="155">
        <f>G77*D77</f>
        <v/>
      </c>
      <c r="I77" s="155" t="n">
        <v>53758.25</v>
      </c>
      <c r="J77" s="155" t="n">
        <v>0</v>
      </c>
      <c r="K77" s="155">
        <f>I77+J77</f>
        <v/>
      </c>
      <c r="L77" s="155">
        <f>K77*D77</f>
        <v/>
      </c>
      <c r="M77" s="155" t="n">
        <v>56349.39765</v>
      </c>
      <c r="N77" s="155" t="n">
        <v>0</v>
      </c>
      <c r="O77" s="155">
        <f>M77+N77</f>
        <v/>
      </c>
      <c r="P77" s="155">
        <f>O77*D77</f>
        <v/>
      </c>
      <c r="Q77" s="156">
        <f>AVERAGE(G77,K77,O77)</f>
        <v/>
      </c>
      <c r="R77" s="156">
        <f>AVERAGE(H77,L77,P77)</f>
        <v/>
      </c>
      <c r="S77" s="156">
        <f>R77*12</f>
        <v/>
      </c>
    </row>
    <row r="78" ht="23.25" customHeight="1" s="135">
      <c r="A78" s="142" t="n"/>
      <c r="B78" s="122" t="n"/>
      <c r="C78" s="109" t="inlineStr">
        <is>
          <t>INFRAESTRUCTURA (infraestructura de interconexión (cableado, canalizaciones, rack), mano de obra por instalación, configuración y mantenimiento)</t>
        </is>
      </c>
      <c r="D78" s="144" t="n">
        <v>1</v>
      </c>
      <c r="E78" s="155" t="n">
        <v>716211.1191666668</v>
      </c>
      <c r="F78" s="155" t="n">
        <v>0</v>
      </c>
      <c r="G78" s="155">
        <f>E78+F78</f>
        <v/>
      </c>
      <c r="H78" s="155">
        <f>G78*D78</f>
        <v/>
      </c>
      <c r="I78" s="155" t="n">
        <v>647096.7461670833</v>
      </c>
      <c r="J78" s="155" t="n">
        <v>0</v>
      </c>
      <c r="K78" s="155">
        <f>I78+J78</f>
        <v/>
      </c>
      <c r="L78" s="155">
        <f>K78*D78</f>
        <v/>
      </c>
      <c r="M78" s="155" t="n">
        <v>678286.8093323368</v>
      </c>
      <c r="N78" s="155" t="n">
        <v>0</v>
      </c>
      <c r="O78" s="155">
        <f>M78+N78</f>
        <v/>
      </c>
      <c r="P78" s="155">
        <f>O78*D78</f>
        <v/>
      </c>
      <c r="Q78" s="156">
        <f>AVERAGE(G78,K78,O78)</f>
        <v/>
      </c>
      <c r="R78" s="156">
        <f>AVERAGE(H78,L78,P78)</f>
        <v/>
      </c>
      <c r="S78" s="156">
        <f>R78*12</f>
        <v/>
      </c>
    </row>
    <row r="79" ht="14.25" customHeight="1" s="135">
      <c r="A79" s="140" t="n">
        <v>13</v>
      </c>
      <c r="B79" s="144" t="inlineStr">
        <is>
          <t>LETICIA</t>
        </is>
      </c>
      <c r="C79" s="109" t="inlineStr">
        <is>
          <t>NVR 8 CANALES - 4K (INCLUYE ALMACENAMIENTO)</t>
        </is>
      </c>
      <c r="D79" s="144" t="n">
        <v>1</v>
      </c>
      <c r="E79" s="155" t="n">
        <v>267000</v>
      </c>
      <c r="F79" s="155">
        <f>E79*19%</f>
        <v/>
      </c>
      <c r="G79" s="155">
        <f>E79+F79</f>
        <v/>
      </c>
      <c r="H79" s="155">
        <f>G79*D79</f>
        <v/>
      </c>
      <c r="I79" s="155" t="n">
        <v>241234.5</v>
      </c>
      <c r="J79" s="155">
        <f>I79*19%</f>
        <v/>
      </c>
      <c r="K79" s="155">
        <f>I79+J79</f>
        <v/>
      </c>
      <c r="L79" s="155">
        <f>K79*D79</f>
        <v/>
      </c>
      <c r="M79" s="155" t="n">
        <v>252862.0029</v>
      </c>
      <c r="N79" s="155">
        <f>M79*19%</f>
        <v/>
      </c>
      <c r="O79" s="155">
        <f>M79+N79</f>
        <v/>
      </c>
      <c r="P79" s="155">
        <f>O79*D79</f>
        <v/>
      </c>
      <c r="Q79" s="156">
        <f>AVERAGE(G79,K79,O79)</f>
        <v/>
      </c>
      <c r="R79" s="156">
        <f>AVERAGE(H79,L79,P79)</f>
        <v/>
      </c>
      <c r="S79" s="156">
        <f>R79*12</f>
        <v/>
      </c>
    </row>
    <row r="80" ht="14.25" customHeight="1" s="135">
      <c r="A80" s="141" t="n"/>
      <c r="B80" s="121" t="n"/>
      <c r="C80" s="109" t="inlineStr">
        <is>
          <t>CÁMARA TIPO DOMO FIJA. VARIFOCAL</t>
        </is>
      </c>
      <c r="D80" s="144" t="n">
        <v>2</v>
      </c>
      <c r="E80" s="155" t="n">
        <v>55000</v>
      </c>
      <c r="F80" s="155">
        <f>E80*19%</f>
        <v/>
      </c>
      <c r="G80" s="155">
        <f>E80+F80</f>
        <v/>
      </c>
      <c r="H80" s="155">
        <f>G80*D80</f>
        <v/>
      </c>
      <c r="I80" s="155" t="n">
        <v>49692.5</v>
      </c>
      <c r="J80" s="155">
        <f>I80*19%</f>
        <v/>
      </c>
      <c r="K80" s="155">
        <f>I80+J80</f>
        <v/>
      </c>
      <c r="L80" s="155">
        <f>K80*D80</f>
        <v/>
      </c>
      <c r="M80" s="155" t="n">
        <v>52087.6785</v>
      </c>
      <c r="N80" s="155">
        <f>M80*19%</f>
        <v/>
      </c>
      <c r="O80" s="155">
        <f>M80+N80</f>
        <v/>
      </c>
      <c r="P80" s="155">
        <f>O80*D80</f>
        <v/>
      </c>
      <c r="Q80" s="156">
        <f>AVERAGE(G80,K80,O80)</f>
        <v/>
      </c>
      <c r="R80" s="156">
        <f>AVERAGE(H80,L80,P80)</f>
        <v/>
      </c>
      <c r="S80" s="156">
        <f>R80*12</f>
        <v/>
      </c>
    </row>
    <row r="81" ht="14.25" customHeight="1" s="135">
      <c r="A81" s="141" t="n"/>
      <c r="B81" s="121" t="n"/>
      <c r="C81" s="109" t="inlineStr">
        <is>
          <t>UPS 1KVA</t>
        </is>
      </c>
      <c r="D81" s="144" t="n">
        <v>1</v>
      </c>
      <c r="E81" s="155" t="n">
        <v>51000</v>
      </c>
      <c r="F81" s="155">
        <f>E81*19%</f>
        <v/>
      </c>
      <c r="G81" s="155">
        <f>E81+F81</f>
        <v/>
      </c>
      <c r="H81" s="155">
        <f>G81*D81</f>
        <v/>
      </c>
      <c r="I81" s="155" t="n">
        <v>46078.5</v>
      </c>
      <c r="J81" s="155">
        <f>I81*19%</f>
        <v/>
      </c>
      <c r="K81" s="155">
        <f>I81+J81</f>
        <v/>
      </c>
      <c r="L81" s="155">
        <f>K81*D81</f>
        <v/>
      </c>
      <c r="M81" s="155" t="n">
        <v>48299.4837</v>
      </c>
      <c r="N81" s="155">
        <f>M81*19%</f>
        <v/>
      </c>
      <c r="O81" s="155">
        <f>M81+N81</f>
        <v/>
      </c>
      <c r="P81" s="155">
        <f>O81*D81</f>
        <v/>
      </c>
      <c r="Q81" s="156">
        <f>AVERAGE(G81,K81,O81)</f>
        <v/>
      </c>
      <c r="R81" s="156">
        <f>AVERAGE(H81,L81,P81)</f>
        <v/>
      </c>
      <c r="S81" s="156">
        <f>R81*12</f>
        <v/>
      </c>
    </row>
    <row r="82" ht="14.25" customHeight="1" s="135">
      <c r="A82" s="141" t="n"/>
      <c r="B82" s="121" t="n"/>
      <c r="C82" s="109" t="inlineStr">
        <is>
          <t>RACK GABINETE 5RU PARED</t>
        </is>
      </c>
      <c r="D82" s="144" t="n">
        <v>1</v>
      </c>
      <c r="E82" s="155" t="n">
        <v>31666.66666666667</v>
      </c>
      <c r="F82" s="155">
        <f>E82*19%</f>
        <v/>
      </c>
      <c r="G82" s="155">
        <f>E82+F82</f>
        <v/>
      </c>
      <c r="H82" s="155">
        <f>G82*D82</f>
        <v/>
      </c>
      <c r="I82" s="155" t="n">
        <v>28610.83333333334</v>
      </c>
      <c r="J82" s="155">
        <f>I82*19%</f>
        <v/>
      </c>
      <c r="K82" s="155">
        <f>I82+J82</f>
        <v/>
      </c>
      <c r="L82" s="155">
        <f>K82*D82</f>
        <v/>
      </c>
      <c r="M82" s="155" t="n">
        <v>29989.8755</v>
      </c>
      <c r="N82" s="155">
        <f>M82*19%</f>
        <v/>
      </c>
      <c r="O82" s="155">
        <f>M82+N82</f>
        <v/>
      </c>
      <c r="P82" s="155">
        <f>O82*D82</f>
        <v/>
      </c>
      <c r="Q82" s="156">
        <f>AVERAGE(G82,K82,O82)</f>
        <v/>
      </c>
      <c r="R82" s="156">
        <f>AVERAGE(H82,L82,P82)</f>
        <v/>
      </c>
      <c r="S82" s="156">
        <f>R82*12</f>
        <v/>
      </c>
    </row>
    <row r="83" ht="14.25" customHeight="1" s="135">
      <c r="A83" s="141" t="n"/>
      <c r="B83" s="121" t="n"/>
      <c r="C83" s="109" t="inlineStr">
        <is>
          <t>MONITOR 24"</t>
        </is>
      </c>
      <c r="D83" s="144" t="n">
        <v>1</v>
      </c>
      <c r="E83" s="155" t="n">
        <v>50000</v>
      </c>
      <c r="F83" s="155">
        <f>E83*19%</f>
        <v/>
      </c>
      <c r="G83" s="155">
        <f>E83+F83</f>
        <v/>
      </c>
      <c r="H83" s="155">
        <f>G83*D83</f>
        <v/>
      </c>
      <c r="I83" s="155" t="n">
        <v>45175</v>
      </c>
      <c r="J83" s="155">
        <f>I83*19%</f>
        <v/>
      </c>
      <c r="K83" s="155">
        <f>I83+J83</f>
        <v/>
      </c>
      <c r="L83" s="155">
        <f>K83*D83</f>
        <v/>
      </c>
      <c r="M83" s="155" t="n">
        <v>47352.435</v>
      </c>
      <c r="N83" s="155">
        <f>M83*19%</f>
        <v/>
      </c>
      <c r="O83" s="155">
        <f>M83+N83</f>
        <v/>
      </c>
      <c r="P83" s="155">
        <f>O83*D83</f>
        <v/>
      </c>
      <c r="Q83" s="156">
        <f>AVERAGE(G83,K83,O83)</f>
        <v/>
      </c>
      <c r="R83" s="156">
        <f>AVERAGE(H83,L83,P83)</f>
        <v/>
      </c>
      <c r="S83" s="156">
        <f>R83*12</f>
        <v/>
      </c>
    </row>
    <row r="84" ht="21" customHeight="1" s="135">
      <c r="A84" s="142" t="n"/>
      <c r="B84" s="122" t="n"/>
      <c r="C84" s="109" t="inlineStr">
        <is>
          <t>INFRAESTRUCTURA (infraestructura de interconexión (cableado, canalizaciones, rack), mano de obra por instalación, configuración y mantenimiento)</t>
        </is>
      </c>
      <c r="D84" s="144" t="n">
        <v>1</v>
      </c>
      <c r="E84" s="155" t="n">
        <v>601858.0833333334</v>
      </c>
      <c r="F84" s="155">
        <f>E84*19%</f>
        <v/>
      </c>
      <c r="G84" s="155">
        <f>E84+F84</f>
        <v/>
      </c>
      <c r="H84" s="155">
        <f>G84*D84</f>
        <v/>
      </c>
      <c r="I84" s="155" t="n">
        <v>543778.7782916666</v>
      </c>
      <c r="J84" s="155">
        <f>I84*19%</f>
        <v/>
      </c>
      <c r="K84" s="155">
        <f>I84+J84</f>
        <v/>
      </c>
      <c r="L84" s="155">
        <f>K84*D84</f>
        <v/>
      </c>
      <c r="M84" s="155" t="n">
        <v>569988.915405325</v>
      </c>
      <c r="N84" s="155">
        <f>M84*19%</f>
        <v/>
      </c>
      <c r="O84" s="155">
        <f>M84+N84</f>
        <v/>
      </c>
      <c r="P84" s="155">
        <f>O84*D84</f>
        <v/>
      </c>
      <c r="Q84" s="156">
        <f>AVERAGE(G84,K84,O84)</f>
        <v/>
      </c>
      <c r="R84" s="156">
        <f>AVERAGE(H84,L84,P84)</f>
        <v/>
      </c>
      <c r="S84" s="156">
        <f>R84*12</f>
        <v/>
      </c>
    </row>
    <row r="85" ht="14.25" customHeight="1" s="135">
      <c r="A85" s="148" t="inlineStr">
        <is>
          <t>VALOR TOTAL COTIZACIONES</t>
        </is>
      </c>
      <c r="B85" s="118" t="n"/>
      <c r="C85" s="118" t="n"/>
      <c r="D85" s="118" t="n"/>
      <c r="E85" s="118" t="n"/>
      <c r="F85" s="118" t="n"/>
      <c r="G85" s="119" t="n"/>
      <c r="H85" s="157">
        <f>SUM(H3:H84)</f>
        <v/>
      </c>
      <c r="I85" s="110" t="n"/>
      <c r="J85" s="110" t="n"/>
      <c r="L85" s="158">
        <f>SUM(L3:L84)</f>
        <v/>
      </c>
      <c r="P85" s="157">
        <f>SUM(P3:P84)</f>
        <v/>
      </c>
      <c r="Q85" s="158">
        <f>SUM(Q3:Q84)</f>
        <v/>
      </c>
      <c r="R85" s="158">
        <f>SUM(R3:R84)</f>
        <v/>
      </c>
      <c r="S85" s="158">
        <f>R85*12</f>
        <v/>
      </c>
    </row>
    <row r="86" ht="14.25" customHeight="1" s="135">
      <c r="A86" s="110" t="n"/>
      <c r="B86" s="111" t="n"/>
      <c r="C86" s="111" t="n"/>
      <c r="D86" s="111" t="n"/>
      <c r="E86" s="110" t="n"/>
      <c r="F86" s="110" t="n"/>
      <c r="G86" s="110" t="n"/>
      <c r="H86" s="110" t="n"/>
      <c r="I86" s="110" t="n"/>
      <c r="J86" s="110" t="n"/>
    </row>
    <row r="87" ht="14.25" customHeight="1" s="135">
      <c r="A87" s="110" t="n"/>
      <c r="B87" s="111" t="n"/>
      <c r="C87" s="111" t="n"/>
      <c r="D87" s="111" t="n"/>
      <c r="E87" s="110" t="n"/>
      <c r="F87" s="110" t="n"/>
      <c r="G87" s="110" t="n"/>
      <c r="H87" s="110" t="n"/>
      <c r="I87" s="110" t="n"/>
      <c r="J87" s="110" t="n"/>
    </row>
    <row r="88" ht="14.25" customHeight="1" s="135">
      <c r="A88" s="110" t="n"/>
      <c r="B88" s="111" t="n"/>
      <c r="C88" s="111" t="n"/>
      <c r="D88" s="111" t="n"/>
      <c r="E88" s="110" t="n"/>
      <c r="F88" s="110" t="n"/>
      <c r="G88" s="110" t="n"/>
      <c r="H88" s="110" t="n"/>
      <c r="I88" s="110" t="n"/>
      <c r="J88" s="110" t="n"/>
    </row>
    <row r="89" ht="14.25" customHeight="1" s="135">
      <c r="A89" s="110" t="n"/>
      <c r="B89" s="111" t="n"/>
      <c r="C89" s="111" t="n"/>
      <c r="D89" s="111" t="n"/>
      <c r="E89" s="110" t="n"/>
      <c r="F89" s="110" t="n"/>
      <c r="G89" s="110" t="n"/>
      <c r="H89" s="110" t="n"/>
      <c r="I89" s="110" t="n"/>
      <c r="J89" s="110" t="n"/>
    </row>
    <row r="90" ht="14.25" customHeight="1" s="135">
      <c r="A90" s="110" t="n"/>
      <c r="B90" s="111" t="n"/>
      <c r="C90" s="111" t="n"/>
      <c r="D90" s="111" t="n"/>
      <c r="E90" s="110" t="n"/>
      <c r="F90" s="110" t="n"/>
      <c r="G90" s="110" t="n"/>
      <c r="H90" s="110" t="n"/>
      <c r="I90" s="110" t="n"/>
      <c r="J90" s="110" t="n"/>
    </row>
    <row r="91" ht="14.25" customHeight="1" s="135">
      <c r="A91" s="110" t="n"/>
      <c r="B91" s="111" t="n"/>
      <c r="C91" s="111" t="n"/>
      <c r="D91" s="111" t="n"/>
      <c r="E91" s="110" t="n"/>
      <c r="F91" s="110" t="n"/>
      <c r="G91" s="110" t="n"/>
      <c r="H91" s="110" t="n"/>
      <c r="I91" s="110" t="n"/>
      <c r="J91" s="110" t="n"/>
    </row>
    <row r="92" ht="14.25" customHeight="1" s="135">
      <c r="A92" s="110" t="n"/>
      <c r="B92" s="111" t="n"/>
      <c r="C92" s="111" t="n"/>
      <c r="D92" s="111" t="n"/>
      <c r="E92" s="110" t="n"/>
      <c r="F92" s="110" t="n"/>
      <c r="G92" s="110" t="n"/>
      <c r="H92" s="110" t="n"/>
      <c r="I92" s="110" t="n"/>
      <c r="J92" s="110" t="n"/>
    </row>
    <row r="93" ht="14.25" customHeight="1" s="135">
      <c r="A93" s="110" t="n"/>
      <c r="B93" s="111" t="n"/>
      <c r="C93" s="111" t="n"/>
      <c r="D93" s="111" t="n"/>
      <c r="E93" s="110" t="n"/>
      <c r="F93" s="110" t="n"/>
      <c r="G93" s="110" t="n"/>
      <c r="H93" s="110" t="n"/>
      <c r="I93" s="110" t="n"/>
      <c r="J93" s="110" t="n"/>
    </row>
    <row r="94" ht="14.25" customHeight="1" s="135">
      <c r="A94" s="110" t="n"/>
      <c r="B94" s="111" t="n"/>
      <c r="C94" s="111" t="n"/>
      <c r="D94" s="111" t="n"/>
      <c r="E94" s="110" t="n"/>
      <c r="F94" s="110" t="n"/>
      <c r="G94" s="110" t="n"/>
      <c r="H94" s="110" t="n"/>
      <c r="I94" s="110" t="n"/>
      <c r="J94" s="110" t="n"/>
    </row>
    <row r="95" ht="14.25" customHeight="1" s="135">
      <c r="A95" s="110" t="n"/>
      <c r="B95" s="111" t="n"/>
      <c r="C95" s="111" t="n"/>
      <c r="D95" s="111" t="n"/>
      <c r="E95" s="110" t="n"/>
      <c r="F95" s="110" t="n"/>
      <c r="G95" s="110" t="n"/>
      <c r="H95" s="110" t="n"/>
      <c r="I95" s="110" t="n"/>
      <c r="J95" s="110" t="n"/>
    </row>
    <row r="96" ht="14.25" customHeight="1" s="135">
      <c r="A96" s="110" t="n"/>
      <c r="B96" s="111" t="n"/>
      <c r="C96" s="111" t="n"/>
      <c r="D96" s="111" t="n"/>
      <c r="E96" s="110" t="n"/>
      <c r="F96" s="110" t="n"/>
      <c r="G96" s="110" t="n"/>
      <c r="H96" s="110" t="n"/>
      <c r="I96" s="110" t="n"/>
      <c r="J96" s="110" t="n"/>
    </row>
    <row r="97" ht="14.25" customHeight="1" s="135">
      <c r="A97" s="110" t="n"/>
      <c r="B97" s="111" t="n"/>
      <c r="C97" s="111" t="n"/>
      <c r="D97" s="111" t="n"/>
      <c r="E97" s="110" t="n"/>
      <c r="F97" s="110" t="n"/>
      <c r="G97" s="110" t="n"/>
      <c r="H97" s="110" t="n"/>
      <c r="I97" s="110" t="n"/>
      <c r="J97" s="110" t="n"/>
    </row>
    <row r="98" ht="14.25" customHeight="1" s="135">
      <c r="A98" s="110" t="n"/>
      <c r="B98" s="111" t="n"/>
      <c r="C98" s="111" t="n"/>
      <c r="D98" s="111" t="n"/>
      <c r="E98" s="110" t="n"/>
      <c r="F98" s="110" t="n"/>
      <c r="G98" s="110" t="n"/>
      <c r="H98" s="110" t="n"/>
      <c r="I98" s="110" t="n"/>
      <c r="J98" s="110" t="n"/>
    </row>
    <row r="99" ht="14.25" customHeight="1" s="135">
      <c r="A99" s="110" t="n"/>
      <c r="B99" s="111" t="n"/>
      <c r="C99" s="111" t="n"/>
      <c r="D99" s="111" t="n"/>
      <c r="E99" s="110" t="n"/>
      <c r="F99" s="110" t="n"/>
      <c r="G99" s="110" t="n"/>
      <c r="H99" s="110" t="n"/>
      <c r="I99" s="110" t="n"/>
      <c r="J99" s="110" t="n"/>
    </row>
    <row r="100" ht="14.25" customHeight="1" s="135">
      <c r="A100" s="110" t="n"/>
      <c r="B100" s="111" t="n"/>
      <c r="C100" s="111" t="n"/>
      <c r="D100" s="111" t="n"/>
      <c r="E100" s="110" t="n"/>
      <c r="F100" s="110" t="n"/>
      <c r="G100" s="110" t="n"/>
      <c r="H100" s="110" t="n"/>
      <c r="I100" s="110" t="n"/>
      <c r="J100" s="110" t="n"/>
    </row>
    <row r="101" ht="14.25" customHeight="1" s="135">
      <c r="A101" s="110" t="n"/>
      <c r="B101" s="111" t="n"/>
      <c r="C101" s="111" t="n"/>
      <c r="D101" s="111" t="n"/>
      <c r="E101" s="110" t="n"/>
      <c r="F101" s="110" t="n"/>
      <c r="G101" s="110" t="n"/>
      <c r="H101" s="110" t="n"/>
      <c r="I101" s="110" t="n"/>
      <c r="J101" s="110" t="n"/>
    </row>
    <row r="102" ht="14.25" customHeight="1" s="135">
      <c r="A102" s="110" t="n"/>
      <c r="B102" s="111" t="n"/>
      <c r="C102" s="111" t="n"/>
      <c r="D102" s="111" t="n"/>
      <c r="E102" s="110" t="n"/>
      <c r="F102" s="110" t="n"/>
      <c r="G102" s="110" t="n"/>
      <c r="H102" s="110" t="n"/>
      <c r="I102" s="110" t="n"/>
      <c r="J102" s="110" t="n"/>
    </row>
    <row r="103" ht="14.25" customHeight="1" s="135">
      <c r="A103" s="110" t="n"/>
      <c r="B103" s="111" t="n"/>
      <c r="C103" s="111" t="n"/>
      <c r="D103" s="111" t="n"/>
      <c r="E103" s="110" t="n"/>
      <c r="F103" s="110" t="n"/>
      <c r="G103" s="110" t="n"/>
      <c r="H103" s="110" t="n"/>
      <c r="I103" s="110" t="n"/>
      <c r="J103" s="110" t="n"/>
    </row>
    <row r="104" ht="14.25" customHeight="1" s="135">
      <c r="A104" s="110" t="n"/>
      <c r="B104" s="111" t="n"/>
      <c r="C104" s="111" t="n"/>
      <c r="D104" s="111" t="n"/>
      <c r="E104" s="110" t="n"/>
      <c r="F104" s="110" t="n"/>
      <c r="G104" s="110" t="n"/>
      <c r="H104" s="110" t="n"/>
      <c r="I104" s="110" t="n"/>
      <c r="J104" s="110" t="n"/>
    </row>
    <row r="105" ht="14.25" customHeight="1" s="135">
      <c r="A105" s="110" t="n"/>
      <c r="B105" s="111" t="n"/>
      <c r="C105" s="111" t="n"/>
      <c r="D105" s="111" t="n"/>
      <c r="E105" s="110" t="n"/>
      <c r="F105" s="110" t="n"/>
      <c r="G105" s="110" t="n"/>
      <c r="H105" s="110" t="n"/>
      <c r="I105" s="110" t="n"/>
      <c r="J105" s="110" t="n"/>
    </row>
    <row r="106" ht="14.25" customHeight="1" s="135">
      <c r="A106" s="110" t="n"/>
      <c r="B106" s="111" t="n"/>
      <c r="C106" s="111" t="n"/>
      <c r="D106" s="111" t="n"/>
      <c r="E106" s="110" t="n"/>
      <c r="F106" s="110" t="n"/>
      <c r="G106" s="110" t="n"/>
      <c r="H106" s="110" t="n"/>
      <c r="I106" s="110" t="n"/>
      <c r="J106" s="110" t="n"/>
    </row>
    <row r="107" ht="14.25" customHeight="1" s="135">
      <c r="A107" s="110" t="n"/>
      <c r="B107" s="111" t="n"/>
      <c r="C107" s="111" t="n"/>
      <c r="D107" s="111" t="n"/>
      <c r="E107" s="110" t="n"/>
      <c r="F107" s="110" t="n"/>
      <c r="G107" s="110" t="n"/>
      <c r="H107" s="110" t="n"/>
      <c r="I107" s="110" t="n"/>
      <c r="J107" s="110" t="n"/>
    </row>
    <row r="108" ht="14.25" customHeight="1" s="135">
      <c r="A108" s="110" t="n"/>
      <c r="B108" s="111" t="n"/>
      <c r="C108" s="111" t="n"/>
      <c r="D108" s="111" t="n"/>
      <c r="E108" s="110" t="n"/>
      <c r="F108" s="110" t="n"/>
      <c r="G108" s="110" t="n"/>
      <c r="H108" s="110" t="n"/>
      <c r="I108" s="110" t="n"/>
      <c r="J108" s="110" t="n"/>
    </row>
    <row r="109" ht="14.25" customHeight="1" s="135">
      <c r="A109" s="110" t="n"/>
      <c r="B109" s="111" t="n"/>
      <c r="C109" s="111" t="n"/>
      <c r="D109" s="111" t="n"/>
      <c r="E109" s="110" t="n"/>
      <c r="F109" s="110" t="n"/>
      <c r="G109" s="110" t="n"/>
      <c r="H109" s="110" t="n"/>
      <c r="I109" s="110" t="n"/>
      <c r="J109" s="110" t="n"/>
    </row>
    <row r="110" ht="14.25" customHeight="1" s="135">
      <c r="A110" s="110" t="n"/>
      <c r="B110" s="111" t="n"/>
      <c r="C110" s="111" t="n"/>
      <c r="D110" s="111" t="n"/>
      <c r="E110" s="110" t="n"/>
      <c r="F110" s="110" t="n"/>
      <c r="G110" s="110" t="n"/>
      <c r="H110" s="110" t="n"/>
      <c r="I110" s="110" t="n"/>
      <c r="J110" s="110" t="n"/>
    </row>
    <row r="111" ht="14.25" customHeight="1" s="135">
      <c r="A111" s="110" t="n"/>
      <c r="B111" s="111" t="n"/>
      <c r="C111" s="111" t="n"/>
      <c r="D111" s="111" t="n"/>
      <c r="E111" s="110" t="n"/>
      <c r="F111" s="110" t="n"/>
      <c r="G111" s="110" t="n"/>
      <c r="H111" s="110" t="n"/>
      <c r="I111" s="110" t="n"/>
      <c r="J111" s="110" t="n"/>
    </row>
    <row r="112" ht="14.25" customHeight="1" s="135">
      <c r="A112" s="110" t="n"/>
      <c r="B112" s="111" t="n"/>
      <c r="C112" s="111" t="n"/>
      <c r="D112" s="111" t="n"/>
      <c r="E112" s="110" t="n"/>
      <c r="F112" s="110" t="n"/>
      <c r="G112" s="110" t="n"/>
      <c r="H112" s="110" t="n"/>
      <c r="I112" s="110" t="n"/>
      <c r="J112" s="110" t="n"/>
    </row>
    <row r="113" ht="14.25" customHeight="1" s="135">
      <c r="A113" s="110" t="n"/>
      <c r="B113" s="111" t="n"/>
      <c r="C113" s="111" t="n"/>
      <c r="D113" s="111" t="n"/>
      <c r="E113" s="110" t="n"/>
      <c r="F113" s="110" t="n"/>
      <c r="G113" s="110" t="n"/>
      <c r="H113" s="110" t="n"/>
      <c r="I113" s="110" t="n"/>
      <c r="J113" s="110" t="n"/>
    </row>
    <row r="114" ht="14.25" customHeight="1" s="135">
      <c r="A114" s="110" t="n"/>
      <c r="B114" s="111" t="n"/>
      <c r="C114" s="111" t="n"/>
      <c r="D114" s="111" t="n"/>
      <c r="E114" s="110" t="n"/>
      <c r="F114" s="110" t="n"/>
      <c r="G114" s="110" t="n"/>
      <c r="H114" s="110" t="n"/>
      <c r="I114" s="110" t="n"/>
      <c r="J114" s="110" t="n"/>
    </row>
    <row r="115" ht="14.25" customHeight="1" s="135">
      <c r="A115" s="110" t="n"/>
      <c r="B115" s="111" t="n"/>
      <c r="C115" s="111" t="n"/>
      <c r="D115" s="111" t="n"/>
      <c r="E115" s="110" t="n"/>
      <c r="F115" s="110" t="n"/>
      <c r="G115" s="110" t="n"/>
      <c r="H115" s="110" t="n"/>
      <c r="I115" s="110" t="n"/>
      <c r="J115" s="110" t="n"/>
    </row>
    <row r="116" ht="14.25" customHeight="1" s="135">
      <c r="A116" s="110" t="n"/>
      <c r="B116" s="111" t="n"/>
      <c r="C116" s="111" t="n"/>
      <c r="D116" s="111" t="n"/>
      <c r="E116" s="110" t="n"/>
      <c r="F116" s="110" t="n"/>
      <c r="G116" s="110" t="n"/>
      <c r="H116" s="110" t="n"/>
      <c r="I116" s="110" t="n"/>
      <c r="J116" s="110" t="n"/>
    </row>
    <row r="117" ht="14.25" customHeight="1" s="135">
      <c r="A117" s="110" t="n"/>
      <c r="B117" s="111" t="n"/>
      <c r="C117" s="111" t="n"/>
      <c r="D117" s="111" t="n"/>
      <c r="E117" s="110" t="n"/>
      <c r="F117" s="110" t="n"/>
      <c r="G117" s="110" t="n"/>
      <c r="H117" s="110" t="n"/>
      <c r="I117" s="110" t="n"/>
      <c r="J117" s="110" t="n"/>
    </row>
    <row r="118" ht="14.25" customHeight="1" s="135">
      <c r="A118" s="110" t="n"/>
      <c r="B118" s="111" t="n"/>
      <c r="C118" s="111" t="n"/>
      <c r="D118" s="111" t="n"/>
      <c r="E118" s="110" t="n"/>
      <c r="F118" s="110" t="n"/>
      <c r="G118" s="110" t="n"/>
      <c r="H118" s="110" t="n"/>
      <c r="I118" s="110" t="n"/>
      <c r="J118" s="110" t="n"/>
    </row>
    <row r="119" ht="14.25" customHeight="1" s="135">
      <c r="A119" s="110" t="n"/>
      <c r="B119" s="111" t="n"/>
      <c r="C119" s="111" t="n"/>
      <c r="D119" s="111" t="n"/>
      <c r="E119" s="110" t="n"/>
      <c r="F119" s="110" t="n"/>
      <c r="G119" s="110" t="n"/>
      <c r="H119" s="110" t="n"/>
      <c r="I119" s="110" t="n"/>
      <c r="J119" s="110" t="n"/>
    </row>
    <row r="120" ht="14.25" customHeight="1" s="135">
      <c r="A120" s="110" t="n"/>
      <c r="B120" s="111" t="n"/>
      <c r="C120" s="111" t="n"/>
      <c r="D120" s="111" t="n"/>
      <c r="E120" s="110" t="n"/>
      <c r="F120" s="110" t="n"/>
      <c r="G120" s="110" t="n"/>
      <c r="H120" s="110" t="n"/>
      <c r="I120" s="110" t="n"/>
      <c r="J120" s="110" t="n"/>
    </row>
    <row r="121" ht="14.25" customHeight="1" s="135">
      <c r="A121" s="110" t="n"/>
      <c r="B121" s="111" t="n"/>
      <c r="C121" s="111" t="n"/>
      <c r="D121" s="111" t="n"/>
      <c r="E121" s="110" t="n"/>
      <c r="F121" s="110" t="n"/>
      <c r="G121" s="110" t="n"/>
      <c r="H121" s="110" t="n"/>
      <c r="I121" s="110" t="n"/>
      <c r="J121" s="110" t="n"/>
    </row>
    <row r="122" ht="14.25" customHeight="1" s="135">
      <c r="A122" s="110" t="n"/>
      <c r="B122" s="111" t="n"/>
      <c r="C122" s="111" t="n"/>
      <c r="D122" s="111" t="n"/>
      <c r="E122" s="110" t="n"/>
      <c r="F122" s="110" t="n"/>
      <c r="G122" s="110" t="n"/>
      <c r="H122" s="110" t="n"/>
      <c r="I122" s="110" t="n"/>
      <c r="J122" s="110" t="n"/>
    </row>
    <row r="123" ht="14.25" customHeight="1" s="135">
      <c r="A123" s="110" t="n"/>
      <c r="B123" s="111" t="n"/>
      <c r="C123" s="111" t="n"/>
      <c r="D123" s="111" t="n"/>
      <c r="E123" s="110" t="n"/>
      <c r="F123" s="110" t="n"/>
      <c r="G123" s="110" t="n"/>
      <c r="H123" s="110" t="n"/>
      <c r="I123" s="110" t="n"/>
      <c r="J123" s="110" t="n"/>
    </row>
    <row r="124" ht="14.25" customHeight="1" s="135">
      <c r="A124" s="110" t="n"/>
      <c r="B124" s="111" t="n"/>
      <c r="C124" s="111" t="n"/>
      <c r="D124" s="111" t="n"/>
      <c r="E124" s="110" t="n"/>
      <c r="F124" s="110" t="n"/>
      <c r="G124" s="110" t="n"/>
      <c r="H124" s="110" t="n"/>
      <c r="I124" s="110" t="n"/>
      <c r="J124" s="110" t="n"/>
    </row>
    <row r="125" ht="14.25" customHeight="1" s="135">
      <c r="A125" s="110" t="n"/>
      <c r="B125" s="111" t="n"/>
      <c r="C125" s="111" t="n"/>
      <c r="D125" s="111" t="n"/>
      <c r="E125" s="110" t="n"/>
      <c r="F125" s="110" t="n"/>
      <c r="G125" s="110" t="n"/>
      <c r="H125" s="110" t="n"/>
      <c r="I125" s="110" t="n"/>
      <c r="J125" s="110" t="n"/>
    </row>
    <row r="126" ht="14.25" customHeight="1" s="135">
      <c r="A126" s="110" t="n"/>
      <c r="B126" s="111" t="n"/>
      <c r="C126" s="111" t="n"/>
      <c r="D126" s="111" t="n"/>
      <c r="E126" s="110" t="n"/>
      <c r="F126" s="110" t="n"/>
      <c r="G126" s="110" t="n"/>
      <c r="H126" s="110" t="n"/>
      <c r="I126" s="110" t="n"/>
      <c r="J126" s="110" t="n"/>
    </row>
    <row r="127" ht="14.25" customHeight="1" s="135">
      <c r="A127" s="110" t="n"/>
      <c r="B127" s="111" t="n"/>
      <c r="C127" s="111" t="n"/>
      <c r="D127" s="111" t="n"/>
      <c r="E127" s="110" t="n"/>
      <c r="F127" s="110" t="n"/>
      <c r="G127" s="110" t="n"/>
      <c r="H127" s="110" t="n"/>
      <c r="I127" s="110" t="n"/>
      <c r="J127" s="110" t="n"/>
    </row>
    <row r="128" ht="14.25" customHeight="1" s="135">
      <c r="A128" s="110" t="n"/>
      <c r="B128" s="111" t="n"/>
      <c r="C128" s="111" t="n"/>
      <c r="D128" s="111" t="n"/>
      <c r="E128" s="110" t="n"/>
      <c r="F128" s="110" t="n"/>
      <c r="G128" s="110" t="n"/>
      <c r="H128" s="110" t="n"/>
      <c r="I128" s="110" t="n"/>
      <c r="J128" s="110" t="n"/>
    </row>
    <row r="129" ht="14.25" customHeight="1" s="135">
      <c r="A129" s="110" t="n"/>
      <c r="B129" s="111" t="n"/>
      <c r="C129" s="111" t="n"/>
      <c r="D129" s="111" t="n"/>
      <c r="E129" s="110" t="n"/>
      <c r="F129" s="110" t="n"/>
      <c r="G129" s="110" t="n"/>
      <c r="H129" s="110" t="n"/>
      <c r="I129" s="110" t="n"/>
      <c r="J129" s="110" t="n"/>
    </row>
    <row r="130" ht="14.25" customHeight="1" s="135">
      <c r="A130" s="110" t="n"/>
      <c r="B130" s="111" t="n"/>
      <c r="C130" s="111" t="n"/>
      <c r="D130" s="111" t="n"/>
      <c r="E130" s="110" t="n"/>
      <c r="F130" s="110" t="n"/>
      <c r="G130" s="110" t="n"/>
      <c r="H130" s="110" t="n"/>
      <c r="I130" s="110" t="n"/>
      <c r="J130" s="110" t="n"/>
    </row>
    <row r="131" ht="14.25" customHeight="1" s="135">
      <c r="A131" s="110" t="n"/>
      <c r="B131" s="111" t="n"/>
      <c r="C131" s="111" t="n"/>
      <c r="D131" s="111" t="n"/>
      <c r="E131" s="110" t="n"/>
      <c r="F131" s="110" t="n"/>
      <c r="G131" s="110" t="n"/>
      <c r="H131" s="110" t="n"/>
      <c r="I131" s="110" t="n"/>
      <c r="J131" s="110" t="n"/>
    </row>
    <row r="132" ht="14.25" customHeight="1" s="135">
      <c r="A132" s="110" t="n"/>
      <c r="B132" s="111" t="n"/>
      <c r="C132" s="111" t="n"/>
      <c r="D132" s="111" t="n"/>
      <c r="E132" s="110" t="n"/>
      <c r="F132" s="110" t="n"/>
      <c r="G132" s="110" t="n"/>
      <c r="H132" s="110" t="n"/>
      <c r="I132" s="110" t="n"/>
      <c r="J132" s="110" t="n"/>
    </row>
    <row r="133" ht="14.25" customHeight="1" s="135">
      <c r="A133" s="110" t="n"/>
      <c r="B133" s="111" t="n"/>
      <c r="C133" s="111" t="n"/>
      <c r="D133" s="111" t="n"/>
      <c r="E133" s="110" t="n"/>
      <c r="F133" s="110" t="n"/>
      <c r="G133" s="110" t="n"/>
      <c r="H133" s="110" t="n"/>
      <c r="I133" s="110" t="n"/>
      <c r="J133" s="110" t="n"/>
    </row>
    <row r="134" ht="14.25" customHeight="1" s="135">
      <c r="A134" s="110" t="n"/>
      <c r="B134" s="111" t="n"/>
      <c r="C134" s="111" t="n"/>
      <c r="D134" s="111" t="n"/>
      <c r="E134" s="110" t="n"/>
      <c r="F134" s="110" t="n"/>
      <c r="G134" s="110" t="n"/>
      <c r="H134" s="110" t="n"/>
      <c r="I134" s="110" t="n"/>
      <c r="J134" s="110" t="n"/>
    </row>
    <row r="135" ht="14.25" customHeight="1" s="135">
      <c r="A135" s="110" t="n"/>
      <c r="B135" s="111" t="n"/>
      <c r="C135" s="111" t="n"/>
      <c r="D135" s="111" t="n"/>
      <c r="E135" s="110" t="n"/>
      <c r="F135" s="110" t="n"/>
      <c r="G135" s="110" t="n"/>
      <c r="H135" s="110" t="n"/>
      <c r="I135" s="110" t="n"/>
      <c r="J135" s="110" t="n"/>
    </row>
    <row r="136" ht="14.25" customHeight="1" s="135">
      <c r="A136" s="110" t="n"/>
      <c r="B136" s="111" t="n"/>
      <c r="C136" s="111" t="n"/>
      <c r="D136" s="111" t="n"/>
      <c r="E136" s="110" t="n"/>
      <c r="F136" s="110" t="n"/>
      <c r="G136" s="110" t="n"/>
      <c r="H136" s="110" t="n"/>
      <c r="I136" s="110" t="n"/>
      <c r="J136" s="110" t="n"/>
    </row>
    <row r="137" ht="14.25" customHeight="1" s="135">
      <c r="A137" s="110" t="n"/>
      <c r="B137" s="111" t="n"/>
      <c r="C137" s="111" t="n"/>
      <c r="D137" s="111" t="n"/>
      <c r="E137" s="110" t="n"/>
      <c r="F137" s="110" t="n"/>
      <c r="G137" s="110" t="n"/>
      <c r="H137" s="110" t="n"/>
      <c r="I137" s="110" t="n"/>
      <c r="J137" s="110" t="n"/>
    </row>
    <row r="138" ht="14.25" customHeight="1" s="135">
      <c r="A138" s="110" t="n"/>
      <c r="B138" s="111" t="n"/>
      <c r="C138" s="111" t="n"/>
      <c r="D138" s="111" t="n"/>
      <c r="E138" s="110" t="n"/>
      <c r="F138" s="110" t="n"/>
      <c r="G138" s="110" t="n"/>
      <c r="H138" s="110" t="n"/>
      <c r="I138" s="110" t="n"/>
      <c r="J138" s="110" t="n"/>
    </row>
    <row r="139" ht="14.25" customHeight="1" s="135">
      <c r="A139" s="110" t="n"/>
      <c r="B139" s="111" t="n"/>
      <c r="C139" s="111" t="n"/>
      <c r="D139" s="111" t="n"/>
      <c r="E139" s="110" t="n"/>
      <c r="F139" s="110" t="n"/>
      <c r="G139" s="110" t="n"/>
      <c r="H139" s="110" t="n"/>
      <c r="I139" s="110" t="n"/>
      <c r="J139" s="110" t="n"/>
    </row>
    <row r="140" ht="14.25" customHeight="1" s="135">
      <c r="A140" s="110" t="n"/>
      <c r="B140" s="111" t="n"/>
      <c r="C140" s="111" t="n"/>
      <c r="D140" s="111" t="n"/>
      <c r="E140" s="110" t="n"/>
      <c r="F140" s="110" t="n"/>
      <c r="G140" s="110" t="n"/>
      <c r="H140" s="110" t="n"/>
      <c r="I140" s="110" t="n"/>
      <c r="J140" s="110" t="n"/>
    </row>
    <row r="141" ht="14.25" customHeight="1" s="135">
      <c r="A141" s="110" t="n"/>
      <c r="B141" s="111" t="n"/>
      <c r="C141" s="111" t="n"/>
      <c r="D141" s="111" t="n"/>
      <c r="E141" s="110" t="n"/>
      <c r="F141" s="110" t="n"/>
      <c r="G141" s="110" t="n"/>
      <c r="H141" s="110" t="n"/>
      <c r="I141" s="110" t="n"/>
      <c r="J141" s="110" t="n"/>
    </row>
    <row r="142" ht="14.25" customHeight="1" s="135">
      <c r="A142" s="110" t="n"/>
      <c r="B142" s="111" t="n"/>
      <c r="C142" s="111" t="n"/>
      <c r="D142" s="111" t="n"/>
      <c r="E142" s="110" t="n"/>
      <c r="F142" s="110" t="n"/>
      <c r="G142" s="110" t="n"/>
      <c r="H142" s="110" t="n"/>
      <c r="I142" s="110" t="n"/>
      <c r="J142" s="110" t="n"/>
    </row>
    <row r="143" ht="14.25" customHeight="1" s="135">
      <c r="A143" s="110" t="n"/>
      <c r="B143" s="111" t="n"/>
      <c r="C143" s="111" t="n"/>
      <c r="D143" s="111" t="n"/>
      <c r="E143" s="110" t="n"/>
      <c r="F143" s="110" t="n"/>
      <c r="G143" s="110" t="n"/>
      <c r="H143" s="110" t="n"/>
      <c r="I143" s="110" t="n"/>
      <c r="J143" s="110" t="n"/>
    </row>
    <row r="144" ht="14.25" customHeight="1" s="135">
      <c r="A144" s="110" t="n"/>
      <c r="B144" s="111" t="n"/>
      <c r="C144" s="111" t="n"/>
      <c r="D144" s="111" t="n"/>
      <c r="E144" s="110" t="n"/>
      <c r="F144" s="110" t="n"/>
      <c r="G144" s="110" t="n"/>
      <c r="H144" s="110" t="n"/>
      <c r="I144" s="110" t="n"/>
      <c r="J144" s="110" t="n"/>
    </row>
    <row r="145" ht="14.25" customHeight="1" s="135">
      <c r="A145" s="110" t="n"/>
      <c r="B145" s="111" t="n"/>
      <c r="C145" s="111" t="n"/>
      <c r="D145" s="111" t="n"/>
      <c r="E145" s="110" t="n"/>
      <c r="F145" s="110" t="n"/>
      <c r="G145" s="110" t="n"/>
      <c r="H145" s="110" t="n"/>
      <c r="I145" s="110" t="n"/>
      <c r="J145" s="110" t="n"/>
    </row>
    <row r="146" ht="14.25" customHeight="1" s="135">
      <c r="A146" s="110" t="n"/>
      <c r="B146" s="111" t="n"/>
      <c r="C146" s="111" t="n"/>
      <c r="D146" s="111" t="n"/>
      <c r="E146" s="110" t="n"/>
      <c r="F146" s="110" t="n"/>
      <c r="G146" s="110" t="n"/>
      <c r="H146" s="110" t="n"/>
      <c r="I146" s="110" t="n"/>
      <c r="J146" s="110" t="n"/>
    </row>
    <row r="147" ht="14.25" customHeight="1" s="135">
      <c r="A147" s="110" t="n"/>
      <c r="B147" s="111" t="n"/>
      <c r="C147" s="111" t="n"/>
      <c r="D147" s="111" t="n"/>
      <c r="E147" s="110" t="n"/>
      <c r="F147" s="110" t="n"/>
      <c r="G147" s="110" t="n"/>
      <c r="H147" s="110" t="n"/>
      <c r="I147" s="110" t="n"/>
      <c r="J147" s="110" t="n"/>
    </row>
  </sheetData>
  <mergeCells count="33">
    <mergeCell ref="A31:A36"/>
    <mergeCell ref="I1:L1"/>
    <mergeCell ref="B31:B36"/>
    <mergeCell ref="B25:B30"/>
    <mergeCell ref="A73:A78"/>
    <mergeCell ref="B43:B48"/>
    <mergeCell ref="A20:A24"/>
    <mergeCell ref="A67:A72"/>
    <mergeCell ref="A49:A54"/>
    <mergeCell ref="A79:A84"/>
    <mergeCell ref="Q1:Q2"/>
    <mergeCell ref="A61:A66"/>
    <mergeCell ref="A3:A13"/>
    <mergeCell ref="B61:B66"/>
    <mergeCell ref="A25:A30"/>
    <mergeCell ref="B20:B24"/>
    <mergeCell ref="B73:B78"/>
    <mergeCell ref="B14:B19"/>
    <mergeCell ref="B67:B72"/>
    <mergeCell ref="A37:A42"/>
    <mergeCell ref="B37:B42"/>
    <mergeCell ref="M1:P1"/>
    <mergeCell ref="A55:A60"/>
    <mergeCell ref="E1:H1"/>
    <mergeCell ref="A14:A19"/>
    <mergeCell ref="S1:S2"/>
    <mergeCell ref="B55:B60"/>
    <mergeCell ref="A43:A48"/>
    <mergeCell ref="B49:B54"/>
    <mergeCell ref="B3:B13"/>
    <mergeCell ref="A85:G85"/>
    <mergeCell ref="B79:B84"/>
    <mergeCell ref="R1:R2"/>
  </mergeCells>
  <printOptions horizontalCentered="1"/>
  <pageMargins left="0.1968503937007874" right="0.1968503937007874" top="0.5905511811023623" bottom="0.3937007874015748" header="0" footer="0"/>
  <pageSetup orientation="portrait" scale="5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E6"/>
  <sheetViews>
    <sheetView zoomScale="115" zoomScaleNormal="115" workbookViewId="0">
      <selection activeCell="A1" sqref="A1:D1"/>
    </sheetView>
  </sheetViews>
  <sheetFormatPr baseColWidth="10" defaultRowHeight="15"/>
  <cols>
    <col width="27.83203125" customWidth="1" style="135" min="1" max="1"/>
    <col width="29.83203125" customWidth="1" style="135" min="2" max="2"/>
    <col width="24.5" customWidth="1" style="135" min="3" max="3"/>
    <col width="27.5" customWidth="1" style="135" min="4" max="4"/>
    <col width="19.33203125" customWidth="1" style="135" min="5" max="5"/>
  </cols>
  <sheetData>
    <row r="1">
      <c r="A1" s="117" t="inlineStr">
        <is>
          <t>TARIFAS - SEGURO DE VIDA PARA EMPRESAS DE VIGILANCIA</t>
        </is>
      </c>
      <c r="B1" s="118" t="n"/>
      <c r="C1" s="118" t="n"/>
      <c r="D1" s="119" t="n"/>
      <c r="E1" s="120" t="inlineStr">
        <is>
          <t>VALOR PROMEDIO PRIMA INDIVIDUAL MENSUAL</t>
        </is>
      </c>
    </row>
    <row r="2">
      <c r="A2" s="117" t="n"/>
      <c r="B2" s="118" t="n"/>
      <c r="C2" s="118" t="n"/>
      <c r="D2" s="119" t="n"/>
      <c r="E2" s="121" t="n"/>
    </row>
    <row r="3">
      <c r="A3" s="117" t="inlineStr">
        <is>
          <t>ASEGURADORA</t>
        </is>
      </c>
      <c r="B3" s="117" t="inlineStr">
        <is>
          <t>AMPARO</t>
        </is>
      </c>
      <c r="C3" s="117" t="inlineStr">
        <is>
          <t>VALORES ASEGURADOS</t>
        </is>
      </c>
      <c r="D3" s="117" t="inlineStr">
        <is>
          <t>PRIMA INDIVIDUAL MENSUAL</t>
        </is>
      </c>
      <c r="E3" s="122" t="n"/>
    </row>
    <row r="4">
      <c r="A4" s="101" t="inlineStr">
        <is>
          <t>SEGUROS DEL ESTADO</t>
        </is>
      </c>
      <c r="B4" s="101" t="inlineStr">
        <is>
          <t>MUERTE POR CUALQUIER CAUSA</t>
        </is>
      </c>
      <c r="C4" s="159" t="n">
        <v>20000000</v>
      </c>
      <c r="D4" s="159" t="n">
        <v>5500</v>
      </c>
      <c r="E4" s="160">
        <f>ROUND(AVERAGE(D4:D6),0)</f>
        <v/>
      </c>
    </row>
    <row r="5">
      <c r="A5" s="101" t="inlineStr">
        <is>
          <t>MUNDIAL SEGUROS</t>
        </is>
      </c>
      <c r="B5" s="101" t="inlineStr">
        <is>
          <t>MUERTE POR CUALQUIER CAUSA</t>
        </is>
      </c>
      <c r="C5" s="159" t="n">
        <v>20000000</v>
      </c>
      <c r="D5" s="159" t="n">
        <v>5100</v>
      </c>
      <c r="E5" s="121" t="n"/>
    </row>
    <row r="6">
      <c r="A6" s="101" t="inlineStr">
        <is>
          <t>CAF ASESORES DE SEGUROS</t>
        </is>
      </c>
      <c r="B6" s="101" t="inlineStr">
        <is>
          <t>MUERTE POR CUALQUIER CAUSA</t>
        </is>
      </c>
      <c r="C6" s="159" t="n">
        <v>20000000</v>
      </c>
      <c r="D6" s="159" t="n">
        <v>8500</v>
      </c>
      <c r="E6" s="122" t="n"/>
    </row>
  </sheetData>
  <mergeCells count="4">
    <mergeCell ref="A1:D1"/>
    <mergeCell ref="E1:E3"/>
    <mergeCell ref="A2:D2"/>
    <mergeCell ref="E4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Viviana Alejandra Forero Padilla</dc:creator>
  <dcterms:created xmlns:dcterms="http://purl.org/dc/terms/" xmlns:xsi="http://www.w3.org/2001/XMLSchema-instance" xsi:type="dcterms:W3CDTF">2026-08-18T19:58:31Z</dcterms:created>
  <dcterms:modified xmlns:dcterms="http://purl.org/dc/terms/" xmlns:xsi="http://www.w3.org/2001/XMLSchema-instance" xsi:type="dcterms:W3CDTF">2026-10-02T17:41:59Z</dcterms:modified>
  <cp:lastModifiedBy>Ixayana Ramirez</cp:lastModifiedBy>
</cp:coreProperties>
</file>

<file path=docProps/custom.xml><?xml version="1.0" encoding="utf-8"?>
<Properties xmlns="http://schemas.openxmlformats.org/officeDocument/2006/custom-properties">
  <property name="MSIP_Label_defa4170-0d19-0005-0004-bc88714345d2_Enabled" fmtid="{D5CDD505-2E9C-101B-9397-08002B2CF9AE}" pid="2">
    <vt:lpwstr xmlns:vt="http://schemas.openxmlformats.org/officeDocument/2006/docPropsVTypes">true</vt:lpwstr>
  </property>
  <property name="MSIP_Label_defa4170-0d19-0005-0004-bc88714345d2_SetDate" fmtid="{D5CDD505-2E9C-101B-9397-08002B2CF9AE}" pid="3">
    <vt:lpwstr xmlns:vt="http://schemas.openxmlformats.org/officeDocument/2006/docPropsVTypes">2026-08-18T20:04:16Z</vt:lpwstr>
  </property>
  <property name="MSIP_Label_defa4170-0d19-0005-0004-bc88714345d2_Method" fmtid="{D5CDD505-2E9C-101B-9397-08002B2CF9AE}" pid="4">
    <vt:lpwstr xmlns:vt="http://schemas.openxmlformats.org/officeDocument/2006/docPropsVTypes">Standard</vt:lpwstr>
  </property>
  <property name="MSIP_Label_defa4170-0d19-0005-0004-bc88714345d2_Name" fmtid="{D5CDD505-2E9C-101B-9397-08002B2CF9AE}" pid="5">
    <vt:lpwstr xmlns:vt="http://schemas.openxmlformats.org/officeDocument/2006/docPropsVTypes">defa4170-0d19-0005-0004-bc88714345d2</vt:lpwstr>
  </property>
  <property name="MSIP_Label_defa4170-0d19-0005-0004-bc88714345d2_SiteId" fmtid="{D5CDD505-2E9C-101B-9397-08002B2CF9AE}" pid="6">
    <vt:lpwstr xmlns:vt="http://schemas.openxmlformats.org/officeDocument/2006/docPropsVTypes">de2fffed-60b8-42b2-a465-00fee1de04ba</vt:lpwstr>
  </property>
  <property name="MSIP_Label_defa4170-0d19-0005-0004-bc88714345d2_ActionId" fmtid="{D5CDD505-2E9C-101B-9397-08002B2CF9AE}" pid="7">
    <vt:lpwstr xmlns:vt="http://schemas.openxmlformats.org/officeDocument/2006/docPropsVTypes">a4d3f25b-e445-48f3-b893-79d1d8ff3b77</vt:lpwstr>
  </property>
  <property name="MSIP_Label_defa4170-0d19-0005-0004-bc88714345d2_ContentBits" fmtid="{D5CDD505-2E9C-101B-9397-08002B2CF9AE}" pid="8">
    <vt:lpwstr xmlns:vt="http://schemas.openxmlformats.org/officeDocument/2006/docPropsVTypes">0</vt:lpwstr>
  </property>
  <property name="ContentTypeId" fmtid="{D5CDD505-2E9C-101B-9397-08002B2CF9AE}" pid="9">
    <vt:lpwstr xmlns:vt="http://schemas.openxmlformats.org/officeDocument/2006/docPropsVTypes">0x010100079EF63C7ACAF14983ABB1C64629FC14</vt:lpwstr>
  </property>
</Properties>
</file>