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Anthony\ANTHONY - 2026\PROCESOS CONTRACTUALES\MENOR CUANTIA\MANTENIMIENTO JCRP\REVISADO JURIDICA OCTUBRE 7 DE 2026\"/>
    </mc:Choice>
  </mc:AlternateContent>
  <bookViews>
    <workbookView xWindow="0" yWindow="0" windowWidth="28800" windowHeight="12300"/>
  </bookViews>
  <sheets>
    <sheet name="MTTO PPTO PRJC" sheetId="1" r:id="rId1"/>
    <sheet name="APU" sheetId="2" r:id="rId2"/>
  </sheets>
  <definedNames>
    <definedName name="_xlnm.Print_Titles" localSheetId="0">'MTTO PPTO PRJC'!$1:$12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293" i="2" l="1"/>
  <c r="E1036" i="2"/>
  <c r="E899" i="2"/>
  <c r="G899" i="2" s="1"/>
  <c r="C898" i="2"/>
  <c r="D898" i="2" s="1"/>
  <c r="E898" i="2" s="1"/>
  <c r="G898" i="2" s="1"/>
  <c r="C897" i="2"/>
  <c r="G891" i="2"/>
  <c r="G890" i="2"/>
  <c r="G889" i="2"/>
  <c r="G888" i="2"/>
  <c r="G887" i="2"/>
  <c r="F886" i="2"/>
  <c r="G886" i="2" s="1"/>
  <c r="F885" i="2"/>
  <c r="G885" i="2" s="1"/>
  <c r="G884" i="2"/>
  <c r="G880" i="2"/>
  <c r="G879" i="2"/>
  <c r="G878" i="2"/>
  <c r="F2440" i="2"/>
  <c r="E2455" i="2"/>
  <c r="G2455" i="2" s="1"/>
  <c r="C2454" i="2"/>
  <c r="C2453" i="2"/>
  <c r="D2453" i="2" s="1"/>
  <c r="E2453" i="2" s="1"/>
  <c r="G2453" i="2" s="1"/>
  <c r="G2447" i="2"/>
  <c r="G2446" i="2"/>
  <c r="G2445" i="2"/>
  <c r="G2444" i="2"/>
  <c r="G2443" i="2"/>
  <c r="G2442" i="2"/>
  <c r="G2441" i="2"/>
  <c r="E2440" i="2"/>
  <c r="E2439" i="2"/>
  <c r="G2435" i="2"/>
  <c r="G2434" i="2"/>
  <c r="G2433" i="2"/>
  <c r="E2406" i="2"/>
  <c r="G2406" i="2" s="1"/>
  <c r="C2405" i="2"/>
  <c r="D2405" i="2" s="1"/>
  <c r="C2404" i="2"/>
  <c r="G2398" i="2"/>
  <c r="G2397" i="2"/>
  <c r="G2396" i="2"/>
  <c r="E2395" i="2"/>
  <c r="G2395" i="2" s="1"/>
  <c r="G2394" i="2"/>
  <c r="G2393" i="2"/>
  <c r="G2392" i="2"/>
  <c r="G2391" i="2"/>
  <c r="E2390" i="2"/>
  <c r="G2390" i="2" s="1"/>
  <c r="G2386" i="2"/>
  <c r="G2385" i="2"/>
  <c r="G2384" i="2"/>
  <c r="E2358" i="2"/>
  <c r="G2358" i="2" s="1"/>
  <c r="C2357" i="2"/>
  <c r="C2356" i="2"/>
  <c r="G2350" i="2"/>
  <c r="G2349" i="2"/>
  <c r="G2348" i="2"/>
  <c r="G2347" i="2"/>
  <c r="G2346" i="2"/>
  <c r="G2345" i="2"/>
  <c r="G2344" i="2"/>
  <c r="E2343" i="2"/>
  <c r="G2343" i="2" s="1"/>
  <c r="F2342" i="2"/>
  <c r="G2342" i="2" s="1"/>
  <c r="G2338" i="2"/>
  <c r="G2337" i="2"/>
  <c r="G2336" i="2"/>
  <c r="E2309" i="2"/>
  <c r="G2309" i="2" s="1"/>
  <c r="C2308" i="2"/>
  <c r="D2308" i="2" s="1"/>
  <c r="E2308" i="2" s="1"/>
  <c r="G2308" i="2" s="1"/>
  <c r="C2307" i="2"/>
  <c r="D2307" i="2" s="1"/>
  <c r="E2307" i="2" s="1"/>
  <c r="G2307" i="2" s="1"/>
  <c r="G2301" i="2"/>
  <c r="G2300" i="2"/>
  <c r="G2299" i="2"/>
  <c r="G2298" i="2"/>
  <c r="G2297" i="2"/>
  <c r="G2296" i="2"/>
  <c r="G2295" i="2"/>
  <c r="G2294" i="2"/>
  <c r="F2293" i="2"/>
  <c r="G2293" i="2" s="1"/>
  <c r="G2289" i="2"/>
  <c r="G2288" i="2"/>
  <c r="G2287" i="2"/>
  <c r="E2259" i="2"/>
  <c r="G2259" i="2" s="1"/>
  <c r="C2258" i="2"/>
  <c r="D2258" i="2" s="1"/>
  <c r="E2258" i="2" s="1"/>
  <c r="G2258" i="2" s="1"/>
  <c r="C2257" i="2"/>
  <c r="D2257" i="2" s="1"/>
  <c r="G2251" i="2"/>
  <c r="G2250" i="2"/>
  <c r="G2249" i="2"/>
  <c r="G2248" i="2"/>
  <c r="G2247" i="2"/>
  <c r="G2246" i="2"/>
  <c r="G2245" i="2"/>
  <c r="G2244" i="2"/>
  <c r="G2243" i="2"/>
  <c r="G2239" i="2"/>
  <c r="G2238" i="2"/>
  <c r="G2237" i="2"/>
  <c r="H893" i="2" l="1"/>
  <c r="H892" i="2"/>
  <c r="D897" i="2"/>
  <c r="E897" i="2" s="1"/>
  <c r="G897" i="2" s="1"/>
  <c r="H900" i="2" s="1"/>
  <c r="G2439" i="2"/>
  <c r="H2252" i="2"/>
  <c r="E2257" i="2"/>
  <c r="G2257" i="2" s="1"/>
  <c r="H2260" i="2" s="1"/>
  <c r="H2253" i="2"/>
  <c r="H2310" i="2"/>
  <c r="G2286" i="2" s="1"/>
  <c r="H2290" i="2" s="1"/>
  <c r="H2400" i="2"/>
  <c r="H2351" i="2"/>
  <c r="H2352" i="2"/>
  <c r="H2303" i="2"/>
  <c r="H2302" i="2"/>
  <c r="E2405" i="2"/>
  <c r="G2405" i="2" s="1"/>
  <c r="D2454" i="2"/>
  <c r="E2454" i="2" s="1"/>
  <c r="G2454" i="2" s="1"/>
  <c r="H2456" i="2" s="1"/>
  <c r="D2356" i="2"/>
  <c r="E2356" i="2" s="1"/>
  <c r="G2356" i="2" s="1"/>
  <c r="H2399" i="2"/>
  <c r="D2357" i="2"/>
  <c r="E2357" i="2" s="1"/>
  <c r="G2357" i="2" s="1"/>
  <c r="D2404" i="2"/>
  <c r="E2404" i="2" s="1"/>
  <c r="G2404" i="2" s="1"/>
  <c r="H894" i="2" l="1"/>
  <c r="G877" i="2"/>
  <c r="H881" i="2" s="1"/>
  <c r="H2254" i="2"/>
  <c r="H2401" i="2"/>
  <c r="H2304" i="2"/>
  <c r="H2312" i="2" s="1"/>
  <c r="G2318" i="2" s="1"/>
  <c r="H2359" i="2"/>
  <c r="G2432" i="2"/>
  <c r="H2436" i="2" s="1"/>
  <c r="H2353" i="2"/>
  <c r="H2407" i="2"/>
  <c r="G2236" i="2"/>
  <c r="H2240" i="2" s="1"/>
  <c r="H902" i="2" l="1"/>
  <c r="G907" i="2" s="1"/>
  <c r="H2262" i="2"/>
  <c r="G2266" i="2" s="1"/>
  <c r="G2317" i="2"/>
  <c r="G2316" i="2"/>
  <c r="G2335" i="2"/>
  <c r="H2339" i="2" s="1"/>
  <c r="H2361" i="2" s="1"/>
  <c r="G2383" i="2"/>
  <c r="H2387" i="2" s="1"/>
  <c r="H2409" i="2" s="1"/>
  <c r="G908" i="2" l="1"/>
  <c r="G906" i="2"/>
  <c r="G2267" i="2"/>
  <c r="G2268" i="2"/>
  <c r="H2319" i="2"/>
  <c r="H2321" i="2" s="1"/>
  <c r="F89" i="1" s="1"/>
  <c r="G2413" i="2"/>
  <c r="G2415" i="2"/>
  <c r="G2414" i="2"/>
  <c r="G2367" i="2"/>
  <c r="G2366" i="2"/>
  <c r="G2365" i="2"/>
  <c r="H909" i="2" l="1"/>
  <c r="H911" i="2" s="1"/>
  <c r="F43" i="1" s="1"/>
  <c r="G43" i="1" s="1"/>
  <c r="H2269" i="2"/>
  <c r="H2271" i="2" s="1"/>
  <c r="F88" i="1" s="1"/>
  <c r="G88" i="1" s="1"/>
  <c r="H2368" i="2"/>
  <c r="H2370" i="2" s="1"/>
  <c r="F90" i="1" s="1"/>
  <c r="H2416" i="2"/>
  <c r="H2418" i="2" s="1"/>
  <c r="F91" i="1" s="1"/>
  <c r="G91" i="1" s="1"/>
  <c r="E90" i="1"/>
  <c r="E89" i="1"/>
  <c r="G89" i="1" s="1"/>
  <c r="G93" i="1"/>
  <c r="E3197" i="2"/>
  <c r="G3197" i="2" s="1"/>
  <c r="C3196" i="2"/>
  <c r="D3196" i="2" s="1"/>
  <c r="E3196" i="2" s="1"/>
  <c r="G3196" i="2" s="1"/>
  <c r="C3195" i="2"/>
  <c r="G3189" i="2"/>
  <c r="G3188" i="2"/>
  <c r="G3187" i="2"/>
  <c r="G3186" i="2"/>
  <c r="G3185" i="2"/>
  <c r="G3184" i="2"/>
  <c r="G3183" i="2"/>
  <c r="G3182" i="2"/>
  <c r="G3181" i="2"/>
  <c r="G3177" i="2"/>
  <c r="G3176" i="2"/>
  <c r="G3175" i="2"/>
  <c r="E2984" i="2"/>
  <c r="E2985" i="2"/>
  <c r="E3150" i="2"/>
  <c r="G3150" i="2" s="1"/>
  <c r="C3149" i="2"/>
  <c r="D3149" i="2" s="1"/>
  <c r="C3148" i="2"/>
  <c r="G3142" i="2"/>
  <c r="G3141" i="2"/>
  <c r="G3140" i="2"/>
  <c r="G3139" i="2"/>
  <c r="G3138" i="2"/>
  <c r="G3137" i="2"/>
  <c r="G3136" i="2"/>
  <c r="G3135" i="2"/>
  <c r="G3134" i="2"/>
  <c r="G3130" i="2"/>
  <c r="G3129" i="2"/>
  <c r="G3128" i="2"/>
  <c r="H500" i="2"/>
  <c r="E506" i="2"/>
  <c r="G506" i="2" s="1"/>
  <c r="C505" i="2"/>
  <c r="C504" i="2"/>
  <c r="G498" i="2"/>
  <c r="G497" i="2"/>
  <c r="G496" i="2"/>
  <c r="G495" i="2"/>
  <c r="G494" i="2"/>
  <c r="G493" i="2"/>
  <c r="G489" i="2"/>
  <c r="G488" i="2"/>
  <c r="G487" i="2"/>
  <c r="E3826" i="2"/>
  <c r="G3826" i="2" s="1"/>
  <c r="D3825" i="2"/>
  <c r="E3825" i="2" s="1"/>
  <c r="G3825" i="2" s="1"/>
  <c r="D3824" i="2"/>
  <c r="E3824" i="2" s="1"/>
  <c r="G3824" i="2" s="1"/>
  <c r="G3818" i="2"/>
  <c r="G3817" i="2"/>
  <c r="G3816" i="2"/>
  <c r="G3815" i="2"/>
  <c r="G3814" i="2"/>
  <c r="G3813" i="2"/>
  <c r="G3812" i="2"/>
  <c r="E3811" i="2"/>
  <c r="G3811" i="2" s="1"/>
  <c r="E3810" i="2"/>
  <c r="G3806" i="2"/>
  <c r="G3805" i="2"/>
  <c r="F3804" i="2"/>
  <c r="G3804" i="2" s="1"/>
  <c r="E3773" i="2"/>
  <c r="G3773" i="2" s="1"/>
  <c r="D3772" i="2"/>
  <c r="E3772" i="2" s="1"/>
  <c r="G3772" i="2" s="1"/>
  <c r="D3771" i="2"/>
  <c r="E3771" i="2" s="1"/>
  <c r="G3771" i="2" s="1"/>
  <c r="G3765" i="2"/>
  <c r="G3764" i="2"/>
  <c r="G3763" i="2"/>
  <c r="G3762" i="2"/>
  <c r="G3761" i="2"/>
  <c r="G3760" i="2"/>
  <c r="G3759" i="2"/>
  <c r="G3758" i="2"/>
  <c r="G3753" i="2"/>
  <c r="G3752" i="2"/>
  <c r="G3751" i="2"/>
  <c r="E3722" i="2"/>
  <c r="G3722" i="2" s="1"/>
  <c r="D3721" i="2"/>
  <c r="E3721" i="2" s="1"/>
  <c r="G3721" i="2" s="1"/>
  <c r="D3720" i="2"/>
  <c r="E3720" i="2" s="1"/>
  <c r="G3720" i="2" s="1"/>
  <c r="G3714" i="2"/>
  <c r="G3713" i="2"/>
  <c r="G3712" i="2"/>
  <c r="G3711" i="2"/>
  <c r="G3710" i="2"/>
  <c r="G3709" i="2"/>
  <c r="E3708" i="2"/>
  <c r="F3707" i="2"/>
  <c r="G3707" i="2" s="1"/>
  <c r="G3703" i="2"/>
  <c r="G3702" i="2"/>
  <c r="G3701" i="2"/>
  <c r="E3672" i="2"/>
  <c r="G3672" i="2" s="1"/>
  <c r="D3671" i="2"/>
  <c r="E3671" i="2" s="1"/>
  <c r="G3671" i="2" s="1"/>
  <c r="D3670" i="2"/>
  <c r="E3670" i="2" s="1"/>
  <c r="G3670" i="2" s="1"/>
  <c r="G3664" i="2"/>
  <c r="G3663" i="2"/>
  <c r="G3662" i="2"/>
  <c r="G3661" i="2"/>
  <c r="G3660" i="2"/>
  <c r="G3659" i="2"/>
  <c r="E3658" i="2"/>
  <c r="F3657" i="2"/>
  <c r="G3657" i="2" s="1"/>
  <c r="G3653" i="2"/>
  <c r="G3652" i="2"/>
  <c r="G3651" i="2"/>
  <c r="E3622" i="2"/>
  <c r="G3622" i="2" s="1"/>
  <c r="D3621" i="2"/>
  <c r="E3621" i="2" s="1"/>
  <c r="G3621" i="2" s="1"/>
  <c r="D3620" i="2"/>
  <c r="E3620" i="2" s="1"/>
  <c r="G3620" i="2" s="1"/>
  <c r="G3614" i="2"/>
  <c r="G3613" i="2"/>
  <c r="G3612" i="2"/>
  <c r="G3611" i="2"/>
  <c r="G3610" i="2"/>
  <c r="N3609" i="2"/>
  <c r="G3609" i="2"/>
  <c r="G3608" i="2"/>
  <c r="F3607" i="2"/>
  <c r="G3607" i="2" s="1"/>
  <c r="F3606" i="2"/>
  <c r="G3606" i="2" s="1"/>
  <c r="G3602" i="2"/>
  <c r="G3601" i="2"/>
  <c r="G3600" i="2"/>
  <c r="E3561" i="2"/>
  <c r="G3561" i="2" s="1"/>
  <c r="D3560" i="2"/>
  <c r="E3560" i="2" s="1"/>
  <c r="G3560" i="2" s="1"/>
  <c r="D3559" i="2"/>
  <c r="E3559" i="2" s="1"/>
  <c r="G3559" i="2" s="1"/>
  <c r="G3553" i="2"/>
  <c r="G3552" i="2"/>
  <c r="G3551" i="2"/>
  <c r="G3550" i="2"/>
  <c r="G3549" i="2"/>
  <c r="G3548" i="2"/>
  <c r="G3547" i="2"/>
  <c r="F3546" i="2"/>
  <c r="G3546" i="2" s="1"/>
  <c r="F3545" i="2"/>
  <c r="G3545" i="2" s="1"/>
  <c r="G3541" i="2"/>
  <c r="G3540" i="2"/>
  <c r="G3539" i="2"/>
  <c r="E3511" i="2"/>
  <c r="G3511" i="2" s="1"/>
  <c r="C3510" i="2"/>
  <c r="D3509" i="2"/>
  <c r="E3509" i="2" s="1"/>
  <c r="G3509" i="2" s="1"/>
  <c r="G3503" i="2"/>
  <c r="G3502" i="2"/>
  <c r="G3501" i="2"/>
  <c r="L3500" i="2"/>
  <c r="G3500" i="2"/>
  <c r="G3499" i="2"/>
  <c r="G3498" i="2"/>
  <c r="F3497" i="2"/>
  <c r="G3497" i="2" s="1"/>
  <c r="F3496" i="2"/>
  <c r="G3496" i="2" s="1"/>
  <c r="F3495" i="2"/>
  <c r="G3495" i="2" s="1"/>
  <c r="G3491" i="2"/>
  <c r="G3490" i="2"/>
  <c r="G3489" i="2"/>
  <c r="E3455" i="2"/>
  <c r="G3455" i="2" s="1"/>
  <c r="C3454" i="2"/>
  <c r="D3453" i="2"/>
  <c r="E3453" i="2" s="1"/>
  <c r="G3453" i="2" s="1"/>
  <c r="G3447" i="2"/>
  <c r="G3446" i="2"/>
  <c r="G3445" i="2"/>
  <c r="L3444" i="2"/>
  <c r="G3444" i="2"/>
  <c r="G3443" i="2"/>
  <c r="G3442" i="2"/>
  <c r="F3441" i="2"/>
  <c r="G3441" i="2" s="1"/>
  <c r="F3440" i="2"/>
  <c r="G3440" i="2" s="1"/>
  <c r="F3439" i="2"/>
  <c r="G3439" i="2" s="1"/>
  <c r="G3435" i="2"/>
  <c r="G3434" i="2"/>
  <c r="G3433" i="2"/>
  <c r="G90" i="1" l="1"/>
  <c r="H3191" i="2"/>
  <c r="H3190" i="2"/>
  <c r="D3195" i="2"/>
  <c r="E3195" i="2" s="1"/>
  <c r="G3195" i="2" s="1"/>
  <c r="H3198" i="2" s="1"/>
  <c r="H3144" i="2"/>
  <c r="H3143" i="2"/>
  <c r="D3148" i="2"/>
  <c r="E3148" i="2" s="1"/>
  <c r="G3148" i="2" s="1"/>
  <c r="E3149" i="2"/>
  <c r="G3149" i="2" s="1"/>
  <c r="H3723" i="2"/>
  <c r="G3700" i="2" s="1"/>
  <c r="H3704" i="2" s="1"/>
  <c r="H3562" i="2"/>
  <c r="G3538" i="2" s="1"/>
  <c r="H3542" i="2" s="1"/>
  <c r="H499" i="2"/>
  <c r="D505" i="2"/>
  <c r="E505" i="2" s="1"/>
  <c r="G505" i="2" s="1"/>
  <c r="D504" i="2"/>
  <c r="E504" i="2" s="1"/>
  <c r="G504" i="2" s="1"/>
  <c r="H3774" i="2"/>
  <c r="G3750" i="2" s="1"/>
  <c r="H3754" i="2" s="1"/>
  <c r="H3623" i="2"/>
  <c r="G3599" i="2" s="1"/>
  <c r="H3603" i="2" s="1"/>
  <c r="H3505" i="2"/>
  <c r="H3673" i="2"/>
  <c r="G3650" i="2" s="1"/>
  <c r="H3654" i="2" s="1"/>
  <c r="H3827" i="2"/>
  <c r="G3803" i="2" s="1"/>
  <c r="H3807" i="2" s="1"/>
  <c r="H3448" i="2"/>
  <c r="H3449" i="2"/>
  <c r="H3554" i="2"/>
  <c r="H3555" i="2"/>
  <c r="H3616" i="2"/>
  <c r="H3615" i="2"/>
  <c r="D3510" i="2"/>
  <c r="E3510" i="2" s="1"/>
  <c r="G3510" i="2" s="1"/>
  <c r="H3512" i="2" s="1"/>
  <c r="H3504" i="2"/>
  <c r="D3454" i="2"/>
  <c r="E3454" i="2" s="1"/>
  <c r="G3454" i="2" s="1"/>
  <c r="H3456" i="2" s="1"/>
  <c r="H3192" i="2" l="1"/>
  <c r="G3174" i="2"/>
  <c r="H3178" i="2" s="1"/>
  <c r="H3151" i="2"/>
  <c r="G3127" i="2" s="1"/>
  <c r="H3131" i="2" s="1"/>
  <c r="H3145" i="2"/>
  <c r="H507" i="2"/>
  <c r="G486" i="2" s="1"/>
  <c r="H490" i="2" s="1"/>
  <c r="H501" i="2"/>
  <c r="H3617" i="2"/>
  <c r="H3625" i="2" s="1"/>
  <c r="H3506" i="2"/>
  <c r="G3432" i="2"/>
  <c r="H3436" i="2" s="1"/>
  <c r="G3488" i="2"/>
  <c r="H3492" i="2" s="1"/>
  <c r="H3556" i="2"/>
  <c r="H3564" i="2" s="1"/>
  <c r="H3450" i="2"/>
  <c r="H3200" i="2" l="1"/>
  <c r="G3205" i="2" s="1"/>
  <c r="H3153" i="2"/>
  <c r="G3159" i="2" s="1"/>
  <c r="G3630" i="2"/>
  <c r="G3629" i="2"/>
  <c r="H509" i="2"/>
  <c r="G515" i="2" s="1"/>
  <c r="G3631" i="2"/>
  <c r="H3514" i="2"/>
  <c r="G3518" i="2" s="1"/>
  <c r="H3458" i="2"/>
  <c r="G3464" i="2" s="1"/>
  <c r="G3568" i="2"/>
  <c r="G3570" i="2"/>
  <c r="G3569" i="2"/>
  <c r="G3206" i="2" l="1"/>
  <c r="G3204" i="2"/>
  <c r="G3157" i="2"/>
  <c r="G3158" i="2"/>
  <c r="H3632" i="2"/>
  <c r="H3634" i="2" s="1"/>
  <c r="F3810" i="2" s="1"/>
  <c r="G3810" i="2" s="1"/>
  <c r="G513" i="2"/>
  <c r="G514" i="2"/>
  <c r="G3520" i="2"/>
  <c r="G3462" i="2"/>
  <c r="G3463" i="2"/>
  <c r="G3519" i="2"/>
  <c r="H3571" i="2"/>
  <c r="H3573" i="2" s="1"/>
  <c r="H3207" i="2" l="1"/>
  <c r="H3209" i="2" s="1"/>
  <c r="F123" i="1" s="1"/>
  <c r="G123" i="1" s="1"/>
  <c r="H3160" i="2"/>
  <c r="H3162" i="2" s="1"/>
  <c r="F122" i="1" s="1"/>
  <c r="G122" i="1" s="1"/>
  <c r="F3658" i="2"/>
  <c r="G3658" i="2" s="1"/>
  <c r="H3665" i="2" s="1"/>
  <c r="F3708" i="2"/>
  <c r="G3708" i="2" s="1"/>
  <c r="H3716" i="2" s="1"/>
  <c r="F3757" i="2"/>
  <c r="G3757" i="2" s="1"/>
  <c r="H3766" i="2" s="1"/>
  <c r="H516" i="2"/>
  <c r="H518" i="2" s="1"/>
  <c r="F32" i="1" s="1"/>
  <c r="H3521" i="2"/>
  <c r="H3523" i="2" s="1"/>
  <c r="F3293" i="2" s="1"/>
  <c r="H3819" i="2"/>
  <c r="H3820" i="2"/>
  <c r="H3465" i="2"/>
  <c r="H3467" i="2" s="1"/>
  <c r="H3767" i="2" l="1"/>
  <c r="H3768" i="2" s="1"/>
  <c r="H3776" i="2" s="1"/>
  <c r="G3782" i="2" s="1"/>
  <c r="H3715" i="2"/>
  <c r="H3717" i="2" s="1"/>
  <c r="H3725" i="2" s="1"/>
  <c r="G3731" i="2" s="1"/>
  <c r="H3666" i="2"/>
  <c r="H3667" i="2" s="1"/>
  <c r="H3675" i="2" s="1"/>
  <c r="G3681" i="2" s="1"/>
  <c r="H3821" i="2"/>
  <c r="H3829" i="2" s="1"/>
  <c r="G3834" i="2" s="1"/>
  <c r="F686" i="2"/>
  <c r="F1036" i="2"/>
  <c r="F1884" i="2"/>
  <c r="F2633" i="2" l="1"/>
  <c r="F2540" i="2"/>
  <c r="F2487" i="2"/>
  <c r="G3679" i="2"/>
  <c r="G3680" i="2"/>
  <c r="G3835" i="2"/>
  <c r="G3833" i="2"/>
  <c r="G3730" i="2"/>
  <c r="G3780" i="2"/>
  <c r="G3781" i="2"/>
  <c r="G3729" i="2"/>
  <c r="H3783" i="2" l="1"/>
  <c r="H3785" i="2" s="1"/>
  <c r="F2144" i="2" s="1"/>
  <c r="H3682" i="2"/>
  <c r="H3684" i="2" s="1"/>
  <c r="H3732" i="2"/>
  <c r="H3734" i="2" s="1"/>
  <c r="F2143" i="2" s="1"/>
  <c r="H3836" i="2"/>
  <c r="H3838" i="2" s="1"/>
  <c r="F2145" i="2" s="1"/>
  <c r="F1427" i="2"/>
  <c r="F3032" i="2"/>
  <c r="F2984" i="2"/>
  <c r="K2983" i="2"/>
  <c r="F450" i="2" l="1"/>
  <c r="F3237" i="2" s="1"/>
  <c r="F3238" i="2"/>
  <c r="F1675" i="2"/>
  <c r="F640" i="2"/>
  <c r="F445" i="2"/>
  <c r="C3402" i="2"/>
  <c r="C3401" i="2"/>
  <c r="C3353" i="2"/>
  <c r="C3352" i="2"/>
  <c r="C3302" i="2"/>
  <c r="C3301" i="2"/>
  <c r="C3253" i="2"/>
  <c r="C3252" i="2"/>
  <c r="C3094" i="2"/>
  <c r="C3093" i="2"/>
  <c r="C3047" i="2"/>
  <c r="C3046" i="2"/>
  <c r="C3000" i="2"/>
  <c r="C2999" i="2"/>
  <c r="C2951" i="2"/>
  <c r="C2950" i="2"/>
  <c r="C2900" i="2"/>
  <c r="C2899" i="2"/>
  <c r="C2852" i="2"/>
  <c r="C2851" i="2"/>
  <c r="C2789" i="2"/>
  <c r="C2788" i="2"/>
  <c r="C2740" i="2"/>
  <c r="C2739" i="2"/>
  <c r="C2648" i="2"/>
  <c r="C2647" i="2"/>
  <c r="C2555" i="2"/>
  <c r="C2554" i="2"/>
  <c r="C2502" i="2"/>
  <c r="C2501" i="2"/>
  <c r="C2205" i="2"/>
  <c r="C2204" i="2"/>
  <c r="C2158" i="2"/>
  <c r="C2157" i="2"/>
  <c r="C2110" i="2"/>
  <c r="C2109" i="2"/>
  <c r="C2060" i="2"/>
  <c r="C2059" i="2"/>
  <c r="C2007" i="2"/>
  <c r="C2006" i="2"/>
  <c r="C1953" i="2"/>
  <c r="C1952" i="2"/>
  <c r="C1898" i="2"/>
  <c r="C1897" i="2"/>
  <c r="C1850" i="2"/>
  <c r="C1849" i="2"/>
  <c r="C1799" i="2"/>
  <c r="C1798" i="2"/>
  <c r="C1740" i="2"/>
  <c r="C1739" i="2"/>
  <c r="C1690" i="2"/>
  <c r="C1689" i="2"/>
  <c r="C1641" i="2"/>
  <c r="C1640" i="2"/>
  <c r="C1593" i="2"/>
  <c r="C1592" i="2"/>
  <c r="C1542" i="2"/>
  <c r="C1541" i="2"/>
  <c r="C1494" i="2"/>
  <c r="C1493" i="2"/>
  <c r="C1441" i="2"/>
  <c r="C1440" i="2"/>
  <c r="C1392" i="2"/>
  <c r="C1391" i="2"/>
  <c r="C1343" i="2"/>
  <c r="C1342" i="2"/>
  <c r="C1295" i="2"/>
  <c r="C1294" i="2"/>
  <c r="C1249" i="2"/>
  <c r="C1248" i="2"/>
  <c r="C1199" i="2"/>
  <c r="C1198" i="2"/>
  <c r="C1151" i="2"/>
  <c r="C1150" i="2"/>
  <c r="C1100" i="2"/>
  <c r="C1099" i="2"/>
  <c r="C1047" i="2"/>
  <c r="C1046" i="2"/>
  <c r="C995" i="2"/>
  <c r="C994" i="2"/>
  <c r="C946" i="2"/>
  <c r="C945" i="2"/>
  <c r="C850" i="2"/>
  <c r="C849" i="2"/>
  <c r="C794" i="2"/>
  <c r="C793" i="2"/>
  <c r="C748" i="2"/>
  <c r="C747" i="2"/>
  <c r="C701" i="2"/>
  <c r="C700" i="2"/>
  <c r="C651" i="2"/>
  <c r="C650" i="2"/>
  <c r="C602" i="2"/>
  <c r="C601" i="2"/>
  <c r="C554" i="2"/>
  <c r="C553" i="2"/>
  <c r="C459" i="2"/>
  <c r="C458" i="2"/>
  <c r="C410" i="2"/>
  <c r="C409" i="2"/>
  <c r="C362" i="2"/>
  <c r="C361" i="2"/>
  <c r="C315" i="2"/>
  <c r="C314" i="2"/>
  <c r="C267" i="2"/>
  <c r="C266" i="2"/>
  <c r="C219" i="2"/>
  <c r="C218" i="2"/>
  <c r="C172" i="2"/>
  <c r="C171" i="2"/>
  <c r="C124" i="2"/>
  <c r="C123" i="2"/>
  <c r="C33" i="2"/>
  <c r="C34" i="2"/>
  <c r="F3286" i="2"/>
  <c r="F3291" i="2"/>
  <c r="F3289" i="2"/>
  <c r="F2838" i="2"/>
  <c r="F2634" i="2"/>
  <c r="F2541" i="2"/>
  <c r="F2488" i="2"/>
  <c r="F2096" i="2"/>
  <c r="F2046" i="2"/>
  <c r="F2045" i="2"/>
  <c r="F1885" i="2"/>
  <c r="F1628" i="2"/>
  <c r="F1627" i="2"/>
  <c r="F1580" i="2"/>
  <c r="F1579" i="2"/>
  <c r="F1184" i="2"/>
  <c r="F1093" i="2"/>
  <c r="F1090" i="2"/>
  <c r="F1081" i="2"/>
  <c r="F1037" i="2"/>
  <c r="G1030" i="2"/>
  <c r="F981" i="2"/>
  <c r="F689" i="2"/>
  <c r="F636" i="2"/>
  <c r="F444" i="2"/>
  <c r="F540" i="2"/>
  <c r="F451" i="2"/>
  <c r="F446" i="2"/>
  <c r="G439" i="2"/>
  <c r="L433" i="2"/>
  <c r="F397" i="2"/>
  <c r="F349" i="2"/>
  <c r="F396" i="2"/>
  <c r="F348" i="2"/>
  <c r="K354" i="2"/>
  <c r="G198" i="2"/>
  <c r="G150" i="2"/>
  <c r="F116" i="2"/>
  <c r="F109" i="2"/>
  <c r="F51" i="1"/>
  <c r="G1940" i="2"/>
  <c r="G1941" i="2"/>
  <c r="G1942" i="2"/>
  <c r="F638" i="2" l="1"/>
  <c r="F539" i="2"/>
  <c r="E117" i="1"/>
  <c r="E101" i="1"/>
  <c r="F2194" i="2"/>
  <c r="F1480" i="2"/>
  <c r="F1284" i="2"/>
  <c r="F1282" i="2"/>
  <c r="F1281" i="2"/>
  <c r="F1626" i="2"/>
  <c r="G1626" i="2" s="1"/>
  <c r="E1642" i="2"/>
  <c r="G1642" i="2" s="1"/>
  <c r="D1641" i="2"/>
  <c r="E1641" i="2" s="1"/>
  <c r="G1641" i="2" s="1"/>
  <c r="D1640" i="2"/>
  <c r="E1640" i="2" s="1"/>
  <c r="G1640" i="2" s="1"/>
  <c r="G1634" i="2"/>
  <c r="G1633" i="2"/>
  <c r="G1632" i="2"/>
  <c r="G1631" i="2"/>
  <c r="G1630" i="2"/>
  <c r="G1629" i="2"/>
  <c r="G1628" i="2"/>
  <c r="G1627" i="2"/>
  <c r="G1622" i="2"/>
  <c r="G1621" i="2"/>
  <c r="G1620" i="2"/>
  <c r="E29" i="1"/>
  <c r="E3403" i="2"/>
  <c r="G3403" i="2" s="1"/>
  <c r="D3402" i="2"/>
  <c r="E3402" i="2" s="1"/>
  <c r="G3402" i="2" s="1"/>
  <c r="D3401" i="2"/>
  <c r="E3401" i="2" s="1"/>
  <c r="G3401" i="2" s="1"/>
  <c r="G3395" i="2"/>
  <c r="G3394" i="2"/>
  <c r="G3393" i="2"/>
  <c r="G3392" i="2"/>
  <c r="G3391" i="2"/>
  <c r="G3390" i="2"/>
  <c r="G3389" i="2"/>
  <c r="G3388" i="2"/>
  <c r="G3387" i="2"/>
  <c r="G3386" i="2"/>
  <c r="G3382" i="2"/>
  <c r="G3381" i="2"/>
  <c r="G3380" i="2"/>
  <c r="E3354" i="2"/>
  <c r="G3354" i="2" s="1"/>
  <c r="D3353" i="2"/>
  <c r="E3353" i="2" s="1"/>
  <c r="G3353" i="2" s="1"/>
  <c r="D3352" i="2"/>
  <c r="E3352" i="2" s="1"/>
  <c r="G3352" i="2" s="1"/>
  <c r="G3346" i="2"/>
  <c r="G3345" i="2"/>
  <c r="G3344" i="2"/>
  <c r="G3343" i="2"/>
  <c r="G3341" i="2"/>
  <c r="G3340" i="2"/>
  <c r="G3338" i="2"/>
  <c r="G3337" i="2"/>
  <c r="G3333" i="2"/>
  <c r="G3332" i="2"/>
  <c r="G3331" i="2"/>
  <c r="E61" i="1"/>
  <c r="E3291" i="2"/>
  <c r="G3290" i="2"/>
  <c r="G3292" i="2"/>
  <c r="G3293" i="2"/>
  <c r="G3294" i="2"/>
  <c r="G3295" i="2"/>
  <c r="E3288" i="2"/>
  <c r="E3289" i="2"/>
  <c r="E3303" i="2"/>
  <c r="G3303" i="2" s="1"/>
  <c r="D3302" i="2"/>
  <c r="E3302" i="2" s="1"/>
  <c r="G3302" i="2" s="1"/>
  <c r="D3301" i="2"/>
  <c r="E3301" i="2" s="1"/>
  <c r="G3301" i="2" s="1"/>
  <c r="F3287" i="2"/>
  <c r="G3282" i="2"/>
  <c r="G3281" i="2"/>
  <c r="G3280" i="2"/>
  <c r="E689" i="2"/>
  <c r="E688" i="2"/>
  <c r="G688" i="2" s="1"/>
  <c r="E687" i="2"/>
  <c r="G687" i="2" s="1"/>
  <c r="E686" i="2"/>
  <c r="E702" i="2"/>
  <c r="G702" i="2" s="1"/>
  <c r="D701" i="2"/>
  <c r="E701" i="2" s="1"/>
  <c r="G701" i="2" s="1"/>
  <c r="D700" i="2"/>
  <c r="E700" i="2" s="1"/>
  <c r="G700" i="2" s="1"/>
  <c r="G694" i="2"/>
  <c r="G693" i="2"/>
  <c r="G692" i="2"/>
  <c r="G691" i="2"/>
  <c r="G690" i="2"/>
  <c r="G682" i="2"/>
  <c r="G681" i="2"/>
  <c r="G680" i="2"/>
  <c r="E100" i="1" l="1"/>
  <c r="H1643" i="2"/>
  <c r="G1619" i="2" s="1"/>
  <c r="H1623" i="2" s="1"/>
  <c r="H1635" i="2"/>
  <c r="H1636" i="2"/>
  <c r="H3397" i="2"/>
  <c r="H3404" i="2"/>
  <c r="G3379" i="2" s="1"/>
  <c r="H3383" i="2" s="1"/>
  <c r="H3396" i="2"/>
  <c r="H3355" i="2"/>
  <c r="G3339" i="2"/>
  <c r="G3289" i="2"/>
  <c r="G2837" i="2"/>
  <c r="G3286" i="2"/>
  <c r="F3288" i="2"/>
  <c r="G3288" i="2" s="1"/>
  <c r="G3287" i="2"/>
  <c r="H3304" i="2"/>
  <c r="G3279" i="2" s="1"/>
  <c r="H3283" i="2" s="1"/>
  <c r="H703" i="2"/>
  <c r="G686" i="2"/>
  <c r="H3398" i="2" l="1"/>
  <c r="H3406" i="2" s="1"/>
  <c r="G3410" i="2" s="1"/>
  <c r="H1637" i="2"/>
  <c r="H1645" i="2" s="1"/>
  <c r="G1650" i="2" s="1"/>
  <c r="G3330" i="2"/>
  <c r="H3334" i="2" s="1"/>
  <c r="H696" i="2"/>
  <c r="G679" i="2"/>
  <c r="H683" i="2" s="1"/>
  <c r="G1651" i="2" l="1"/>
  <c r="G1649" i="2"/>
  <c r="G3411" i="2"/>
  <c r="G3412" i="2"/>
  <c r="H1652" i="2" l="1"/>
  <c r="H1654" i="2" s="1"/>
  <c r="F1887" i="2" s="1"/>
  <c r="H3413" i="2"/>
  <c r="H3415" i="2" s="1"/>
  <c r="E603" i="2"/>
  <c r="G603" i="2" s="1"/>
  <c r="D602" i="2"/>
  <c r="E602" i="2" s="1"/>
  <c r="G602" i="2" s="1"/>
  <c r="D601" i="2"/>
  <c r="E601" i="2" s="1"/>
  <c r="G601" i="2" s="1"/>
  <c r="G595" i="2"/>
  <c r="G594" i="2"/>
  <c r="G593" i="2"/>
  <c r="G592" i="2"/>
  <c r="G591" i="2"/>
  <c r="G590" i="2"/>
  <c r="G589" i="2"/>
  <c r="G588" i="2"/>
  <c r="G587" i="2"/>
  <c r="G583" i="2"/>
  <c r="G582" i="2"/>
  <c r="G581" i="2"/>
  <c r="E541" i="2"/>
  <c r="G540" i="2"/>
  <c r="G539" i="2"/>
  <c r="E555" i="2"/>
  <c r="G555" i="2" s="1"/>
  <c r="D554" i="2"/>
  <c r="E554" i="2" s="1"/>
  <c r="G554" i="2" s="1"/>
  <c r="D553" i="2"/>
  <c r="E553" i="2" s="1"/>
  <c r="G553" i="2" s="1"/>
  <c r="G547" i="2"/>
  <c r="G546" i="2"/>
  <c r="G545" i="2"/>
  <c r="G544" i="2"/>
  <c r="G543" i="2"/>
  <c r="G542" i="2"/>
  <c r="F541" i="2"/>
  <c r="G535" i="2"/>
  <c r="G534" i="2"/>
  <c r="G533" i="2"/>
  <c r="K533" i="2"/>
  <c r="G3238" i="2"/>
  <c r="E3254" i="2"/>
  <c r="G3254" i="2" s="1"/>
  <c r="D3253" i="2"/>
  <c r="E3253" i="2" s="1"/>
  <c r="G3253" i="2" s="1"/>
  <c r="D3252" i="2"/>
  <c r="E3252" i="2" s="1"/>
  <c r="G3252" i="2" s="1"/>
  <c r="G3246" i="2"/>
  <c r="F3245" i="2"/>
  <c r="G3245" i="2" s="1"/>
  <c r="G3244" i="2"/>
  <c r="G3243" i="2"/>
  <c r="G3242" i="2"/>
  <c r="G3241" i="2"/>
  <c r="G3240" i="2"/>
  <c r="G3237" i="2"/>
  <c r="G3233" i="2"/>
  <c r="G3232" i="2"/>
  <c r="G3231" i="2"/>
  <c r="E3095" i="2"/>
  <c r="G3095" i="2" s="1"/>
  <c r="D3094" i="2"/>
  <c r="E3094" i="2" s="1"/>
  <c r="G3094" i="2" s="1"/>
  <c r="D3093" i="2"/>
  <c r="E3093" i="2" s="1"/>
  <c r="G3093" i="2" s="1"/>
  <c r="G3087" i="2"/>
  <c r="G3086" i="2"/>
  <c r="G3085" i="2"/>
  <c r="G3084" i="2"/>
  <c r="G3083" i="2"/>
  <c r="G3082" i="2"/>
  <c r="G3081" i="2"/>
  <c r="G3080" i="2"/>
  <c r="G3079" i="2"/>
  <c r="G3075" i="2"/>
  <c r="G3074" i="2"/>
  <c r="G3073" i="2"/>
  <c r="G2987" i="2"/>
  <c r="E3001" i="2"/>
  <c r="G3001" i="2" s="1"/>
  <c r="D3000" i="2"/>
  <c r="E3000" i="2" s="1"/>
  <c r="G3000" i="2" s="1"/>
  <c r="D2999" i="2"/>
  <c r="E2999" i="2" s="1"/>
  <c r="G2999" i="2" s="1"/>
  <c r="G2993" i="2"/>
  <c r="F2992" i="2"/>
  <c r="G2992" i="2" s="1"/>
  <c r="G2991" i="2"/>
  <c r="G2990" i="2"/>
  <c r="G2989" i="2"/>
  <c r="G2988" i="2"/>
  <c r="G2985" i="2"/>
  <c r="G2984" i="2"/>
  <c r="G2980" i="2"/>
  <c r="G2979" i="2"/>
  <c r="G2978" i="2"/>
  <c r="F3039" i="2"/>
  <c r="G3039" i="2" s="1"/>
  <c r="E3048" i="2"/>
  <c r="G3048" i="2" s="1"/>
  <c r="D3047" i="2"/>
  <c r="E3047" i="2" s="1"/>
  <c r="G3047" i="2" s="1"/>
  <c r="D3046" i="2"/>
  <c r="E3046" i="2" s="1"/>
  <c r="G3046" i="2" s="1"/>
  <c r="G3040" i="2"/>
  <c r="G3038" i="2"/>
  <c r="G3037" i="2"/>
  <c r="G3036" i="2"/>
  <c r="G3034" i="2"/>
  <c r="G3032" i="2"/>
  <c r="G3028" i="2"/>
  <c r="G3027" i="2"/>
  <c r="G3026" i="2"/>
  <c r="G2940" i="2"/>
  <c r="G2941" i="2"/>
  <c r="G2942" i="2"/>
  <c r="G2943" i="2"/>
  <c r="G2944" i="2"/>
  <c r="E2952" i="2"/>
  <c r="G2952" i="2" s="1"/>
  <c r="D2951" i="2"/>
  <c r="E2951" i="2" s="1"/>
  <c r="G2951" i="2" s="1"/>
  <c r="D2950" i="2"/>
  <c r="E2950" i="2" s="1"/>
  <c r="G2950" i="2" s="1"/>
  <c r="G2938" i="2"/>
  <c r="G2936" i="2"/>
  <c r="G2932" i="2"/>
  <c r="G2931" i="2"/>
  <c r="G2930" i="2"/>
  <c r="H604" i="2" l="1"/>
  <c r="G580" i="2" s="1"/>
  <c r="H584" i="2" s="1"/>
  <c r="H597" i="2"/>
  <c r="H596" i="2"/>
  <c r="H556" i="2"/>
  <c r="G532" i="2" s="1"/>
  <c r="H536" i="2" s="1"/>
  <c r="G541" i="2"/>
  <c r="H549" i="2" s="1"/>
  <c r="H3255" i="2"/>
  <c r="G3230" i="2" s="1"/>
  <c r="H3234" i="2" s="1"/>
  <c r="H3096" i="2"/>
  <c r="H3088" i="2"/>
  <c r="H3089" i="2"/>
  <c r="H3002" i="2"/>
  <c r="G2977" i="2" s="1"/>
  <c r="H2981" i="2" s="1"/>
  <c r="H3049" i="2"/>
  <c r="H2953" i="2"/>
  <c r="E2901" i="2"/>
  <c r="G2901" i="2" s="1"/>
  <c r="D2900" i="2"/>
  <c r="E2900" i="2" s="1"/>
  <c r="G2900" i="2" s="1"/>
  <c r="D2899" i="2"/>
  <c r="E2899" i="2" s="1"/>
  <c r="G2899" i="2" s="1"/>
  <c r="G2893" i="2"/>
  <c r="G2887" i="2"/>
  <c r="G2886" i="2"/>
  <c r="G2885" i="2"/>
  <c r="G2881" i="2"/>
  <c r="G2880" i="2"/>
  <c r="G2879" i="2"/>
  <c r="E2853" i="2"/>
  <c r="G2853" i="2" s="1"/>
  <c r="D2852" i="2"/>
  <c r="E2852" i="2" s="1"/>
  <c r="G2852" i="2" s="1"/>
  <c r="D2851" i="2"/>
  <c r="E2851" i="2" s="1"/>
  <c r="G2851" i="2" s="1"/>
  <c r="G2845" i="2"/>
  <c r="G2844" i="2"/>
  <c r="G2843" i="2"/>
  <c r="G2842" i="2"/>
  <c r="G2841" i="2"/>
  <c r="G2840" i="2"/>
  <c r="G2839" i="2"/>
  <c r="G2833" i="2"/>
  <c r="G2832" i="2"/>
  <c r="G2831" i="2"/>
  <c r="E2790" i="2"/>
  <c r="G2790" i="2" s="1"/>
  <c r="D2789" i="2"/>
  <c r="E2789" i="2" s="1"/>
  <c r="G2789" i="2" s="1"/>
  <c r="D2788" i="2"/>
  <c r="E2788" i="2" s="1"/>
  <c r="G2788" i="2" s="1"/>
  <c r="G2782" i="2"/>
  <c r="G2781" i="2"/>
  <c r="G2780" i="2"/>
  <c r="G2779" i="2"/>
  <c r="G2778" i="2"/>
  <c r="G2777" i="2"/>
  <c r="G2776" i="2"/>
  <c r="G2775" i="2"/>
  <c r="F2774" i="2"/>
  <c r="G2774" i="2" s="1"/>
  <c r="G2770" i="2"/>
  <c r="G2769" i="2"/>
  <c r="G2768" i="2"/>
  <c r="E2741" i="2"/>
  <c r="G2741" i="2" s="1"/>
  <c r="D2740" i="2"/>
  <c r="E2740" i="2" s="1"/>
  <c r="G2740" i="2" s="1"/>
  <c r="D2739" i="2"/>
  <c r="E2739" i="2" s="1"/>
  <c r="G2739" i="2" s="1"/>
  <c r="G2733" i="2"/>
  <c r="G2732" i="2"/>
  <c r="G2731" i="2"/>
  <c r="G2730" i="2"/>
  <c r="G2729" i="2"/>
  <c r="G2728" i="2"/>
  <c r="G2727" i="2"/>
  <c r="G2726" i="2"/>
  <c r="G2721" i="2"/>
  <c r="G2720" i="2"/>
  <c r="G2719" i="2"/>
  <c r="G3072" i="2" l="1"/>
  <c r="H3076" i="2" s="1"/>
  <c r="H548" i="2"/>
  <c r="H550" i="2" s="1"/>
  <c r="H558" i="2" s="1"/>
  <c r="H598" i="2"/>
  <c r="H606" i="2" s="1"/>
  <c r="H3090" i="2"/>
  <c r="G2838" i="2"/>
  <c r="G3035" i="2"/>
  <c r="G2939" i="2"/>
  <c r="G3025" i="2"/>
  <c r="H3029" i="2" s="1"/>
  <c r="G2929" i="2"/>
  <c r="H2933" i="2" s="1"/>
  <c r="H2902" i="2"/>
  <c r="G2878" i="2" s="1"/>
  <c r="H2882" i="2" s="1"/>
  <c r="H2895" i="2"/>
  <c r="H2894" i="2"/>
  <c r="H2854" i="2"/>
  <c r="G2830" i="2" s="1"/>
  <c r="H2834" i="2" s="1"/>
  <c r="H2791" i="2"/>
  <c r="G2767" i="2" s="1"/>
  <c r="H2771" i="2" s="1"/>
  <c r="H2784" i="2"/>
  <c r="H2783" i="2"/>
  <c r="H2742" i="2"/>
  <c r="G2718" i="2" s="1"/>
  <c r="H2722" i="2" s="1"/>
  <c r="H3098" i="2" l="1"/>
  <c r="G3102" i="2" s="1"/>
  <c r="G612" i="2"/>
  <c r="G611" i="2"/>
  <c r="G610" i="2"/>
  <c r="G564" i="2"/>
  <c r="G563" i="2"/>
  <c r="G562" i="2"/>
  <c r="H2896" i="2"/>
  <c r="H2904" i="2" s="1"/>
  <c r="H2785" i="2"/>
  <c r="H2793" i="2" s="1"/>
  <c r="G3104" i="2" l="1"/>
  <c r="G3103" i="2"/>
  <c r="H613" i="2"/>
  <c r="H615" i="2" s="1"/>
  <c r="F33" i="1" s="1"/>
  <c r="G33" i="1" s="1"/>
  <c r="H565" i="2"/>
  <c r="H567" i="2" s="1"/>
  <c r="G2799" i="2"/>
  <c r="G2798" i="2"/>
  <c r="G2797" i="2"/>
  <c r="G2910" i="2"/>
  <c r="G2909" i="2"/>
  <c r="G2908" i="2"/>
  <c r="H3105" i="2" l="1"/>
  <c r="H3107" i="2" s="1"/>
  <c r="F121" i="1" s="1"/>
  <c r="F35" i="1"/>
  <c r="H2800" i="2"/>
  <c r="H2802" i="2" s="1"/>
  <c r="H2911" i="2"/>
  <c r="H2913" i="2" s="1"/>
  <c r="F75" i="1" l="1"/>
  <c r="F116" i="1"/>
  <c r="E2633" i="2"/>
  <c r="E2649" i="2"/>
  <c r="G2649" i="2" s="1"/>
  <c r="D2648" i="2"/>
  <c r="E2648" i="2" s="1"/>
  <c r="G2648" i="2" s="1"/>
  <c r="D2647" i="2"/>
  <c r="E2647" i="2" s="1"/>
  <c r="G2647" i="2" s="1"/>
  <c r="G2641" i="2"/>
  <c r="G2640" i="2"/>
  <c r="G2639" i="2"/>
  <c r="G2638" i="2"/>
  <c r="G2637" i="2"/>
  <c r="G2636" i="2"/>
  <c r="G2635" i="2"/>
  <c r="G2634" i="2"/>
  <c r="G2629" i="2"/>
  <c r="G2628" i="2"/>
  <c r="G2627" i="2"/>
  <c r="E2540" i="2"/>
  <c r="E2556" i="2"/>
  <c r="G2556" i="2" s="1"/>
  <c r="D2555" i="2"/>
  <c r="E2555" i="2" s="1"/>
  <c r="G2555" i="2" s="1"/>
  <c r="D2554" i="2"/>
  <c r="E2554" i="2" s="1"/>
  <c r="G2554" i="2" s="1"/>
  <c r="G2548" i="2"/>
  <c r="G2547" i="2"/>
  <c r="G2546" i="2"/>
  <c r="G2545" i="2"/>
  <c r="G2544" i="2"/>
  <c r="G2543" i="2"/>
  <c r="G2542" i="2"/>
  <c r="G2541" i="2"/>
  <c r="G2536" i="2"/>
  <c r="G2535" i="2"/>
  <c r="G2534" i="2"/>
  <c r="E2487" i="2"/>
  <c r="E2503" i="2"/>
  <c r="G2503" i="2" s="1"/>
  <c r="D2502" i="2"/>
  <c r="E2502" i="2" s="1"/>
  <c r="G2502" i="2" s="1"/>
  <c r="D2501" i="2"/>
  <c r="E2501" i="2" s="1"/>
  <c r="G2501" i="2" s="1"/>
  <c r="G2495" i="2"/>
  <c r="G2494" i="2"/>
  <c r="G2493" i="2"/>
  <c r="G2492" i="2"/>
  <c r="G2491" i="2"/>
  <c r="G2490" i="2"/>
  <c r="G2489" i="2"/>
  <c r="G2488" i="2"/>
  <c r="G2483" i="2"/>
  <c r="G2482" i="2"/>
  <c r="G2481" i="2"/>
  <c r="E2111" i="2"/>
  <c r="G2111" i="2" s="1"/>
  <c r="D2110" i="2"/>
  <c r="E2110" i="2" s="1"/>
  <c r="G2110" i="2" s="1"/>
  <c r="D2109" i="2"/>
  <c r="E2109" i="2" s="1"/>
  <c r="G2109" i="2" s="1"/>
  <c r="G2101" i="2"/>
  <c r="G2100" i="2"/>
  <c r="G2099" i="2"/>
  <c r="G2098" i="2"/>
  <c r="G2097" i="2"/>
  <c r="G2096" i="2"/>
  <c r="O2095" i="2"/>
  <c r="P2095" i="2" s="1"/>
  <c r="P2096" i="2" s="1"/>
  <c r="G2095" i="2"/>
  <c r="G2091" i="2"/>
  <c r="G2090" i="2"/>
  <c r="G2089" i="2"/>
  <c r="G2051" i="2"/>
  <c r="G2045" i="2"/>
  <c r="E2061" i="2"/>
  <c r="G2061" i="2" s="1"/>
  <c r="D2060" i="2"/>
  <c r="E2060" i="2" s="1"/>
  <c r="G2060" i="2" s="1"/>
  <c r="D2059" i="2"/>
  <c r="E2059" i="2" s="1"/>
  <c r="G2059" i="2" s="1"/>
  <c r="G2050" i="2"/>
  <c r="G2049" i="2"/>
  <c r="G2048" i="2"/>
  <c r="G2047" i="2"/>
  <c r="G2046" i="2"/>
  <c r="O2045" i="2"/>
  <c r="P2045" i="2" s="1"/>
  <c r="P2046" i="2" s="1"/>
  <c r="G2041" i="2"/>
  <c r="G2040" i="2"/>
  <c r="G2039" i="2"/>
  <c r="O395" i="2"/>
  <c r="P395" i="2" s="1"/>
  <c r="P396" i="2" s="1"/>
  <c r="G1991" i="2"/>
  <c r="G1992" i="2"/>
  <c r="E2008" i="2"/>
  <c r="G2008" i="2" s="1"/>
  <c r="D2007" i="2"/>
  <c r="E2007" i="2" s="1"/>
  <c r="G2007" i="2" s="1"/>
  <c r="D2006" i="2"/>
  <c r="E2006" i="2" s="1"/>
  <c r="G2006" i="2" s="1"/>
  <c r="G2000" i="2"/>
  <c r="G1999" i="2"/>
  <c r="G1998" i="2"/>
  <c r="G1996" i="2"/>
  <c r="G1995" i="2"/>
  <c r="G1994" i="2"/>
  <c r="G1993" i="2"/>
  <c r="G1990" i="2"/>
  <c r="G1986" i="2"/>
  <c r="G1985" i="2"/>
  <c r="G1984" i="2"/>
  <c r="D1953" i="2"/>
  <c r="E1953" i="2" s="1"/>
  <c r="G1953" i="2" s="1"/>
  <c r="D1952" i="2"/>
  <c r="E1952" i="2" s="1"/>
  <c r="G1952" i="2" s="1"/>
  <c r="G1931" i="2"/>
  <c r="G1932" i="2"/>
  <c r="G1930" i="2"/>
  <c r="E1954" i="2"/>
  <c r="G1954" i="2" s="1"/>
  <c r="G1946" i="2"/>
  <c r="G1945" i="2"/>
  <c r="G1944" i="2"/>
  <c r="G1939" i="2"/>
  <c r="G1938" i="2"/>
  <c r="G1936" i="2"/>
  <c r="G3033" i="2" l="1"/>
  <c r="G2937" i="2"/>
  <c r="H2650" i="2"/>
  <c r="G2626" i="2" s="1"/>
  <c r="H2630" i="2" s="1"/>
  <c r="H2557" i="2"/>
  <c r="H2504" i="2"/>
  <c r="G2480" i="2" s="1"/>
  <c r="H2484" i="2" s="1"/>
  <c r="H2112" i="2"/>
  <c r="H2105" i="2"/>
  <c r="H2104" i="2"/>
  <c r="H2062" i="2"/>
  <c r="G2038" i="2" s="1"/>
  <c r="H2042" i="2" s="1"/>
  <c r="H2055" i="2"/>
  <c r="H2001" i="2"/>
  <c r="H2054" i="2"/>
  <c r="H2009" i="2"/>
  <c r="G1983" i="2" s="1"/>
  <c r="H1987" i="2" s="1"/>
  <c r="H2002" i="2"/>
  <c r="H1948" i="2"/>
  <c r="H1955" i="2"/>
  <c r="G1929" i="2" s="1"/>
  <c r="H1933" i="2" s="1"/>
  <c r="H1947" i="2"/>
  <c r="H2946" i="2" l="1"/>
  <c r="H2945" i="2"/>
  <c r="H3041" i="2"/>
  <c r="H3042" i="2"/>
  <c r="H2003" i="2"/>
  <c r="H2011" i="2" s="1"/>
  <c r="G2015" i="2" s="1"/>
  <c r="H2018" i="2" s="1"/>
  <c r="H2020" i="2" s="1"/>
  <c r="G2533" i="2"/>
  <c r="H2537" i="2" s="1"/>
  <c r="H2106" i="2"/>
  <c r="G2088" i="2"/>
  <c r="H2092" i="2" s="1"/>
  <c r="H2056" i="2"/>
  <c r="H2064" i="2" s="1"/>
  <c r="H1949" i="2"/>
  <c r="H1957" i="2" s="1"/>
  <c r="G1961" i="2" s="1"/>
  <c r="H1964" i="2" s="1"/>
  <c r="H1966" i="2" s="1"/>
  <c r="H2947" i="2" l="1"/>
  <c r="H2955" i="2" s="1"/>
  <c r="G2960" i="2" s="1"/>
  <c r="H3043" i="2"/>
  <c r="H3051" i="2" s="1"/>
  <c r="H2114" i="2"/>
  <c r="G2120" i="2" s="1"/>
  <c r="F94" i="1"/>
  <c r="G2070" i="2"/>
  <c r="G2069" i="2"/>
  <c r="G2068" i="2"/>
  <c r="F100" i="1"/>
  <c r="G100" i="1" s="1"/>
  <c r="G2959" i="2" l="1"/>
  <c r="G2961" i="2"/>
  <c r="G3057" i="2"/>
  <c r="G3056" i="2"/>
  <c r="G3055" i="2"/>
  <c r="G2118" i="2"/>
  <c r="G2119" i="2"/>
  <c r="H2071" i="2"/>
  <c r="H2073" i="2" s="1"/>
  <c r="F95" i="1" l="1"/>
  <c r="G95" i="1" s="1"/>
  <c r="H2962" i="2"/>
  <c r="H2964" i="2" s="1"/>
  <c r="F125" i="1" s="1"/>
  <c r="H3058" i="2"/>
  <c r="H3060" i="2" s="1"/>
  <c r="H2121" i="2"/>
  <c r="H2123" i="2" s="1"/>
  <c r="F120" i="1" l="1"/>
  <c r="F98" i="1"/>
  <c r="G98" i="1" s="1"/>
  <c r="E2206" i="2"/>
  <c r="G2206" i="2" s="1"/>
  <c r="D2205" i="2"/>
  <c r="E2205" i="2" s="1"/>
  <c r="G2205" i="2" s="1"/>
  <c r="D2204" i="2"/>
  <c r="E2204" i="2" s="1"/>
  <c r="G2204" i="2" s="1"/>
  <c r="G2198" i="2"/>
  <c r="G2197" i="2"/>
  <c r="G2196" i="2"/>
  <c r="G2195" i="2"/>
  <c r="G2194" i="2"/>
  <c r="G2193" i="2"/>
  <c r="G2192" i="2"/>
  <c r="G2191" i="2"/>
  <c r="G2190" i="2"/>
  <c r="G2186" i="2"/>
  <c r="G2185" i="2"/>
  <c r="G2184" i="2"/>
  <c r="F1528" i="2"/>
  <c r="G1528" i="2" s="1"/>
  <c r="E1543" i="2"/>
  <c r="G1543" i="2" s="1"/>
  <c r="D1542" i="2"/>
  <c r="E1542" i="2" s="1"/>
  <c r="G1542" i="2" s="1"/>
  <c r="D1541" i="2"/>
  <c r="E1541" i="2" s="1"/>
  <c r="G1541" i="2" s="1"/>
  <c r="G1535" i="2"/>
  <c r="G1534" i="2"/>
  <c r="G1533" i="2"/>
  <c r="G1532" i="2"/>
  <c r="G1531" i="2"/>
  <c r="G1530" i="2"/>
  <c r="G1529" i="2"/>
  <c r="F1527" i="2"/>
  <c r="G1527" i="2" s="1"/>
  <c r="G1523" i="2"/>
  <c r="G1522" i="2"/>
  <c r="G1521" i="2"/>
  <c r="G1480" i="2"/>
  <c r="E1495" i="2"/>
  <c r="G1495" i="2" s="1"/>
  <c r="D1494" i="2"/>
  <c r="E1494" i="2" s="1"/>
  <c r="G1494" i="2" s="1"/>
  <c r="D1493" i="2"/>
  <c r="E1493" i="2" s="1"/>
  <c r="G1493" i="2" s="1"/>
  <c r="G1487" i="2"/>
  <c r="G1486" i="2"/>
  <c r="G1485" i="2"/>
  <c r="G1484" i="2"/>
  <c r="G1483" i="2"/>
  <c r="G1482" i="2"/>
  <c r="G1481" i="2"/>
  <c r="F1479" i="2"/>
  <c r="G1479" i="2" s="1"/>
  <c r="G1475" i="2"/>
  <c r="G1474" i="2"/>
  <c r="G1473" i="2"/>
  <c r="G2149" i="2"/>
  <c r="G2150" i="2"/>
  <c r="G2151" i="2"/>
  <c r="E2145" i="2"/>
  <c r="E2143" i="2"/>
  <c r="E2144" i="2" s="1"/>
  <c r="G2148" i="2"/>
  <c r="E2159" i="2"/>
  <c r="G2159" i="2" s="1"/>
  <c r="D2158" i="2"/>
  <c r="E2158" i="2" s="1"/>
  <c r="G2158" i="2" s="1"/>
  <c r="D2157" i="2"/>
  <c r="E2157" i="2" s="1"/>
  <c r="G2157" i="2" s="1"/>
  <c r="G2139" i="2"/>
  <c r="G2138" i="2"/>
  <c r="G2137" i="2"/>
  <c r="G1889" i="2"/>
  <c r="G1886" i="2"/>
  <c r="G1885" i="2"/>
  <c r="E1899" i="2"/>
  <c r="G1899" i="2" s="1"/>
  <c r="D1898" i="2"/>
  <c r="E1898" i="2" s="1"/>
  <c r="G1898" i="2" s="1"/>
  <c r="D1897" i="2"/>
  <c r="E1897" i="2" s="1"/>
  <c r="G1897" i="2" s="1"/>
  <c r="G1890" i="2"/>
  <c r="G1888" i="2"/>
  <c r="E1884" i="2"/>
  <c r="G1880" i="2"/>
  <c r="G1879" i="2"/>
  <c r="G1878" i="2"/>
  <c r="G1877" i="2"/>
  <c r="E1851" i="2"/>
  <c r="G1851" i="2" s="1"/>
  <c r="D1850" i="2"/>
  <c r="E1850" i="2" s="1"/>
  <c r="G1850" i="2" s="1"/>
  <c r="D1849" i="2"/>
  <c r="E1849" i="2" s="1"/>
  <c r="G1849" i="2" s="1"/>
  <c r="G1843" i="2"/>
  <c r="G1842" i="2"/>
  <c r="G1841" i="2"/>
  <c r="G1840" i="2"/>
  <c r="G1839" i="2"/>
  <c r="G1838" i="2"/>
  <c r="G1837" i="2"/>
  <c r="G1836" i="2"/>
  <c r="G1832" i="2"/>
  <c r="G1831" i="2"/>
  <c r="G1830" i="2"/>
  <c r="F1788" i="2"/>
  <c r="G1788" i="2" s="1"/>
  <c r="F1787" i="2"/>
  <c r="G1787" i="2" s="1"/>
  <c r="F1786" i="2"/>
  <c r="G1786" i="2" s="1"/>
  <c r="F1784" i="2"/>
  <c r="G1784" i="2" s="1"/>
  <c r="E1741" i="2"/>
  <c r="G1741" i="2" s="1"/>
  <c r="D1740" i="2"/>
  <c r="E1740" i="2" s="1"/>
  <c r="G1740" i="2" s="1"/>
  <c r="D1739" i="2"/>
  <c r="E1739" i="2" s="1"/>
  <c r="G1739" i="2" s="1"/>
  <c r="G1733" i="2"/>
  <c r="G1732" i="2"/>
  <c r="G1731" i="2"/>
  <c r="G1730" i="2"/>
  <c r="G1729" i="2"/>
  <c r="G1728" i="2"/>
  <c r="G1727" i="2"/>
  <c r="G1726" i="2"/>
  <c r="G1725" i="2"/>
  <c r="G1721" i="2"/>
  <c r="G1720" i="2"/>
  <c r="G1719" i="2"/>
  <c r="E1691" i="2"/>
  <c r="G1691" i="2" s="1"/>
  <c r="D1690" i="2"/>
  <c r="E1690" i="2" s="1"/>
  <c r="G1690" i="2" s="1"/>
  <c r="D1689" i="2"/>
  <c r="E1689" i="2" s="1"/>
  <c r="G1689" i="2" s="1"/>
  <c r="G1683" i="2"/>
  <c r="G1682" i="2"/>
  <c r="G1681" i="2"/>
  <c r="G1680" i="2"/>
  <c r="G1679" i="2"/>
  <c r="G1678" i="2"/>
  <c r="G1677" i="2"/>
  <c r="G1676" i="2"/>
  <c r="G1675" i="2"/>
  <c r="G1671" i="2"/>
  <c r="G1670" i="2"/>
  <c r="G1669" i="2"/>
  <c r="G1579" i="2"/>
  <c r="G1578" i="2"/>
  <c r="E1594" i="2"/>
  <c r="G1594" i="2" s="1"/>
  <c r="D1593" i="2"/>
  <c r="E1593" i="2" s="1"/>
  <c r="G1593" i="2" s="1"/>
  <c r="D1592" i="2"/>
  <c r="E1592" i="2" s="1"/>
  <c r="G1592" i="2" s="1"/>
  <c r="G1586" i="2"/>
  <c r="G1585" i="2"/>
  <c r="G1584" i="2"/>
  <c r="G1583" i="2"/>
  <c r="G1582" i="2"/>
  <c r="G1581" i="2"/>
  <c r="G1580" i="2"/>
  <c r="G1574" i="2"/>
  <c r="G1573" i="2"/>
  <c r="G1572" i="2"/>
  <c r="G1427" i="2"/>
  <c r="E1442" i="2"/>
  <c r="G1442" i="2" s="1"/>
  <c r="D1441" i="2"/>
  <c r="E1441" i="2" s="1"/>
  <c r="G1441" i="2" s="1"/>
  <c r="D1440" i="2"/>
  <c r="E1440" i="2" s="1"/>
  <c r="G1440" i="2" s="1"/>
  <c r="G1434" i="2"/>
  <c r="G1433" i="2"/>
  <c r="G1432" i="2"/>
  <c r="G1431" i="2"/>
  <c r="G1430" i="2"/>
  <c r="G1429" i="2"/>
  <c r="G1428" i="2"/>
  <c r="F1426" i="2"/>
  <c r="G1426" i="2" s="1"/>
  <c r="G1422" i="2"/>
  <c r="G1421" i="2"/>
  <c r="G1420" i="2"/>
  <c r="G1382" i="2"/>
  <c r="G1381" i="2"/>
  <c r="E1393" i="2"/>
  <c r="G1393" i="2" s="1"/>
  <c r="D1392" i="2"/>
  <c r="E1392" i="2" s="1"/>
  <c r="G1392" i="2" s="1"/>
  <c r="D1391" i="2"/>
  <c r="E1391" i="2" s="1"/>
  <c r="G1391" i="2" s="1"/>
  <c r="G1385" i="2"/>
  <c r="G1384" i="2"/>
  <c r="G1383" i="2"/>
  <c r="G1380" i="2"/>
  <c r="G1379" i="2"/>
  <c r="G1378" i="2"/>
  <c r="F1377" i="2"/>
  <c r="G1377" i="2" s="1"/>
  <c r="G1373" i="2"/>
  <c r="G1372" i="2"/>
  <c r="G1371" i="2"/>
  <c r="G1329" i="2"/>
  <c r="G1322" i="2"/>
  <c r="G1323" i="2"/>
  <c r="G1324" i="2"/>
  <c r="F1328" i="2"/>
  <c r="G1328" i="2" s="1"/>
  <c r="G1330" i="2"/>
  <c r="G1331" i="2"/>
  <c r="G1332" i="2"/>
  <c r="G1333" i="2"/>
  <c r="G1334" i="2"/>
  <c r="G1335" i="2"/>
  <c r="G1336" i="2"/>
  <c r="D1342" i="2"/>
  <c r="E1342" i="2" s="1"/>
  <c r="G1342" i="2" s="1"/>
  <c r="D1343" i="2"/>
  <c r="E1343" i="2" s="1"/>
  <c r="G1343" i="2" s="1"/>
  <c r="E1344" i="2"/>
  <c r="G1344" i="2" s="1"/>
  <c r="G1282" i="2"/>
  <c r="G1281" i="2"/>
  <c r="E1800" i="2"/>
  <c r="G1800" i="2" s="1"/>
  <c r="D1799" i="2"/>
  <c r="E1799" i="2" s="1"/>
  <c r="G1799" i="2" s="1"/>
  <c r="D1798" i="2"/>
  <c r="E1798" i="2" s="1"/>
  <c r="G1798" i="2" s="1"/>
  <c r="G1792" i="2"/>
  <c r="G1791" i="2"/>
  <c r="G1790" i="2"/>
  <c r="G1789" i="2"/>
  <c r="G1785" i="2"/>
  <c r="G1780" i="2"/>
  <c r="G1779" i="2"/>
  <c r="G1778" i="2"/>
  <c r="E1296" i="2"/>
  <c r="G1296" i="2" s="1"/>
  <c r="D1295" i="2"/>
  <c r="E1295" i="2" s="1"/>
  <c r="G1295" i="2" s="1"/>
  <c r="D1294" i="2"/>
  <c r="E1294" i="2" s="1"/>
  <c r="G1294" i="2" s="1"/>
  <c r="G1288" i="2"/>
  <c r="G1287" i="2"/>
  <c r="G1286" i="2"/>
  <c r="G1285" i="2"/>
  <c r="G1284" i="2"/>
  <c r="G1283" i="2"/>
  <c r="F1280" i="2"/>
  <c r="G1280" i="2" s="1"/>
  <c r="G1276" i="2"/>
  <c r="G1275" i="2"/>
  <c r="G1274" i="2"/>
  <c r="G2725" i="2" l="1"/>
  <c r="G2487" i="2"/>
  <c r="G2540" i="2"/>
  <c r="G2633" i="2"/>
  <c r="H2207" i="2"/>
  <c r="H2200" i="2"/>
  <c r="H2199" i="2"/>
  <c r="G2144" i="2"/>
  <c r="G2147" i="2"/>
  <c r="H1544" i="2"/>
  <c r="H1537" i="2"/>
  <c r="H1536" i="2"/>
  <c r="G2146" i="2"/>
  <c r="G2145" i="2"/>
  <c r="H1496" i="2"/>
  <c r="G1472" i="2" s="1"/>
  <c r="H1476" i="2" s="1"/>
  <c r="H2160" i="2"/>
  <c r="G2136" i="2" s="1"/>
  <c r="H2140" i="2" s="1"/>
  <c r="H1489" i="2"/>
  <c r="H1488" i="2"/>
  <c r="G2143" i="2"/>
  <c r="H1844" i="2"/>
  <c r="H1900" i="2"/>
  <c r="G1876" i="2" s="1"/>
  <c r="H1881" i="2" s="1"/>
  <c r="G1884" i="2"/>
  <c r="H1852" i="2"/>
  <c r="G1829" i="2" s="1"/>
  <c r="H1833" i="2" s="1"/>
  <c r="H1845" i="2"/>
  <c r="H1443" i="2"/>
  <c r="G1419" i="2" s="1"/>
  <c r="H1423" i="2" s="1"/>
  <c r="H1734" i="2"/>
  <c r="H1742" i="2"/>
  <c r="H1735" i="2"/>
  <c r="H1692" i="2"/>
  <c r="G1668" i="2" s="1"/>
  <c r="H1672" i="2" s="1"/>
  <c r="H1685" i="2"/>
  <c r="H1801" i="2"/>
  <c r="G1777" i="2" s="1"/>
  <c r="H1781" i="2" s="1"/>
  <c r="H1684" i="2"/>
  <c r="H1595" i="2"/>
  <c r="G1571" i="2" s="1"/>
  <c r="H1575" i="2" s="1"/>
  <c r="H1588" i="2"/>
  <c r="H1587" i="2"/>
  <c r="H1435" i="2"/>
  <c r="H1436" i="2"/>
  <c r="H1794" i="2"/>
  <c r="H1386" i="2"/>
  <c r="H1387" i="2"/>
  <c r="H1394" i="2"/>
  <c r="H1338" i="2"/>
  <c r="H1337" i="2"/>
  <c r="H1345" i="2"/>
  <c r="H1290" i="2"/>
  <c r="H1289" i="2"/>
  <c r="H1297" i="2"/>
  <c r="H1793" i="2"/>
  <c r="H2846" i="2" l="1"/>
  <c r="H2847" i="2"/>
  <c r="H2734" i="2"/>
  <c r="H2735" i="2"/>
  <c r="H2550" i="2"/>
  <c r="H2549" i="2"/>
  <c r="H2643" i="2"/>
  <c r="H2642" i="2"/>
  <c r="H2496" i="2"/>
  <c r="H2497" i="2"/>
  <c r="H2201" i="2"/>
  <c r="G2183" i="2"/>
  <c r="H2187" i="2" s="1"/>
  <c r="H1538" i="2"/>
  <c r="H2153" i="2"/>
  <c r="G1520" i="2"/>
  <c r="H1524" i="2" s="1"/>
  <c r="H1846" i="2"/>
  <c r="H1854" i="2" s="1"/>
  <c r="G1859" i="2" s="1"/>
  <c r="H1490" i="2"/>
  <c r="H1498" i="2" s="1"/>
  <c r="H2152" i="2"/>
  <c r="H1736" i="2"/>
  <c r="H1339" i="2"/>
  <c r="H1686" i="2"/>
  <c r="H1694" i="2" s="1"/>
  <c r="G1700" i="2" s="1"/>
  <c r="G1718" i="2"/>
  <c r="H1722" i="2" s="1"/>
  <c r="H1589" i="2"/>
  <c r="H1597" i="2" s="1"/>
  <c r="G1603" i="2" s="1"/>
  <c r="H1795" i="2"/>
  <c r="H1803" i="2" s="1"/>
  <c r="G1808" i="2" s="1"/>
  <c r="H1437" i="2"/>
  <c r="H1445" i="2" s="1"/>
  <c r="H1388" i="2"/>
  <c r="G1370" i="2"/>
  <c r="H1374" i="2" s="1"/>
  <c r="G1321" i="2"/>
  <c r="H1325" i="2" s="1"/>
  <c r="H1291" i="2"/>
  <c r="G1273" i="2"/>
  <c r="H1277" i="2" s="1"/>
  <c r="H2209" i="2" l="1"/>
  <c r="G2215" i="2" s="1"/>
  <c r="H2551" i="2"/>
  <c r="H2559" i="2" s="1"/>
  <c r="G2563" i="2" s="1"/>
  <c r="H2848" i="2"/>
  <c r="H2856" i="2" s="1"/>
  <c r="H2736" i="2"/>
  <c r="H2744" i="2" s="1"/>
  <c r="H2498" i="2"/>
  <c r="H2506" i="2" s="1"/>
  <c r="H2644" i="2"/>
  <c r="H2652" i="2" s="1"/>
  <c r="H1546" i="2"/>
  <c r="G1552" i="2" s="1"/>
  <c r="H2154" i="2"/>
  <c r="H2162" i="2" s="1"/>
  <c r="G2167" i="2" s="1"/>
  <c r="G1699" i="2"/>
  <c r="H1744" i="2"/>
  <c r="G1749" i="2" s="1"/>
  <c r="G1860" i="2"/>
  <c r="G1504" i="2"/>
  <c r="G1503" i="2"/>
  <c r="G1502" i="2"/>
  <c r="G1698" i="2"/>
  <c r="H1347" i="2"/>
  <c r="G1352" i="2" s="1"/>
  <c r="G1858" i="2"/>
  <c r="G1601" i="2"/>
  <c r="G1809" i="2"/>
  <c r="G1602" i="2"/>
  <c r="G1807" i="2"/>
  <c r="H1299" i="2"/>
  <c r="G1303" i="2" s="1"/>
  <c r="G1449" i="2"/>
  <c r="G1451" i="2"/>
  <c r="G1450" i="2"/>
  <c r="H1396" i="2"/>
  <c r="G1402" i="2" s="1"/>
  <c r="G1550" i="2" l="1"/>
  <c r="G2213" i="2"/>
  <c r="G2214" i="2"/>
  <c r="G2564" i="2"/>
  <c r="G2565" i="2"/>
  <c r="G2861" i="2"/>
  <c r="G2860" i="2"/>
  <c r="G2862" i="2"/>
  <c r="G2749" i="2"/>
  <c r="G2750" i="2"/>
  <c r="G2748" i="2"/>
  <c r="G2512" i="2"/>
  <c r="G2510" i="2"/>
  <c r="G2511" i="2"/>
  <c r="G2658" i="2"/>
  <c r="G2657" i="2"/>
  <c r="G2656" i="2"/>
  <c r="G1551" i="2"/>
  <c r="H1604" i="2"/>
  <c r="H1606" i="2" s="1"/>
  <c r="H1701" i="2"/>
  <c r="H1703" i="2" s="1"/>
  <c r="H1505" i="2"/>
  <c r="H1507" i="2" s="1"/>
  <c r="G2168" i="2"/>
  <c r="G2166" i="2"/>
  <c r="G1750" i="2"/>
  <c r="H1861" i="2"/>
  <c r="H1863" i="2" s="1"/>
  <c r="G1353" i="2"/>
  <c r="G1351" i="2"/>
  <c r="G1748" i="2"/>
  <c r="H1810" i="2"/>
  <c r="H1812" i="2" s="1"/>
  <c r="G1304" i="2"/>
  <c r="G1305" i="2"/>
  <c r="H1452" i="2"/>
  <c r="H1454" i="2" s="1"/>
  <c r="G1400" i="2"/>
  <c r="G1401" i="2"/>
  <c r="F108" i="1" l="1"/>
  <c r="F55" i="1" s="1"/>
  <c r="F102" i="1"/>
  <c r="F81" i="1"/>
  <c r="G81" i="1" s="1"/>
  <c r="F82" i="1"/>
  <c r="G82" i="1" s="1"/>
  <c r="F106" i="1"/>
  <c r="H1553" i="2"/>
  <c r="H1555" i="2" s="1"/>
  <c r="G1891" i="2"/>
  <c r="G1887" i="2"/>
  <c r="H2863" i="2"/>
  <c r="H2865" i="2" s="1"/>
  <c r="H2216" i="2"/>
  <c r="H2218" i="2" s="1"/>
  <c r="H2566" i="2"/>
  <c r="H2568" i="2" s="1"/>
  <c r="H2751" i="2"/>
  <c r="H2753" i="2" s="1"/>
  <c r="H2513" i="2"/>
  <c r="H2515" i="2" s="1"/>
  <c r="H2659" i="2"/>
  <c r="H2661" i="2" s="1"/>
  <c r="F101" i="1"/>
  <c r="G101" i="1" s="1"/>
  <c r="H1751" i="2"/>
  <c r="H1753" i="2" s="1"/>
  <c r="H1354" i="2"/>
  <c r="H1356" i="2" s="1"/>
  <c r="H2169" i="2"/>
  <c r="H2171" i="2" s="1"/>
  <c r="H1306" i="2"/>
  <c r="H1308" i="2" s="1"/>
  <c r="H1403" i="2"/>
  <c r="H1405" i="2" s="1"/>
  <c r="F83" i="1" l="1"/>
  <c r="G83" i="1" s="1"/>
  <c r="F79" i="1"/>
  <c r="G79" i="1" s="1"/>
  <c r="F115" i="1"/>
  <c r="G115" i="1" s="1"/>
  <c r="F62" i="1"/>
  <c r="F114" i="1"/>
  <c r="G114" i="1" s="1"/>
  <c r="F111" i="1"/>
  <c r="F112" i="1"/>
  <c r="G112" i="1" s="1"/>
  <c r="F105" i="1"/>
  <c r="F86" i="1"/>
  <c r="F117" i="1"/>
  <c r="G117" i="1" s="1"/>
  <c r="F80" i="1"/>
  <c r="G80" i="1" s="1"/>
  <c r="F78" i="1"/>
  <c r="G78" i="1" s="1"/>
  <c r="H1893" i="2"/>
  <c r="H1892" i="2"/>
  <c r="H1894" i="2" l="1"/>
  <c r="H1902" i="2" s="1"/>
  <c r="G1907" i="2" s="1"/>
  <c r="G1906" i="2" l="1"/>
  <c r="G1908" i="2"/>
  <c r="E1250" i="2"/>
  <c r="G1250" i="2" s="1"/>
  <c r="D1249" i="2"/>
  <c r="E1249" i="2" s="1"/>
  <c r="G1249" i="2" s="1"/>
  <c r="D1248" i="2"/>
  <c r="E1248" i="2" s="1"/>
  <c r="G1248" i="2" s="1"/>
  <c r="G1242" i="2"/>
  <c r="G1241" i="2"/>
  <c r="G1240" i="2"/>
  <c r="G1239" i="2"/>
  <c r="G1238" i="2"/>
  <c r="G1237" i="2"/>
  <c r="G1236" i="2"/>
  <c r="G1235" i="2"/>
  <c r="G1234" i="2"/>
  <c r="G1230" i="2"/>
  <c r="G1229" i="2"/>
  <c r="G1228" i="2"/>
  <c r="G836" i="2"/>
  <c r="E779" i="2"/>
  <c r="G779" i="2" s="1"/>
  <c r="E733" i="2"/>
  <c r="G733" i="2" s="1"/>
  <c r="G1184" i="2"/>
  <c r="E1189" i="2"/>
  <c r="G1189" i="2" s="1"/>
  <c r="F1179" i="2"/>
  <c r="G1179" i="2" s="1"/>
  <c r="E1200" i="2"/>
  <c r="G1200" i="2" s="1"/>
  <c r="D1199" i="2"/>
  <c r="E1199" i="2" s="1"/>
  <c r="G1199" i="2" s="1"/>
  <c r="D1198" i="2"/>
  <c r="E1198" i="2" s="1"/>
  <c r="G1198" i="2" s="1"/>
  <c r="G1192" i="2"/>
  <c r="G1191" i="2"/>
  <c r="G1190" i="2"/>
  <c r="G1188" i="2"/>
  <c r="G1187" i="2"/>
  <c r="G1186" i="2"/>
  <c r="G1185" i="2"/>
  <c r="G1180" i="2"/>
  <c r="G1178" i="2"/>
  <c r="G1085" i="2"/>
  <c r="G1083" i="2"/>
  <c r="G1082" i="2"/>
  <c r="G1081" i="2"/>
  <c r="F1141" i="2"/>
  <c r="G1141" i="2" s="1"/>
  <c r="E1152" i="2"/>
  <c r="G1152" i="2" s="1"/>
  <c r="D1151" i="2"/>
  <c r="E1151" i="2" s="1"/>
  <c r="G1151" i="2" s="1"/>
  <c r="D1150" i="2"/>
  <c r="E1150" i="2" s="1"/>
  <c r="G1150" i="2" s="1"/>
  <c r="K1144" i="2"/>
  <c r="L1144" i="2" s="1"/>
  <c r="G1144" i="2"/>
  <c r="G1143" i="2"/>
  <c r="G1142" i="2"/>
  <c r="G1140" i="2"/>
  <c r="G1139" i="2"/>
  <c r="G1138" i="2"/>
  <c r="G1137" i="2"/>
  <c r="G1136" i="2"/>
  <c r="G1135" i="2"/>
  <c r="G1134" i="2"/>
  <c r="G1133" i="2"/>
  <c r="G1132" i="2"/>
  <c r="G1128" i="2"/>
  <c r="G1127" i="2"/>
  <c r="G1126" i="2"/>
  <c r="E1101" i="2"/>
  <c r="G1101" i="2" s="1"/>
  <c r="D1100" i="2"/>
  <c r="E1100" i="2" s="1"/>
  <c r="G1100" i="2" s="1"/>
  <c r="D1099" i="2"/>
  <c r="E1099" i="2" s="1"/>
  <c r="G1099" i="2" s="1"/>
  <c r="K1093" i="2"/>
  <c r="L1093" i="2" s="1"/>
  <c r="G1093" i="2"/>
  <c r="G1092" i="2"/>
  <c r="G1091" i="2"/>
  <c r="G1090" i="2"/>
  <c r="G1089" i="2"/>
  <c r="G1088" i="2"/>
  <c r="G1087" i="2"/>
  <c r="G1086" i="2"/>
  <c r="G1084" i="2"/>
  <c r="G1077" i="2"/>
  <c r="G1076" i="2"/>
  <c r="G1075" i="2"/>
  <c r="G1028" i="2"/>
  <c r="G1037" i="2"/>
  <c r="G1036" i="2"/>
  <c r="G1035" i="2"/>
  <c r="E1048" i="2"/>
  <c r="G1048" i="2" s="1"/>
  <c r="D1047" i="2"/>
  <c r="E1047" i="2" s="1"/>
  <c r="G1047" i="2" s="1"/>
  <c r="D1046" i="2"/>
  <c r="E1046" i="2" s="1"/>
  <c r="G1046" i="2" s="1"/>
  <c r="G1040" i="2"/>
  <c r="G1034" i="2"/>
  <c r="G1033" i="2"/>
  <c r="G1032" i="2"/>
  <c r="G1031" i="2"/>
  <c r="G1029" i="2"/>
  <c r="G1024" i="2"/>
  <c r="G1023" i="2"/>
  <c r="G1022" i="2"/>
  <c r="G981" i="2"/>
  <c r="G975" i="2"/>
  <c r="G974" i="2"/>
  <c r="E996" i="2"/>
  <c r="G996" i="2" s="1"/>
  <c r="D995" i="2"/>
  <c r="E995" i="2" s="1"/>
  <c r="G995" i="2" s="1"/>
  <c r="D994" i="2"/>
  <c r="E994" i="2" s="1"/>
  <c r="G994" i="2" s="1"/>
  <c r="G988" i="2"/>
  <c r="G987" i="2"/>
  <c r="G986" i="2"/>
  <c r="G985" i="2"/>
  <c r="G984" i="2"/>
  <c r="G983" i="2"/>
  <c r="G982" i="2"/>
  <c r="G980" i="2"/>
  <c r="G976" i="2"/>
  <c r="F934" i="2"/>
  <c r="G934" i="2" s="1"/>
  <c r="F933" i="2"/>
  <c r="G933" i="2" s="1"/>
  <c r="G932" i="2"/>
  <c r="F838" i="2"/>
  <c r="G838" i="2" s="1"/>
  <c r="F837" i="2"/>
  <c r="G837" i="2" s="1"/>
  <c r="E851" i="2"/>
  <c r="G851" i="2" s="1"/>
  <c r="D850" i="2"/>
  <c r="E850" i="2" s="1"/>
  <c r="G850" i="2" s="1"/>
  <c r="D849" i="2"/>
  <c r="E849" i="2" s="1"/>
  <c r="G849" i="2" s="1"/>
  <c r="G843" i="2"/>
  <c r="G842" i="2"/>
  <c r="G841" i="2"/>
  <c r="G840" i="2"/>
  <c r="G839" i="2"/>
  <c r="G832" i="2"/>
  <c r="G831" i="2"/>
  <c r="G830" i="2"/>
  <c r="E947" i="2"/>
  <c r="G947" i="2" s="1"/>
  <c r="D946" i="2"/>
  <c r="E946" i="2" s="1"/>
  <c r="G946" i="2" s="1"/>
  <c r="D945" i="2"/>
  <c r="E945" i="2" s="1"/>
  <c r="G945" i="2" s="1"/>
  <c r="G939" i="2"/>
  <c r="G938" i="2"/>
  <c r="G937" i="2"/>
  <c r="G936" i="2"/>
  <c r="G935" i="2"/>
  <c r="G928" i="2"/>
  <c r="G927" i="2"/>
  <c r="G926" i="2"/>
  <c r="E795" i="2"/>
  <c r="G795" i="2" s="1"/>
  <c r="D794" i="2"/>
  <c r="E794" i="2" s="1"/>
  <c r="G794" i="2" s="1"/>
  <c r="D793" i="2"/>
  <c r="E793" i="2" s="1"/>
  <c r="G793" i="2" s="1"/>
  <c r="G787" i="2"/>
  <c r="G786" i="2"/>
  <c r="G785" i="2"/>
  <c r="G784" i="2"/>
  <c r="G783" i="2"/>
  <c r="G782" i="2"/>
  <c r="G781" i="2"/>
  <c r="G780" i="2"/>
  <c r="G775" i="2"/>
  <c r="G774" i="2"/>
  <c r="G773" i="2"/>
  <c r="E749" i="2"/>
  <c r="G749" i="2" s="1"/>
  <c r="D748" i="2"/>
  <c r="E748" i="2" s="1"/>
  <c r="G748" i="2" s="1"/>
  <c r="D747" i="2"/>
  <c r="E747" i="2" s="1"/>
  <c r="G747" i="2" s="1"/>
  <c r="G741" i="2"/>
  <c r="G740" i="2"/>
  <c r="G739" i="2"/>
  <c r="G738" i="2"/>
  <c r="G737" i="2"/>
  <c r="G736" i="2"/>
  <c r="G735" i="2"/>
  <c r="G734" i="2"/>
  <c r="G729" i="2"/>
  <c r="G728" i="2"/>
  <c r="G727" i="2"/>
  <c r="G639" i="2"/>
  <c r="G641" i="2"/>
  <c r="G642" i="2"/>
  <c r="G638" i="2"/>
  <c r="F637" i="2"/>
  <c r="G636" i="2"/>
  <c r="F3239" i="2"/>
  <c r="G3239" i="2" s="1"/>
  <c r="E652" i="2"/>
  <c r="G652" i="2" s="1"/>
  <c r="D651" i="2"/>
  <c r="E651" i="2" s="1"/>
  <c r="G651" i="2" s="1"/>
  <c r="D650" i="2"/>
  <c r="E650" i="2" s="1"/>
  <c r="G650" i="2" s="1"/>
  <c r="G644" i="2"/>
  <c r="G643" i="2"/>
  <c r="G632" i="2"/>
  <c r="G631" i="2"/>
  <c r="G630" i="2"/>
  <c r="E460" i="2"/>
  <c r="G460" i="2" s="1"/>
  <c r="D459" i="2"/>
  <c r="E459" i="2" s="1"/>
  <c r="G459" i="2" s="1"/>
  <c r="D458" i="2"/>
  <c r="E458" i="2" s="1"/>
  <c r="G458" i="2" s="1"/>
  <c r="G452" i="2"/>
  <c r="G451" i="2"/>
  <c r="G450" i="2"/>
  <c r="G449" i="2"/>
  <c r="G448" i="2"/>
  <c r="G447" i="2"/>
  <c r="G446" i="2"/>
  <c r="G444" i="2"/>
  <c r="G440" i="2"/>
  <c r="G438" i="2"/>
  <c r="G437" i="2"/>
  <c r="H1909" i="2" l="1"/>
  <c r="H1911" i="2" s="1"/>
  <c r="H3247" i="2"/>
  <c r="H3248" i="2"/>
  <c r="G445" i="2"/>
  <c r="H454" i="2" s="1"/>
  <c r="F2986" i="2"/>
  <c r="G2986" i="2" s="1"/>
  <c r="H1243" i="2"/>
  <c r="H1244" i="2"/>
  <c r="H1251" i="2"/>
  <c r="G1227" i="2" s="1"/>
  <c r="H1231" i="2" s="1"/>
  <c r="H1194" i="2"/>
  <c r="H1201" i="2"/>
  <c r="G1177" i="2" s="1"/>
  <c r="H1181" i="2" s="1"/>
  <c r="H1193" i="2"/>
  <c r="H1153" i="2"/>
  <c r="G1125" i="2" s="1"/>
  <c r="H1129" i="2" s="1"/>
  <c r="H1145" i="2"/>
  <c r="H1146" i="2"/>
  <c r="H1095" i="2"/>
  <c r="H1094" i="2"/>
  <c r="H1102" i="2"/>
  <c r="H1049" i="2"/>
  <c r="G1021" i="2" s="1"/>
  <c r="H1025" i="2" s="1"/>
  <c r="H1042" i="2"/>
  <c r="H1041" i="2"/>
  <c r="H997" i="2"/>
  <c r="G973" i="2" s="1"/>
  <c r="H977" i="2" s="1"/>
  <c r="H990" i="2"/>
  <c r="H989" i="2"/>
  <c r="H852" i="2"/>
  <c r="G829" i="2" s="1"/>
  <c r="H833" i="2" s="1"/>
  <c r="H845" i="2"/>
  <c r="H844" i="2"/>
  <c r="H941" i="2"/>
  <c r="H948" i="2"/>
  <c r="H796" i="2"/>
  <c r="G772" i="2" s="1"/>
  <c r="H776" i="2" s="1"/>
  <c r="H940" i="2"/>
  <c r="H789" i="2"/>
  <c r="H788" i="2"/>
  <c r="H743" i="2"/>
  <c r="H750" i="2"/>
  <c r="H742" i="2"/>
  <c r="H653" i="2"/>
  <c r="G629" i="2" s="1"/>
  <c r="H633" i="2" s="1"/>
  <c r="G637" i="2"/>
  <c r="H461" i="2"/>
  <c r="G436" i="2" s="1"/>
  <c r="H441" i="2" s="1"/>
  <c r="F61" i="1" l="1"/>
  <c r="G61" i="1" s="1"/>
  <c r="H453" i="2"/>
  <c r="H455" i="2" s="1"/>
  <c r="H463" i="2" s="1"/>
  <c r="G469" i="2" s="1"/>
  <c r="H3249" i="2"/>
  <c r="H3257" i="2" s="1"/>
  <c r="H2995" i="2"/>
  <c r="H2994" i="2"/>
  <c r="H1245" i="2"/>
  <c r="H1253" i="2" s="1"/>
  <c r="G1257" i="2" s="1"/>
  <c r="H1195" i="2"/>
  <c r="H1203" i="2" s="1"/>
  <c r="G1209" i="2" s="1"/>
  <c r="H1147" i="2"/>
  <c r="H1155" i="2" s="1"/>
  <c r="G1074" i="2"/>
  <c r="H1078" i="2" s="1"/>
  <c r="H1096" i="2"/>
  <c r="H942" i="2"/>
  <c r="H1043" i="2"/>
  <c r="H1051" i="2" s="1"/>
  <c r="H991" i="2"/>
  <c r="H999" i="2" s="1"/>
  <c r="G1005" i="2" s="1"/>
  <c r="H846" i="2"/>
  <c r="H854" i="2" s="1"/>
  <c r="G925" i="2"/>
  <c r="H929" i="2" s="1"/>
  <c r="H790" i="2"/>
  <c r="H798" i="2" s="1"/>
  <c r="H744" i="2"/>
  <c r="G726" i="2"/>
  <c r="H730" i="2" s="1"/>
  <c r="G3262" i="2" l="1"/>
  <c r="G3263" i="2"/>
  <c r="G3261" i="2"/>
  <c r="H2996" i="2"/>
  <c r="H3004" i="2" s="1"/>
  <c r="G1258" i="2"/>
  <c r="G1259" i="2"/>
  <c r="G1208" i="2"/>
  <c r="G1207" i="2"/>
  <c r="H1104" i="2"/>
  <c r="G1110" i="2" s="1"/>
  <c r="G1160" i="2"/>
  <c r="G1161" i="2"/>
  <c r="G1159" i="2"/>
  <c r="H950" i="2"/>
  <c r="G956" i="2" s="1"/>
  <c r="G1057" i="2"/>
  <c r="G1056" i="2"/>
  <c r="G1055" i="2"/>
  <c r="G1003" i="2"/>
  <c r="G1004" i="2"/>
  <c r="G860" i="2"/>
  <c r="G859" i="2"/>
  <c r="G858" i="2"/>
  <c r="G804" i="2"/>
  <c r="G803" i="2"/>
  <c r="G802" i="2"/>
  <c r="H752" i="2"/>
  <c r="G758" i="2" s="1"/>
  <c r="G467" i="2"/>
  <c r="G468" i="2"/>
  <c r="H3264" i="2" l="1"/>
  <c r="H3266" i="2" s="1"/>
  <c r="G3010" i="2"/>
  <c r="G3008" i="2"/>
  <c r="G3009" i="2"/>
  <c r="H1260" i="2"/>
  <c r="H1262" i="2" s="1"/>
  <c r="H1210" i="2"/>
  <c r="H1212" i="2" s="1"/>
  <c r="G1108" i="2"/>
  <c r="H1162" i="2"/>
  <c r="H1164" i="2" s="1"/>
  <c r="G1109" i="2"/>
  <c r="G954" i="2"/>
  <c r="G955" i="2"/>
  <c r="H1058" i="2"/>
  <c r="H1060" i="2" s="1"/>
  <c r="H1006" i="2"/>
  <c r="H1008" i="2" s="1"/>
  <c r="H861" i="2"/>
  <c r="H863" i="2" s="1"/>
  <c r="H805" i="2"/>
  <c r="H807" i="2" s="1"/>
  <c r="G757" i="2"/>
  <c r="G756" i="2"/>
  <c r="H470" i="2"/>
  <c r="H472" i="2" s="1"/>
  <c r="F48" i="1" l="1"/>
  <c r="F39" i="1"/>
  <c r="F45" i="1"/>
  <c r="F28" i="1"/>
  <c r="F49" i="1"/>
  <c r="F74" i="1"/>
  <c r="G74" i="1" s="1"/>
  <c r="F38" i="1"/>
  <c r="F41" i="1" s="1"/>
  <c r="F42" i="1"/>
  <c r="F118" i="1"/>
  <c r="H3011" i="2"/>
  <c r="H3013" i="2" s="1"/>
  <c r="H957" i="2"/>
  <c r="H959" i="2" s="1"/>
  <c r="H1111" i="2"/>
  <c r="H1113" i="2" s="1"/>
  <c r="H759" i="2"/>
  <c r="H761" i="2" s="1"/>
  <c r="F64" i="1" l="1"/>
  <c r="G42" i="1"/>
  <c r="F68" i="1"/>
  <c r="G39" i="1"/>
  <c r="F67" i="1"/>
  <c r="G38" i="1"/>
  <c r="F40" i="1"/>
  <c r="F119" i="1"/>
  <c r="F47" i="1"/>
  <c r="F37" i="1"/>
  <c r="G689" i="2"/>
  <c r="H695" i="2" s="1"/>
  <c r="H697" i="2" s="1"/>
  <c r="H705" i="2" s="1"/>
  <c r="F69" i="1" l="1"/>
  <c r="G40" i="1"/>
  <c r="F70" i="1"/>
  <c r="F66" i="1"/>
  <c r="G37" i="1"/>
  <c r="G711" i="2"/>
  <c r="G710" i="2"/>
  <c r="G709" i="2"/>
  <c r="E411" i="2"/>
  <c r="G411" i="2" s="1"/>
  <c r="D410" i="2"/>
  <c r="E410" i="2" s="1"/>
  <c r="G410" i="2" s="1"/>
  <c r="D409" i="2"/>
  <c r="E409" i="2" s="1"/>
  <c r="G409" i="2" s="1"/>
  <c r="G403" i="2"/>
  <c r="G402" i="2"/>
  <c r="G401" i="2"/>
  <c r="G400" i="2"/>
  <c r="G399" i="2"/>
  <c r="G398" i="2"/>
  <c r="G397" i="2"/>
  <c r="G396" i="2"/>
  <c r="G391" i="2"/>
  <c r="G390" i="2"/>
  <c r="G389" i="2"/>
  <c r="F71" i="1" l="1"/>
  <c r="G41" i="1"/>
  <c r="G3291" i="2"/>
  <c r="H3296" i="2" s="1"/>
  <c r="G3342" i="2"/>
  <c r="H712" i="2"/>
  <c r="H714" i="2" s="1"/>
  <c r="G640" i="2"/>
  <c r="H646" i="2" s="1"/>
  <c r="H412" i="2"/>
  <c r="G388" i="2" s="1"/>
  <c r="H392" i="2" s="1"/>
  <c r="H405" i="2"/>
  <c r="H404" i="2"/>
  <c r="H3297" i="2" l="1"/>
  <c r="H3298" i="2" s="1"/>
  <c r="H3306" i="2" s="1"/>
  <c r="H3348" i="2"/>
  <c r="H3347" i="2"/>
  <c r="H645" i="2"/>
  <c r="H647" i="2" s="1"/>
  <c r="H655" i="2" s="1"/>
  <c r="H406" i="2"/>
  <c r="H414" i="2" s="1"/>
  <c r="H3349" i="2" l="1"/>
  <c r="H3357" i="2" s="1"/>
  <c r="G3312" i="2"/>
  <c r="G3311" i="2"/>
  <c r="G3310" i="2"/>
  <c r="G661" i="2"/>
  <c r="G659" i="2"/>
  <c r="G660" i="2"/>
  <c r="G420" i="2"/>
  <c r="G419" i="2"/>
  <c r="G418" i="2"/>
  <c r="G3363" i="2" l="1"/>
  <c r="G3362" i="2"/>
  <c r="G3361" i="2"/>
  <c r="H3313" i="2"/>
  <c r="H3315" i="2" s="1"/>
  <c r="H662" i="2"/>
  <c r="H664" i="2" s="1"/>
  <c r="H421" i="2"/>
  <c r="H423" i="2" s="1"/>
  <c r="F27" i="1" l="1"/>
  <c r="F29" i="1"/>
  <c r="F113" i="1"/>
  <c r="G113" i="1" s="1"/>
  <c r="H3364" i="2"/>
  <c r="H3366" i="2" s="1"/>
  <c r="G349" i="2"/>
  <c r="G348" i="2"/>
  <c r="N347" i="2"/>
  <c r="P347" i="2" s="1"/>
  <c r="Q347" i="2" s="1"/>
  <c r="Q348" i="2" s="1"/>
  <c r="Q349" i="2" s="1"/>
  <c r="E363" i="2"/>
  <c r="G363" i="2" s="1"/>
  <c r="D362" i="2"/>
  <c r="E362" i="2" s="1"/>
  <c r="G362" i="2" s="1"/>
  <c r="D361" i="2"/>
  <c r="E361" i="2" s="1"/>
  <c r="G361" i="2" s="1"/>
  <c r="G355" i="2"/>
  <c r="G354" i="2"/>
  <c r="G353" i="2"/>
  <c r="G352" i="2"/>
  <c r="G351" i="2"/>
  <c r="G350" i="2"/>
  <c r="G347" i="2"/>
  <c r="G343" i="2"/>
  <c r="G342" i="2"/>
  <c r="G341" i="2"/>
  <c r="E316" i="2"/>
  <c r="G316" i="2" s="1"/>
  <c r="D315" i="2"/>
  <c r="E315" i="2" s="1"/>
  <c r="G315" i="2" s="1"/>
  <c r="D314" i="2"/>
  <c r="E314" i="2" s="1"/>
  <c r="G314" i="2" s="1"/>
  <c r="G308" i="2"/>
  <c r="G307" i="2"/>
  <c r="G306" i="2"/>
  <c r="G305" i="2"/>
  <c r="G304" i="2"/>
  <c r="G303" i="2"/>
  <c r="G302" i="2"/>
  <c r="G301" i="2"/>
  <c r="G300" i="2"/>
  <c r="G296" i="2"/>
  <c r="G295" i="2"/>
  <c r="G294" i="2"/>
  <c r="E268" i="2"/>
  <c r="G268" i="2" s="1"/>
  <c r="D267" i="2"/>
  <c r="E267" i="2" s="1"/>
  <c r="G267" i="2" s="1"/>
  <c r="D266" i="2"/>
  <c r="E266" i="2" s="1"/>
  <c r="G266" i="2" s="1"/>
  <c r="G260" i="2"/>
  <c r="G259" i="2"/>
  <c r="G258" i="2"/>
  <c r="G257" i="2"/>
  <c r="G256" i="2"/>
  <c r="G255" i="2"/>
  <c r="G254" i="2"/>
  <c r="G253" i="2"/>
  <c r="G252" i="2"/>
  <c r="G248" i="2"/>
  <c r="G247" i="2"/>
  <c r="G246" i="2"/>
  <c r="E220" i="2"/>
  <c r="G220" i="2" s="1"/>
  <c r="D219" i="2"/>
  <c r="E219" i="2" s="1"/>
  <c r="G219" i="2" s="1"/>
  <c r="D218" i="2"/>
  <c r="E218" i="2" s="1"/>
  <c r="G218" i="2" s="1"/>
  <c r="G212" i="2"/>
  <c r="G211" i="2"/>
  <c r="G210" i="2"/>
  <c r="G209" i="2"/>
  <c r="G208" i="2"/>
  <c r="G207" i="2"/>
  <c r="G206" i="2"/>
  <c r="G205" i="2"/>
  <c r="G204" i="2"/>
  <c r="G200" i="2"/>
  <c r="G199" i="2"/>
  <c r="G197" i="2"/>
  <c r="G152" i="2"/>
  <c r="G153" i="2"/>
  <c r="E173" i="2"/>
  <c r="G173" i="2" s="1"/>
  <c r="D172" i="2"/>
  <c r="E172" i="2" s="1"/>
  <c r="G172" i="2" s="1"/>
  <c r="D171" i="2"/>
  <c r="E171" i="2" s="1"/>
  <c r="G171" i="2" s="1"/>
  <c r="G165" i="2"/>
  <c r="G2440" i="2" s="1"/>
  <c r="G164" i="2"/>
  <c r="G163" i="2"/>
  <c r="G162" i="2"/>
  <c r="G161" i="2"/>
  <c r="G160" i="2"/>
  <c r="G159" i="2"/>
  <c r="G158" i="2"/>
  <c r="G157" i="2"/>
  <c r="G151" i="2"/>
  <c r="O71" i="2"/>
  <c r="P71" i="2" s="1"/>
  <c r="E125" i="2"/>
  <c r="G125" i="2" s="1"/>
  <c r="D124" i="2"/>
  <c r="E124" i="2" s="1"/>
  <c r="G124" i="2" s="1"/>
  <c r="D123" i="2"/>
  <c r="E123" i="2" s="1"/>
  <c r="G123" i="2" s="1"/>
  <c r="G117" i="2"/>
  <c r="G116" i="2"/>
  <c r="F115" i="2"/>
  <c r="G115" i="2" s="1"/>
  <c r="G114" i="2"/>
  <c r="G113" i="2"/>
  <c r="G112" i="2"/>
  <c r="G111" i="2"/>
  <c r="G110" i="2"/>
  <c r="G109" i="2"/>
  <c r="G105" i="2"/>
  <c r="G104" i="2"/>
  <c r="G103" i="2"/>
  <c r="F70" i="2"/>
  <c r="F69" i="2"/>
  <c r="F66" i="2"/>
  <c r="F65" i="2"/>
  <c r="H2449" i="2" l="1"/>
  <c r="H2448" i="2"/>
  <c r="F30" i="1"/>
  <c r="G29" i="1"/>
  <c r="F97" i="1"/>
  <c r="G97" i="1" s="1"/>
  <c r="F53" i="1"/>
  <c r="H310" i="2"/>
  <c r="H356" i="2"/>
  <c r="H357" i="2"/>
  <c r="H364" i="2"/>
  <c r="H317" i="2"/>
  <c r="G293" i="2" s="1"/>
  <c r="H309" i="2"/>
  <c r="H262" i="2"/>
  <c r="H269" i="2"/>
  <c r="H261" i="2"/>
  <c r="H213" i="2"/>
  <c r="H221" i="2"/>
  <c r="H214" i="2"/>
  <c r="H167" i="2"/>
  <c r="H174" i="2"/>
  <c r="H166" i="2"/>
  <c r="H126" i="2"/>
  <c r="G102" i="2" s="1"/>
  <c r="H106" i="2" s="1"/>
  <c r="H119" i="2"/>
  <c r="H118" i="2"/>
  <c r="H2450" i="2" l="1"/>
  <c r="H2458" i="2" s="1"/>
  <c r="F96" i="1"/>
  <c r="G96" i="1" s="1"/>
  <c r="G30" i="1"/>
  <c r="H311" i="2"/>
  <c r="H358" i="2"/>
  <c r="G340" i="2"/>
  <c r="H344" i="2" s="1"/>
  <c r="H297" i="2"/>
  <c r="H263" i="2"/>
  <c r="G245" i="2"/>
  <c r="H249" i="2" s="1"/>
  <c r="H215" i="2"/>
  <c r="G196" i="2"/>
  <c r="H201" i="2" s="1"/>
  <c r="H168" i="2"/>
  <c r="G149" i="2"/>
  <c r="H154" i="2" s="1"/>
  <c r="H120" i="2"/>
  <c r="H128" i="2" s="1"/>
  <c r="G2463" i="2" l="1"/>
  <c r="G2462" i="2"/>
  <c r="G2464" i="2"/>
  <c r="H319" i="2"/>
  <c r="G325" i="2" s="1"/>
  <c r="H366" i="2"/>
  <c r="G372" i="2" s="1"/>
  <c r="H271" i="2"/>
  <c r="G276" i="2" s="1"/>
  <c r="H223" i="2"/>
  <c r="G229" i="2" s="1"/>
  <c r="H176" i="2"/>
  <c r="G182" i="2" s="1"/>
  <c r="G134" i="2"/>
  <c r="G133" i="2"/>
  <c r="G132" i="2"/>
  <c r="H2465" i="2" l="1"/>
  <c r="H2467" i="2" s="1"/>
  <c r="F92" i="1" s="1"/>
  <c r="G92" i="1" s="1"/>
  <c r="G323" i="2"/>
  <c r="G324" i="2"/>
  <c r="G370" i="2"/>
  <c r="G371" i="2"/>
  <c r="G277" i="2"/>
  <c r="G275" i="2"/>
  <c r="G227" i="2"/>
  <c r="G228" i="2"/>
  <c r="G181" i="2"/>
  <c r="G180" i="2"/>
  <c r="H135" i="2"/>
  <c r="H137" i="2" s="1"/>
  <c r="F17" i="1" l="1"/>
  <c r="H326" i="2"/>
  <c r="H328" i="2" s="1"/>
  <c r="H278" i="2"/>
  <c r="H280" i="2" s="1"/>
  <c r="H373" i="2"/>
  <c r="H375" i="2" s="1"/>
  <c r="H230" i="2"/>
  <c r="H232" i="2" s="1"/>
  <c r="H183" i="2"/>
  <c r="H185" i="2" s="1"/>
  <c r="F18" i="1" l="1"/>
  <c r="F19" i="1"/>
  <c r="F26" i="1"/>
  <c r="G26" i="1" s="1"/>
  <c r="F20" i="1"/>
  <c r="F24" i="1"/>
  <c r="E80" i="2"/>
  <c r="G80" i="2" s="1"/>
  <c r="D79" i="2"/>
  <c r="E79" i="2" s="1"/>
  <c r="G79" i="2" s="1"/>
  <c r="D78" i="2"/>
  <c r="E78" i="2" s="1"/>
  <c r="G78" i="2" s="1"/>
  <c r="G72" i="2"/>
  <c r="G71" i="2"/>
  <c r="G70" i="2"/>
  <c r="G69" i="2"/>
  <c r="G68" i="2"/>
  <c r="G67" i="2"/>
  <c r="G66" i="2"/>
  <c r="G65" i="2"/>
  <c r="G64" i="2"/>
  <c r="G60" i="2"/>
  <c r="G59" i="2"/>
  <c r="G58" i="2"/>
  <c r="E35" i="2"/>
  <c r="G35" i="2" s="1"/>
  <c r="D34" i="2"/>
  <c r="E34" i="2" s="1"/>
  <c r="G34" i="2" s="1"/>
  <c r="D33" i="2"/>
  <c r="E33" i="2" s="1"/>
  <c r="G33" i="2" s="1"/>
  <c r="G27" i="2"/>
  <c r="G26" i="2"/>
  <c r="G25" i="2"/>
  <c r="G24" i="2"/>
  <c r="G23" i="2"/>
  <c r="G22" i="2"/>
  <c r="G21" i="2"/>
  <c r="G20" i="2"/>
  <c r="G19" i="2"/>
  <c r="G15" i="2"/>
  <c r="G14" i="2"/>
  <c r="G13" i="2"/>
  <c r="F59" i="1" l="1"/>
  <c r="G24" i="1"/>
  <c r="H81" i="2"/>
  <c r="G57" i="2" s="1"/>
  <c r="H61" i="2" s="1"/>
  <c r="H36" i="2"/>
  <c r="G12" i="2" s="1"/>
  <c r="H16" i="2" s="1"/>
  <c r="H74" i="2"/>
  <c r="H73" i="2"/>
  <c r="H29" i="2"/>
  <c r="H28" i="2"/>
  <c r="H30" i="2" l="1"/>
  <c r="H38" i="2" s="1"/>
  <c r="G44" i="2" s="1"/>
  <c r="H75" i="2"/>
  <c r="H83" i="2" s="1"/>
  <c r="G42" i="2" l="1"/>
  <c r="G43" i="2"/>
  <c r="G89" i="2"/>
  <c r="G88" i="2"/>
  <c r="G87" i="2"/>
  <c r="H90" i="2" l="1"/>
  <c r="H92" i="2" s="1"/>
  <c r="H45" i="2"/>
  <c r="H47" i="2" s="1"/>
  <c r="F16" i="1" l="1"/>
  <c r="G126" i="1"/>
  <c r="G125" i="1"/>
  <c r="G121" i="1"/>
  <c r="G119" i="1"/>
  <c r="G120" i="1"/>
  <c r="I118" i="1" l="1"/>
  <c r="I115" i="1"/>
  <c r="G94" i="1"/>
  <c r="G102" i="1"/>
  <c r="G105" i="1"/>
  <c r="G106" i="1"/>
  <c r="G108" i="1"/>
  <c r="G111" i="1"/>
  <c r="G116" i="1"/>
  <c r="G118" i="1"/>
  <c r="G86" i="1"/>
  <c r="G76" i="1"/>
  <c r="G64" i="1"/>
  <c r="G75" i="1"/>
  <c r="G55" i="1" l="1"/>
  <c r="G62" i="1"/>
  <c r="G71" i="1"/>
  <c r="G70" i="1"/>
  <c r="G69" i="1"/>
  <c r="G68" i="1"/>
  <c r="G67" i="1"/>
  <c r="G66" i="1"/>
  <c r="E59" i="1"/>
  <c r="G59" i="1" s="1"/>
  <c r="G53" i="1"/>
  <c r="G51" i="1"/>
  <c r="G48" i="1"/>
  <c r="G49" i="1"/>
  <c r="G47" i="1"/>
  <c r="G45" i="1"/>
  <c r="G34" i="1"/>
  <c r="G35" i="1"/>
  <c r="G32" i="1"/>
  <c r="G27" i="1"/>
  <c r="G28" i="1"/>
  <c r="G18" i="1"/>
  <c r="G19" i="1"/>
  <c r="G20" i="1"/>
  <c r="G17" i="1"/>
  <c r="G16" i="1"/>
  <c r="G128" i="1" l="1"/>
  <c r="G131" i="1" l="1"/>
  <c r="G130" i="1"/>
  <c r="G129" i="1"/>
  <c r="G132" i="1" l="1"/>
</calcChain>
</file>

<file path=xl/sharedStrings.xml><?xml version="1.0" encoding="utf-8"?>
<sst xmlns="http://schemas.openxmlformats.org/spreadsheetml/2006/main" count="4157" uniqueCount="492">
  <si>
    <t>DESCRIPCION</t>
  </si>
  <si>
    <t>Und</t>
  </si>
  <si>
    <t>Vr. Unit</t>
  </si>
  <si>
    <t>A</t>
  </si>
  <si>
    <t>ZONA ADMINISTRATIVA P.01</t>
  </si>
  <si>
    <t>A1</t>
  </si>
  <si>
    <t>PRELIMINARES</t>
  </si>
  <si>
    <t>M2</t>
  </si>
  <si>
    <t>GL</t>
  </si>
  <si>
    <t>ML</t>
  </si>
  <si>
    <t>UN</t>
  </si>
  <si>
    <t>ESTRUCTURAS EN CONCRETO Y MADERA</t>
  </si>
  <si>
    <t>ENCHAPE  Y PISO</t>
  </si>
  <si>
    <t>INSTALACIONES HIDROSANITARIAS</t>
  </si>
  <si>
    <t xml:space="preserve">SUMINISTRO E INSTALACION APARATOS </t>
  </si>
  <si>
    <t>SISTEMA DE AGUAS LLUVIAS EN CUBIERTAS</t>
  </si>
  <si>
    <t xml:space="preserve">Suministro e instalación de bajante para agua lluvia en tuberia PVC P 3"o similar,  incluye accesorios para su optimo funcionamiento, </t>
  </si>
  <si>
    <t>PLAN DE MANEJO AMBIENTAL</t>
  </si>
  <si>
    <t>UND</t>
  </si>
  <si>
    <t>B</t>
  </si>
  <si>
    <t>KIOSCO BATERIA DE BAÑO</t>
  </si>
  <si>
    <t>Limpieza y desinfección de pozo barreno , incluye remoción del material adherido o moho y sedimentos y  tratamiento con quimicos y disposicion final y ambiental del residuo.</t>
  </si>
  <si>
    <t>Rejillas para sifones de piso de 2" platicas</t>
  </si>
  <si>
    <t>Construccion de espejo en tabla de madera 1"x10" pino inmunizado y pintado con esmalte (aleros de cubierta)</t>
  </si>
  <si>
    <t>Mtto de columnas en madera tipo sandwich, en liston madera 2x8, incluye platina en hierro 1/8", pernos y accesorios de fijacion, acabado en pintura barniz marino</t>
  </si>
  <si>
    <t>Mantenimiento sistema aguas negras</t>
  </si>
  <si>
    <t xml:space="preserve">Limpieza   y   desinfeccion   de   sistema   disposicion   aguas negras </t>
  </si>
  <si>
    <t>Suministro e instalacion de canal amazonas,incluye soportes de fijacion, tabla 1x12 acabado color blanco, tornilleria.</t>
  </si>
  <si>
    <t xml:space="preserve"> (TAQUILLA - PTO INFORMACION - ENFERMERIA )</t>
  </si>
  <si>
    <t>AREAS EXTERIORES</t>
  </si>
  <si>
    <t>SISTEMA DE AGUAS NEGRAS</t>
  </si>
  <si>
    <t>CARPINTERIA EN MADERA</t>
  </si>
  <si>
    <t>Acabado pintura exterior, tipo coraza sobre muros, (2 manos)</t>
  </si>
  <si>
    <t>Acabado pintura interior muros, tipo 1 color blanco (3 manos)</t>
  </si>
  <si>
    <t>Acabado pintura exterior para piso deck en madera, barnis de alta resistecia para exterior. Tintilla color miel. (incluye lijado)</t>
  </si>
  <si>
    <t>Acabado pintura barnis de alta resistencia, para columnas tipo sandwich en madera.(incluye lijado)</t>
  </si>
  <si>
    <t>Acabado pintura para cubierta en madera, barnis de alta resistencia para exterior. Tintilla color miel. (incluye lijado)</t>
  </si>
  <si>
    <t>Acabado en pintura en vinilo tipo 1 colores, exterior e interior para cercha y persianas en madera.</t>
  </si>
  <si>
    <t>ACABADO EN PINTURA</t>
  </si>
  <si>
    <t>SISTEMA DE FOTOVOLTAICO</t>
  </si>
  <si>
    <t>Gl</t>
  </si>
  <si>
    <t>CARPINTERIA EN ALUMINIO</t>
  </si>
  <si>
    <t>ORNAMENTACION</t>
  </si>
  <si>
    <t>Suministro y aplicación de merulex o similar en madera de cubierta</t>
  </si>
  <si>
    <t>Disposicion final de grasas, incluye desactivacion, por medio de cal viva, excavacion manual, para disposicion de desactivacion de grasas</t>
  </si>
  <si>
    <t>Vr. Final</t>
  </si>
  <si>
    <t>Item
No.</t>
  </si>
  <si>
    <t>Retiro o desmonte deck en madera en mal estado (escalas y rampa), incluye retiro del parque de material sobrante</t>
  </si>
  <si>
    <t>Suministro y aplicación de merulex IFS - Sika. En area de cubierta</t>
  </si>
  <si>
    <t xml:space="preserve">CUBIERTA </t>
  </si>
  <si>
    <t>Acabado en pintura exterior, tipo koraza sobre muros.</t>
  </si>
  <si>
    <t>Acabado en pintura y lijado de area exterior con barniz de alta resistencia para piso deck en madera,incluye area de rampa, contra huella de escalones.</t>
  </si>
  <si>
    <t>Acabado en pintura y lijado exterior para columnas tipo sandwich en madera,
vinilo tipo 1 - colores por definir</t>
  </si>
  <si>
    <t>Acabado en pintura y lijado exterior para cubierta en madera, barnis de alta
resistencia</t>
  </si>
  <si>
    <t>Acabado en pintura en vinilo colores exterior e interior para cercha en
madera.</t>
  </si>
  <si>
    <t>Suministro, instalacion llaves cierre rapido para area de lavamanos</t>
  </si>
  <si>
    <t>Suministro e instalacion de biscochos (tapa sanitario) para sanitario, incluye retiro de la existente y disposicion final fuera del parque</t>
  </si>
  <si>
    <t>INSTALACIONES ELECTRICAS</t>
  </si>
  <si>
    <t>CARPINTERIA DE MADERA</t>
  </si>
  <si>
    <t>Suministro e instalacion de pasadores metalicos, para puertas divisorias areas de sanitarios, incluye retiro de las existentes</t>
  </si>
  <si>
    <t>Acabado en pintura interior muros, tipo 1 color blanco, incluye una mano de pintura impermeable</t>
  </si>
  <si>
    <t>Suministro e instalacion de barras de seguridad tipo metalica 
Dim: 0,60ml, incluye tornilleria de fijacion</t>
  </si>
  <si>
    <t>AVISOS, MOBILIARIO Y ORNAMENTACION</t>
  </si>
  <si>
    <t>Suministro, instalacion y cambio de griferia tipo ducha,incluye llaves de paso</t>
  </si>
  <si>
    <t>Mantenimiento de caseta de bomba de agua incluye, pintura exterior en coraza (area: 6,30m2), limpieza de reja (retiro de oxido), acabado en pintura 3 en 1 color negro (0,90x1,62).</t>
  </si>
  <si>
    <t xml:space="preserve">Construccion de cubierta para kiosco informativo, incluye desmonte de cubierta existente e instalacion de cubierta en trimplex marino Area prom:8,90m2 </t>
  </si>
  <si>
    <t>S  U  B  D  I  R  E  C  C  C  I  O  N     D  E     M  A  R  E  S     Y     C  O  S  T  A  S</t>
  </si>
  <si>
    <t xml:space="preserve">P     R     E     S     U     P     U     E     S     T     O           O     F     I     C     I     A     L    </t>
  </si>
  <si>
    <t>MANTENIMIENTO INFRAESTRUCTURAS PARQUE REGIONAL JOHNNY CAY</t>
  </si>
  <si>
    <t>Mantenimiento de aviso informativo tipo 2, incluye lijado y pintura en barnis exterior de alta resistencia y tintilla color miel. Cambio de marco en madera teka 2x4, con dimensiones 0,80 x 1,35m, incluye pisa vidrio en 1"x1", instalacion de tornilleria 3/8"  (Cant: 6und) tuercas con arandela en acero inoxidable.</t>
  </si>
  <si>
    <t>ASEO Y LIMPIEZA</t>
  </si>
  <si>
    <t>VIAJES</t>
  </si>
  <si>
    <t xml:space="preserve">COSTO DIRECTO </t>
  </si>
  <si>
    <t>VALOR COSTO DIRECTO</t>
  </si>
  <si>
    <t xml:space="preserve">VALOR TOTAL PRESUPUESTO </t>
  </si>
  <si>
    <t>I.  3%</t>
  </si>
  <si>
    <t>U.  5%</t>
  </si>
  <si>
    <t>A. 22%</t>
  </si>
  <si>
    <t>B1</t>
  </si>
  <si>
    <t>ANALISIS DE PRECIOS UNITARIOS</t>
  </si>
  <si>
    <t>FECHA: Abril 2023</t>
  </si>
  <si>
    <t>UNIDAD: ML</t>
  </si>
  <si>
    <t>EQUIPO</t>
  </si>
  <si>
    <t>TIPO</t>
  </si>
  <si>
    <t>CAPAC.</t>
  </si>
  <si>
    <t>TARIFA/HORA</t>
  </si>
  <si>
    <t>REND. HOR</t>
  </si>
  <si>
    <t>VR/PARCIAL</t>
  </si>
  <si>
    <t>HERRAMIENTA MENOR 5%M.O</t>
  </si>
  <si>
    <t>TRANSPORTE</t>
  </si>
  <si>
    <t>SUBTOTAL</t>
  </si>
  <si>
    <t>2. MATERIALES</t>
  </si>
  <si>
    <t>UNIDAD</t>
  </si>
  <si>
    <t>DESP.%</t>
  </si>
  <si>
    <t>CANTIDAD</t>
  </si>
  <si>
    <t xml:space="preserve">VR. UNITARIO </t>
  </si>
  <si>
    <t>VR. PARCIAL</t>
  </si>
  <si>
    <t>TUBERIA 4"</t>
  </si>
  <si>
    <t>UNION 4"</t>
  </si>
  <si>
    <t>CODO 4"</t>
  </si>
  <si>
    <t>LIMPIADOR</t>
  </si>
  <si>
    <t>PEGANTE PVC 1/4</t>
  </si>
  <si>
    <t>SUBTOTAL COSTO MATERIAL</t>
  </si>
  <si>
    <t>DESPERDICIO 5%</t>
  </si>
  <si>
    <t>TOTAL COSTO MATERIAL</t>
  </si>
  <si>
    <t>3. MANO DE OBRA</t>
  </si>
  <si>
    <t>JORNAL</t>
  </si>
  <si>
    <t>PRESTACIONES</t>
  </si>
  <si>
    <t>T. JORNAL</t>
  </si>
  <si>
    <t>RENDIMIENTO</t>
  </si>
  <si>
    <t>OFICIAL</t>
  </si>
  <si>
    <t xml:space="preserve">AYUDANTE </t>
  </si>
  <si>
    <t>SUBTOTAL MANO DE OBRA</t>
  </si>
  <si>
    <t>TOTAL COSTO DIRECTO</t>
  </si>
  <si>
    <t>COSTOS INDIRECTOS</t>
  </si>
  <si>
    <t>%</t>
  </si>
  <si>
    <t>VR.PARCIAL</t>
  </si>
  <si>
    <t>A.I.U.30%</t>
  </si>
  <si>
    <t>SUBTOTAL COSTOS INDIRECTOS</t>
  </si>
  <si>
    <t>VALOR PRECIO UNITARIO</t>
  </si>
  <si>
    <t>UNIDAD: GL</t>
  </si>
  <si>
    <t>Elementos de seguridad</t>
  </si>
  <si>
    <t xml:space="preserve">Jabon liquido </t>
  </si>
  <si>
    <t xml:space="preserve">Gln </t>
  </si>
  <si>
    <t xml:space="preserve">gln </t>
  </si>
  <si>
    <t>Cloro granulado</t>
  </si>
  <si>
    <r>
      <t xml:space="preserve">ITEM: </t>
    </r>
    <r>
      <rPr>
        <b/>
        <sz val="10"/>
        <color rgb="FF00B0F0"/>
        <rFont val="Arial"/>
        <family val="2"/>
      </rPr>
      <t>Limpieza,incluye retiro y reinstalacion de tuberia sanitaria de 4" y 2" PVC,  espina  de  pescado  para  filtro  de  aguas  residuales, incluye  la  excavacion  de  sanja, retiro de tuberia, reinstalacion  de  cama  en gravilla, forrada en polisombra doble, recubrimiento de tuberia con material de sitio.</t>
    </r>
  </si>
  <si>
    <t>YEE DOBLE 4X2</t>
  </si>
  <si>
    <t>GRAVILLA</t>
  </si>
  <si>
    <t>BULTOS</t>
  </si>
  <si>
    <t>UNIDAD: GLB</t>
  </si>
  <si>
    <t>TUBERIA 2"</t>
  </si>
  <si>
    <t>POLISOMBRE</t>
  </si>
  <si>
    <t>Mantenimiento y limpieza de trampa de grasas, incluye la utilizacion de desengrasante, desinfeccion de paredes y fondo, pintura en marco y contramarco con pintura epoxica. (incluye bomba sumergible, planta y extencion electrica y accesorios necesarios)</t>
  </si>
  <si>
    <r>
      <t xml:space="preserve">ITEM: </t>
    </r>
    <r>
      <rPr>
        <b/>
        <sz val="10"/>
        <color rgb="FF00B0F0"/>
        <rFont val="Arial"/>
        <family val="2"/>
      </rPr>
      <t>Mantenimiento y limpieza de trampa de grasas, incluye la utilizacion de desengrasante, desinfeccion de paredes y fondo, pintura en marco y contramarco con pintura epoxica. (incluye bomba sumergible, planta y extencion electrica y accesorios necesarios)</t>
    </r>
  </si>
  <si>
    <t>Desinfectante</t>
  </si>
  <si>
    <t xml:space="preserve">Desengrasante </t>
  </si>
  <si>
    <t>Pintura Anticorrosiva</t>
  </si>
  <si>
    <t xml:space="preserve">Lijas </t>
  </si>
  <si>
    <t>Brochas</t>
  </si>
  <si>
    <t>GLN</t>
  </si>
  <si>
    <t>Thiner</t>
  </si>
  <si>
    <t xml:space="preserve">Planta eléctrica </t>
  </si>
  <si>
    <t xml:space="preserve">Bomba sumergible </t>
  </si>
  <si>
    <t>Mantenimiento y limpieza de registros de inspeccion, incluye la utilizacion de desengrasante, desinfeccion de paredes y fondo, . (incluye bomba sumergible, planta y extencion electrica)</t>
  </si>
  <si>
    <r>
      <t xml:space="preserve">ITEM: </t>
    </r>
    <r>
      <rPr>
        <b/>
        <sz val="10"/>
        <color rgb="FF00B0F0"/>
        <rFont val="Arial"/>
        <family val="2"/>
      </rPr>
      <t>Mantenimiento y limpieza de registros de inspeccion, incluye la utilizacion de desengrasante, desinfeccion de paredes y fondo, . (incluye bomba sumergible, planta y extencion electrica)</t>
    </r>
  </si>
  <si>
    <r>
      <t xml:space="preserve">ITEM: </t>
    </r>
    <r>
      <rPr>
        <b/>
        <sz val="10"/>
        <color rgb="FF00B0F0"/>
        <rFont val="Arial"/>
        <family val="2"/>
      </rPr>
      <t>Disposicion final de grasas, incluye desactivacion, por medio de cal viva, excavacion manual, para disposicion de desactivacion de grasas</t>
    </r>
  </si>
  <si>
    <t>CAL</t>
  </si>
  <si>
    <t>BULTO</t>
  </si>
  <si>
    <t>SACOS</t>
  </si>
  <si>
    <r>
      <t xml:space="preserve">ITEM: </t>
    </r>
    <r>
      <rPr>
        <b/>
        <sz val="10"/>
        <color rgb="FF00B0F0"/>
        <rFont val="Arial"/>
        <family val="2"/>
      </rPr>
      <t xml:space="preserve"> Mtto de barra de atención de a=0,40mts zona de taquilla y pto de informacion  en madera abarco 2X8 inmunizada con merulex ISF - Sika, acabado barnis marino o similar tres manos, . Incluye pulida madera, sellador lijable.</t>
    </r>
  </si>
  <si>
    <t>2*10*20</t>
  </si>
  <si>
    <t>2*8*20</t>
  </si>
  <si>
    <t>MERULEX I.F.S. TRANSPARENTE (3 KILOS)</t>
  </si>
  <si>
    <t>KILO</t>
  </si>
  <si>
    <t xml:space="preserve">Barniz Poro Abierto para Madera Base Agua Interior/Exterior Incolo Crea 2,5L </t>
  </si>
  <si>
    <t>Sellador Lijable 40% Para Acondicionar La Madera 1 Galón</t>
  </si>
  <si>
    <r>
      <t xml:space="preserve">ITEM: </t>
    </r>
    <r>
      <rPr>
        <b/>
        <sz val="10"/>
        <color rgb="FF00B0F0"/>
        <rFont val="Arial"/>
        <family val="2"/>
      </rPr>
      <t xml:space="preserve"> Mtto de columnas en madera tipo sandwich, en liston madera 2x8, incluye platina en hierro 1/8", pernos y accesorios de fijacion, acabado en pintura barniz marino</t>
    </r>
  </si>
  <si>
    <t>GLB</t>
  </si>
  <si>
    <t>Pernos y accesorios de fijacion</t>
  </si>
  <si>
    <t>UNIDAD: M2</t>
  </si>
  <si>
    <t>ANDAMIOS</t>
  </si>
  <si>
    <t>LISTON 2X6</t>
  </si>
  <si>
    <t>KIT CAPELOTE (X10) ECOROOF TORNILLO #12</t>
  </si>
  <si>
    <t>PUNTILLAS</t>
  </si>
  <si>
    <t>LBS</t>
  </si>
  <si>
    <t xml:space="preserve">CABALLETE </t>
  </si>
  <si>
    <t>LISTON 2X4</t>
  </si>
  <si>
    <t>TELA ASFALTICA</t>
  </si>
  <si>
    <t>CEMENTO MARINO</t>
  </si>
  <si>
    <t>CÑTE</t>
  </si>
  <si>
    <r>
      <t>ITEM:</t>
    </r>
    <r>
      <rPr>
        <b/>
        <sz val="9"/>
        <color rgb="FF2D00D0"/>
        <rFont val="Arial"/>
        <family val="2"/>
      </rPr>
      <t xml:space="preserve"> Suministro e instalacion de cubierta en lamina ecorrof, incluye triplex marino 15mm, incluye tornilleria</t>
    </r>
  </si>
  <si>
    <t>EXCAVACION</t>
  </si>
  <si>
    <t>TORNILLO GALVANIZADO DE 3 1/2</t>
  </si>
  <si>
    <t>BARNIS DE ALTA RESISTENCIA</t>
  </si>
  <si>
    <t>LB</t>
  </si>
  <si>
    <t>MADERA PINO INMUNIZADA 2X8</t>
  </si>
  <si>
    <t>MADERA PINO INMUNIZADA 2X6</t>
  </si>
  <si>
    <r>
      <t xml:space="preserve">ITEM:  </t>
    </r>
    <r>
      <rPr>
        <b/>
        <sz val="11"/>
        <color rgb="FF0000FF"/>
        <rFont val="Arial"/>
        <family val="2"/>
      </rPr>
      <t xml:space="preserve">Construccion de Rampa acceso a bodega-kiosco administracion} en listones de pino inmunizado de 2x4 y 2x6,  liston 2x6 y 2x4 en pino inmunizado, tornilleria, barniz marino. </t>
    </r>
  </si>
  <si>
    <t>MADERA PINO INMUNIZADA 2X4</t>
  </si>
  <si>
    <t>CANAL AMAZONAS</t>
  </si>
  <si>
    <t>UNION CANAL AMAZONAS</t>
  </si>
  <si>
    <t>UNION CANAL A BAJANTE</t>
  </si>
  <si>
    <t>SOPORTES CANAL</t>
  </si>
  <si>
    <t>CODOS 45° BAJANTE AMAZONAS</t>
  </si>
  <si>
    <t>CODOS 90° BAJANTE AMAZONAS</t>
  </si>
  <si>
    <t>HIDROSELLO AMAZONAS</t>
  </si>
  <si>
    <t>UNION BAJANTE AMAZONAS</t>
  </si>
  <si>
    <t>SOPORTE BAJANTES AMAZONAS</t>
  </si>
  <si>
    <t>BAJANTE AMAZONA</t>
  </si>
  <si>
    <t>TAPA EXTERIOR DERECHA/ IZQUIERDA</t>
  </si>
  <si>
    <t>TORNILLERIA PARA SOPORTES</t>
  </si>
  <si>
    <t>A.I.U.%</t>
  </si>
  <si>
    <t>MADERA PINO 1X12X12 TRATADA</t>
  </si>
  <si>
    <r>
      <t xml:space="preserve">ITEM: </t>
    </r>
    <r>
      <rPr>
        <b/>
        <sz val="9"/>
        <color rgb="FF00B0F0"/>
        <rFont val="Arial"/>
        <family val="2"/>
      </rPr>
      <t>Acabado pintura exterior, tipo coraza sobre muros, (2 manos)</t>
    </r>
  </si>
  <si>
    <t>PINTURA KORAZA</t>
  </si>
  <si>
    <t>BROCHAS</t>
  </si>
  <si>
    <t>LIJAS</t>
  </si>
  <si>
    <r>
      <t xml:space="preserve">ITEM: </t>
    </r>
    <r>
      <rPr>
        <b/>
        <sz val="9"/>
        <color rgb="FF00B0F0"/>
        <rFont val="Arial"/>
        <family val="2"/>
      </rPr>
      <t>Acabado pintura interior muros, tipo 1 color blanco (3 manos)</t>
    </r>
  </si>
  <si>
    <t>PINTURA BARNIZ ALTA RESISTENCIA TRANSPARENTE MATE</t>
  </si>
  <si>
    <t>BROCHA</t>
  </si>
  <si>
    <t>LIJA</t>
  </si>
  <si>
    <t>Sellador Catalizado 1 Galón</t>
  </si>
  <si>
    <t>TINTE COLOR</t>
  </si>
  <si>
    <t>CTO</t>
  </si>
  <si>
    <t>A.I.U%</t>
  </si>
  <si>
    <t>KG</t>
  </si>
  <si>
    <t>Válvula bola PVC 1"</t>
  </si>
  <si>
    <t>Accesorios PVC (codos, tees, uniones)</t>
  </si>
  <si>
    <t>Pegante + limpiador PVC</t>
  </si>
  <si>
    <t>Cinta teflón</t>
  </si>
  <si>
    <t>Malla electrosoldada</t>
  </si>
  <si>
    <t>M3</t>
  </si>
  <si>
    <t>TUBO PRESION 1/2 X 6 MTS</t>
  </si>
  <si>
    <t>VALVULA Y FLOTADOR</t>
  </si>
  <si>
    <t>UNIDAD: UND</t>
  </si>
  <si>
    <r>
      <t>ITEM:</t>
    </r>
    <r>
      <rPr>
        <b/>
        <sz val="10"/>
        <color indexed="12"/>
        <rFont val="Arial"/>
        <family val="2"/>
      </rPr>
      <t xml:space="preserve"> Suministro e instalación de canal tipo amazonas o similar, incluye accesorios para su optimo funcionamiento, </t>
    </r>
  </si>
  <si>
    <t>RELLENO</t>
  </si>
  <si>
    <t>THINER</t>
  </si>
  <si>
    <r>
      <t xml:space="preserve">ITEM: </t>
    </r>
    <r>
      <rPr>
        <b/>
        <sz val="10"/>
        <color rgb="FF00B0F0"/>
        <rFont val="Arial"/>
        <family val="2"/>
      </rPr>
      <t>Limpieza y desinfección de pozo barreno , incluye remoción del material adherido o moho y sedimentos y  tratamiento con quimicos y disposicion final y ambiental del residuo.</t>
    </r>
  </si>
  <si>
    <t>MANGUERAS DE LAVAMANOS</t>
  </si>
  <si>
    <t>TRANSPORTE AEREO</t>
  </si>
  <si>
    <t>Grifería Lavamanos Monocontrol Dublin Media Cromo Corona</t>
  </si>
  <si>
    <t>Sifón Metalizado Flexible 68Cm
Código 204027</t>
  </si>
  <si>
    <r>
      <t xml:space="preserve">ITEM: </t>
    </r>
    <r>
      <rPr>
        <b/>
        <sz val="9"/>
        <color rgb="FF00B0F0"/>
        <rFont val="Arial"/>
        <family val="2"/>
      </rPr>
      <t>Suministro e instalacion de barras de seguridad tipo metalica Dim: 0,60ml, incluye tornilleria de fijacion</t>
    </r>
  </si>
  <si>
    <t>Barra de Seguridad Lisa Satinada Acero Plateada 60cm
Código 3071128</t>
  </si>
  <si>
    <t>Tornilleria de fijacion</t>
  </si>
  <si>
    <r>
      <t xml:space="preserve">ITEM: </t>
    </r>
    <r>
      <rPr>
        <b/>
        <sz val="9"/>
        <color rgb="FF00B0F0"/>
        <rFont val="Arial"/>
        <family val="2"/>
      </rPr>
      <t>Suministro, instalacion llaves cierre rapido para area de lavamanos</t>
    </r>
  </si>
  <si>
    <t>VALVULA C/RAPIDO 1/2</t>
  </si>
  <si>
    <t>ADAPT MACHO PRESION 1/2</t>
  </si>
  <si>
    <t>TEFLON</t>
  </si>
  <si>
    <t>Grifería institucional orinal tipo push tradicional corona
Código 167083</t>
  </si>
  <si>
    <t>CORTADORA DE BALDOSA</t>
  </si>
  <si>
    <t>PEGACOR</t>
  </si>
  <si>
    <t>BLINDA BOQUILLA</t>
  </si>
  <si>
    <t>DISCO DE CORTE DE BALDOSA</t>
  </si>
  <si>
    <t>TORNILLERIA DE FIJACION</t>
  </si>
  <si>
    <r>
      <t xml:space="preserve">ITEM: </t>
    </r>
    <r>
      <rPr>
        <b/>
        <sz val="9"/>
        <color rgb="FF00B0F0"/>
        <rFont val="Arial"/>
        <family val="2"/>
      </rPr>
      <t>Rejillas para sifones de piso de 2" platicas</t>
    </r>
  </si>
  <si>
    <t>REJILLA PLASTICA</t>
  </si>
  <si>
    <t>Dispensador De Papel Higiénico Acero Inoxidable Diámetro De 27 Cm</t>
  </si>
  <si>
    <t>Dispensador De Toallas De Papel En Z Acero Inoxidable De 28x29 Cm</t>
  </si>
  <si>
    <t>Dispensador de Jabón Líquido Automático Plástico Blanco 700 ml de 16x10 cm</t>
  </si>
  <si>
    <t>Tapa Registro 15 X 15 Cm Corriente Plástica</t>
  </si>
  <si>
    <t>Caneca Plástica 20 Litros Café con Pedal Y Base Fija para Mayor Estabilidad Rimax</t>
  </si>
  <si>
    <t>PLASTICO NEGRO</t>
  </si>
  <si>
    <t>ESCOBA</t>
  </si>
  <si>
    <t>CINTA PREVENTIVA</t>
  </si>
  <si>
    <t>ROLLO</t>
  </si>
  <si>
    <t>AVISO PREVENTIVO</t>
  </si>
  <si>
    <t>ACERO 3/8"</t>
  </si>
  <si>
    <t>ALAMBRE</t>
  </si>
  <si>
    <t>LEVANTE EN BLOQUES E=0,15</t>
  </si>
  <si>
    <t>PAÑETE</t>
  </si>
  <si>
    <t>PAÑETE FILOS</t>
  </si>
  <si>
    <r>
      <t xml:space="preserve">ITEM: </t>
    </r>
    <r>
      <rPr>
        <b/>
        <sz val="9"/>
        <color rgb="FF00B0F0"/>
        <rFont val="Arial"/>
        <family val="2"/>
      </rPr>
      <t xml:space="preserve">Suministro, instalacion y cambio de griferia para sanitarios tipo push </t>
    </r>
  </si>
  <si>
    <t>Grifería tanque atlas neutro 26 cm</t>
  </si>
  <si>
    <t>TUBERIA PVC Ø1/2</t>
  </si>
  <si>
    <t>LAVATRAPERO PLASTICO</t>
  </si>
  <si>
    <t>Martillo elec</t>
  </si>
  <si>
    <t>Dia</t>
  </si>
  <si>
    <t>A.I.U. %</t>
  </si>
  <si>
    <r>
      <t xml:space="preserve">ITEM: </t>
    </r>
    <r>
      <rPr>
        <b/>
        <sz val="10"/>
        <color indexed="12"/>
        <rFont val="Arial"/>
        <family val="2"/>
      </rPr>
      <t>Suministro e instalacion de pasadores metalicos, para puertas divisorias areas de sanitarios, incluye retiro de las existentes</t>
    </r>
  </si>
  <si>
    <t>PASADORES METALICOS</t>
  </si>
  <si>
    <t>TORNILLOS</t>
  </si>
  <si>
    <t>ACCESORIOS DE INSTALACION</t>
  </si>
  <si>
    <r>
      <t xml:space="preserve">ITEM: </t>
    </r>
    <r>
      <rPr>
        <b/>
        <sz val="10"/>
        <color rgb="FF00B0F0"/>
        <rFont val="Arial"/>
        <family val="2"/>
      </rPr>
      <t xml:space="preserve"> Construccion de espejo en tabla de madera 1"x10" pino inmunizado y pintado con esmalte (aleros de cubierta)</t>
    </r>
  </si>
  <si>
    <t xml:space="preserve"> MADERA PINO 1X10X10 TRATADA</t>
  </si>
  <si>
    <t>Esmalte color</t>
  </si>
  <si>
    <t>tornillos de fijacion</t>
  </si>
  <si>
    <r>
      <t xml:space="preserve">ITEM: </t>
    </r>
    <r>
      <rPr>
        <b/>
        <sz val="10"/>
        <color rgb="FF00B0F0"/>
        <rFont val="Arial"/>
        <family val="2"/>
      </rPr>
      <t xml:space="preserve"> Decoración de muros en madera MAHAME SAPOTE, incluye pintura barniz marino tintilla color</t>
    </r>
  </si>
  <si>
    <t xml:space="preserve"> MAHAME SAPOTE</t>
  </si>
  <si>
    <t>BARNIZ</t>
  </si>
  <si>
    <t>Asiento Active RD BL Caida Lenta Redondo Blanco</t>
  </si>
  <si>
    <t>ENCHAPE PISO PARED ISLANDIA AS TAUPE22X90</t>
  </si>
  <si>
    <r>
      <t xml:space="preserve">ITEM: Suministro e </t>
    </r>
    <r>
      <rPr>
        <b/>
        <sz val="9"/>
        <color rgb="FF0070C0"/>
        <rFont val="Arial"/>
        <family val="2"/>
      </rPr>
      <t xml:space="preserve">Instalacion de enchape sobre muros en ceramica ref.ENCHAPE PISO PARED ISLANDIA AS TAUPE22X90 corona area de lavamanos , sobre nivel de meson,  incluye pegacord o similar, enboquillada. </t>
    </r>
  </si>
  <si>
    <t>Platina en  LAMINA ALFAJOR 1/8 1X3 MTS</t>
  </si>
  <si>
    <t>Pintura exterior coraza</t>
  </si>
  <si>
    <t>Pintura 3 en 1 negra</t>
  </si>
  <si>
    <t>ACCESORIOS DE AJUSTE</t>
  </si>
  <si>
    <t>Grifería Ducha Monocontrol Cascade Titanio Corona</t>
  </si>
  <si>
    <t>Suministro e instalacion de tapa  Pozo de agua entrada tipo sobreponer,  con estructura y alma en perfil de 3x1 1/2, estilo entamborado y marco perimetral estilo escuadra de 2, Color del aluiminio acabado madera, incluye marco y contramarco, bisagras, manilla y porta candado, candado. Dim: 0,90m x 0,90m</t>
  </si>
  <si>
    <t>LT</t>
  </si>
  <si>
    <t>Amarres y elementos de fijación</t>
  </si>
  <si>
    <t>Madera teka 2”x4”</t>
  </si>
  <si>
    <t>Pisa vidrio madera 1”x1”</t>
  </si>
  <si>
    <t>Barniz exterior alta resistencia</t>
  </si>
  <si>
    <t>Tintilla color miel</t>
  </si>
  <si>
    <t>Lijas madera No. 120 y 220</t>
  </si>
  <si>
    <t>Tornillo 3/8” inox, Tuerca inoxidable 3/8”, Arandela inoxidable 3/8”</t>
  </si>
  <si>
    <t>JGO</t>
  </si>
  <si>
    <t>Thinner / diluyente</t>
  </si>
  <si>
    <t>Tablex marino o fondo en triplex 9 mm</t>
  </si>
  <si>
    <t>Teja Shingle color</t>
  </si>
  <si>
    <t>SUPERBOARD No. 10</t>
  </si>
  <si>
    <t>ACABADO EN ESTUCO Y PINTURA</t>
  </si>
  <si>
    <t>FORMALETA</t>
  </si>
  <si>
    <t>ZARANDA ARENA 6X6 0.90 X 1 MT</t>
  </si>
  <si>
    <r>
      <t xml:space="preserve">ITEM: </t>
    </r>
    <r>
      <rPr>
        <b/>
        <sz val="9"/>
        <color rgb="FF0070C0"/>
        <rFont val="Arial"/>
        <family val="2"/>
      </rPr>
      <t>Construccion de jardineras en concreto de 3500 psi, ancho 0,60x0,60mt,  altura 0,40mts, espesor 0,05mts, incluye refuerzo en malla zaranda,  Formaleteria,  instalacion, incluye proteccion con sikatransparente</t>
    </r>
  </si>
  <si>
    <t>PINTURA VINILO COLOR</t>
  </si>
  <si>
    <t>MADERA PINO INMUNIZADA 4X4</t>
  </si>
  <si>
    <t xml:space="preserve"> Construccion de lavatrapero ancho 0,60mt x 0,45 mt en bloque No.10; Incluye pañete impermeabilizado,  suministro e instalacion de lavatrapero plastico C/ Vacula, con sus repectivos accesorios de instalacion </t>
  </si>
  <si>
    <r>
      <t xml:space="preserve">ITEM:  </t>
    </r>
    <r>
      <rPr>
        <b/>
        <sz val="11"/>
        <color rgb="FF0000FF"/>
        <rFont val="Arial"/>
        <family val="2"/>
      </rPr>
      <t>Suministro y siembra de planta tipo veranera, incluye maseta plastica dim: h: 0,65m y tierra negra (5bultos)</t>
    </r>
  </si>
  <si>
    <t>UNIDAD:UND</t>
  </si>
  <si>
    <t>Planta tipo veranera ornamental</t>
  </si>
  <si>
    <t>Tierra negra abonada</t>
  </si>
  <si>
    <t>Abono orgánico y acondicionador</t>
  </si>
  <si>
    <t>Agua y elementos menores de siembra</t>
  </si>
  <si>
    <t>Bulto</t>
  </si>
  <si>
    <t>Kg</t>
  </si>
  <si>
    <t>Palmera tipo Abanico</t>
  </si>
  <si>
    <r>
      <t xml:space="preserve">ITEM:  </t>
    </r>
    <r>
      <rPr>
        <b/>
        <sz val="11"/>
        <color rgb="FF0000FF"/>
        <rFont val="Arial"/>
        <family val="2"/>
      </rPr>
      <t xml:space="preserve">Suministro de tierra de abono, incluye plantacion de palmera tipo abanico, riego periodico. Garantizando la vida dela planta </t>
    </r>
  </si>
  <si>
    <r>
      <t xml:space="preserve">ITEM: Suministro e </t>
    </r>
    <r>
      <rPr>
        <b/>
        <sz val="9"/>
        <color rgb="FF0070C0"/>
        <rFont val="Arial"/>
        <family val="2"/>
      </rPr>
      <t xml:space="preserve">Instalacion de enchape sobre muros en ceramica ref.enchape atlanta marfil 8170 corona area de lava pies interior,  incluye pegacord o similar, enboquillada. </t>
    </r>
  </si>
  <si>
    <t>ENCHAPE PISO PARED ATLANTA MARFIL 8170 - ,31 x ,61</t>
  </si>
  <si>
    <t>PUSH METAL</t>
  </si>
  <si>
    <t>Desmonte y reinstalacion de lavamanos de empotrar existente incluye  griferia para lavamanos tipo grival ref. PM422 - push desague metal ref. 93538</t>
  </si>
  <si>
    <r>
      <t xml:space="preserve">ITEM: </t>
    </r>
    <r>
      <rPr>
        <b/>
        <sz val="9"/>
        <color rgb="FF00B0F0"/>
        <rFont val="Arial"/>
        <family val="2"/>
      </rPr>
      <t>Desmonte y reinstalacion de lavamanos de empotrar existente incluye  griferia para lavamanos tipo grival ref. PM422 - push desague metal ref. 93538</t>
    </r>
  </si>
  <si>
    <r>
      <t xml:space="preserve">ITEM: </t>
    </r>
    <r>
      <rPr>
        <b/>
        <sz val="9"/>
        <color rgb="FF00B0F0"/>
        <rFont val="Arial"/>
        <family val="2"/>
      </rPr>
      <t>Suministro e instalacion de biscochos (tapa sanitario) para sanitario, incluye retiro del existente y disposicion final fuera del parque</t>
    </r>
  </si>
  <si>
    <r>
      <t xml:space="preserve">ITEM: </t>
    </r>
    <r>
      <rPr>
        <b/>
        <sz val="10"/>
        <color indexed="40"/>
        <rFont val="Arial"/>
        <family val="2"/>
      </rPr>
      <t>Suministro e instalacion de lampara tipo reflector con panel solar led IP65 120W CCT Ecolite . (interior baños)</t>
    </r>
  </si>
  <si>
    <t>Lampara tipo reflector con panel solar led IP65 120W CCT Ecolite</t>
  </si>
  <si>
    <t>Suministro e instalacion de lampara tipo reflector con panel solar led IP65 120W CCT Ecolite   (interior baños)</t>
  </si>
  <si>
    <t>Construccion de Rampa acceso a baños en listones de pino inmunizado de 2x4 y 2x6, incluye  liston 2x6 y 2x4 en pino inmunizado, tornilleria, barniz marino. Area prom: 7,91M2</t>
  </si>
  <si>
    <t xml:space="preserve">Suministro e Instalacion de enchape sobre muros en ceramica ref.Encahpe piso pared islandia as taupe Dim: 0,22 x 0,90 corona area de lavamanos , sobre nivel de meson y hall de acceso (area de lavamanos)  incluye pegacord o similar, enboquillada. </t>
  </si>
  <si>
    <t>ESPEJOS 0,60X 0,90M</t>
  </si>
  <si>
    <t>Suministro e instalacion de espejo con borde en aluminio plateado tipo arco ref, 033511, con dimensiones 0,60 x 0,90mt, incluye accesorios de fijacion</t>
  </si>
  <si>
    <t>Mantenimiento de colector de agua bajo deck, en area de duchas lavapies, (frente a kiosco administrativo)incluye retiro de material granular, lijado y pintura barnis marino semi mate</t>
  </si>
  <si>
    <t>Aseo y limpieza, incluye retiro de material sobrante del parque y disposicion final, certificado (Transporte maritimo y terrestre)</t>
  </si>
  <si>
    <t>FECHA: MAYO 2026</t>
  </si>
  <si>
    <t>TRANSPORTE MARITIMO</t>
  </si>
  <si>
    <t>TRANSPORTE TERRESTRE</t>
  </si>
  <si>
    <t>Valla informativa en lona con dimensiones: 1,50m x 1,00m; marco y estructura soporte en madera en listones 2x2 ; (Diseño entregado por la Corporacion)</t>
  </si>
  <si>
    <t>,</t>
  </si>
  <si>
    <t>PINTURA VINILO</t>
  </si>
  <si>
    <t xml:space="preserve">BARNIZ Poro Abierto para Madera Base Agua Interior/Exterior Incolo Crea 2,5L </t>
  </si>
  <si>
    <t>SELLADOR LIJABLE 40% Para Acondicionar La Madera 1 Galón</t>
  </si>
  <si>
    <t>PLATINA DE HIERRO Ø1/8"</t>
  </si>
  <si>
    <t>PERNOS Y ACCESORIOS DE FIJACION</t>
  </si>
  <si>
    <t>MERULEX I.F.S. TRANSPARENTE 
(3 KG)</t>
  </si>
  <si>
    <t>SELLADOR IJABLE 40% 
Para Acondicionar la Madera 1 GL</t>
  </si>
  <si>
    <t>TEJA ECOROOF 
107X590 UPVC 2.5MM BLANCA</t>
  </si>
  <si>
    <t>POLISOMBRA</t>
  </si>
  <si>
    <t>BARNIZ DE ALTA RESISTENCIA</t>
  </si>
  <si>
    <r>
      <t xml:space="preserve">ITEM: </t>
    </r>
    <r>
      <rPr>
        <b/>
        <sz val="10"/>
        <color rgb="FF0070C0"/>
        <rFont val="Arial"/>
        <family val="2"/>
      </rPr>
      <t>Suministro y aplicación de merulex o similar en madera de cubierta</t>
    </r>
  </si>
  <si>
    <r>
      <t>ITEM:</t>
    </r>
    <r>
      <rPr>
        <b/>
        <sz val="10"/>
        <color indexed="12"/>
        <rFont val="Arial"/>
        <family val="2"/>
      </rPr>
      <t xml:space="preserve"> Suministro e instalación de bajante para agua lluvia en tuberia PVC P 3"o similar,  incluye accesorios para su optimo funcionamiento</t>
    </r>
  </si>
  <si>
    <t>Suministro e instalacion de incrustaciones en acero inoxidble tipo industrial, incluye dispensador de papel en acero inoxidable 400ml (2und),dispensador de toallas de papel en acero inoxidable (2und), jaboneras en acero inoxidable(2und), canecas de basura para baño cant (2un)</t>
  </si>
  <si>
    <r>
      <t xml:space="preserve">ITEM: </t>
    </r>
    <r>
      <rPr>
        <b/>
        <sz val="10"/>
        <color indexed="12"/>
        <rFont val="Arial"/>
        <family val="2"/>
      </rPr>
      <t>Demolición de enchape de muros, incluye reacomodacion en sitio (Supervision)</t>
    </r>
  </si>
  <si>
    <t>ACCESORIOS (Tornilleria)</t>
  </si>
  <si>
    <t>MERULEX I.F.S. TRANSPARENTE
 (3 KILOS)</t>
  </si>
  <si>
    <t>THINNER</t>
  </si>
  <si>
    <t xml:space="preserve">BARNIZ PORO Abierto para Madera Base Agua Interior/Exterior Incolo Crea 2,5L </t>
  </si>
  <si>
    <r>
      <t xml:space="preserve">ITEM: </t>
    </r>
    <r>
      <rPr>
        <b/>
        <sz val="10"/>
        <color rgb="FF0070C0"/>
        <rFont val="Arial"/>
        <family val="2"/>
      </rPr>
      <t>Suministro e instalación de colector para aguas lluvias, en  tuberia de 4 " PVC S, incluye excavación, relleno y conexión a tanque de agua</t>
    </r>
  </si>
  <si>
    <t>Suministro e instalación de colector para aguas lluvias, en  tuberia de 4 " PVC S, incluye excavación, relleno y conexión a tanque de agua.</t>
  </si>
  <si>
    <t xml:space="preserve">TRIPLEX PINO 5/8 </t>
  </si>
  <si>
    <t>ANDAMIOS + TABLON</t>
  </si>
  <si>
    <t>ANDAMIOS +TABLON</t>
  </si>
  <si>
    <t>Demolición de enchape de muros, incluye reacomodacion en sitio (Donde indique la supervision)</t>
  </si>
  <si>
    <r>
      <t xml:space="preserve">ITEM: </t>
    </r>
    <r>
      <rPr>
        <b/>
        <sz val="9"/>
        <color rgb="FF00B0F0"/>
        <rFont val="Arial"/>
        <family val="2"/>
      </rPr>
      <t>Suministro e instalacion de espejo con borde en aluminio plateado tipo arco ref, 033511, con dimensiones 0,60 x 0,90mt, incluye accesorios de fijacion</t>
    </r>
  </si>
  <si>
    <r>
      <t xml:space="preserve">ITEM:  </t>
    </r>
    <r>
      <rPr>
        <b/>
        <sz val="9"/>
        <color indexed="12"/>
        <rFont val="Arial"/>
        <family val="2"/>
      </rPr>
      <t>Construccion de placa sobre area de lavapies en concreto de 3000psi, incluye lamina de board 20mm de fondo y vaceado de plantilla con espesor de 15cm, acero de 3/8"" @ 0,15 cm en ambos sentidos,  acabado final en enchape piso pared Atlanta Marfil 8170 dim:  0,31 x 0,61, incluye pegacor y blindaboquilla. (Dim : 0,45 x 3,50m / area de intervemcion)</t>
    </r>
  </si>
  <si>
    <t>Construccion de placa sobre area de lavapies en concreto de 3000psi, incluye lamina de board 20mm de fondo y vaceado de plantilla con espesor de 15cm, acero de 3/8"" @ 0,15 cm en ambos sentidos,  acabado final en enchape piso pared Atlanta Marfil 8170 dim:  0,31 x 0,61, incluye pegacor y blindaboquilla. (Dim : 0,45 x 3,50m / area de intervemcion)</t>
  </si>
  <si>
    <t>Triplex 5/8"</t>
  </si>
  <si>
    <t>Madera pino inmunizado 2”x4”</t>
  </si>
  <si>
    <t>CONCRETO DE 4000 PSI</t>
  </si>
  <si>
    <t>CONCRETO 4000 PSI</t>
  </si>
  <si>
    <t>CONCRETO 4000PSI</t>
  </si>
  <si>
    <t>Tapa  Pozo de agua entrada tipo sobreponer,  con estructura y alma en perfil de 3x1 1/2, estilo entamborado y marco perimetral estilo escuadra de 2, Color del aluiminio acabado madera, incluye marco y contramarco, bisagras, manilla y porta candado, candado. Dim: 0,90m x 0,90m</t>
  </si>
  <si>
    <r>
      <t xml:space="preserve">ENCHAPE GRAL </t>
    </r>
    <r>
      <rPr>
        <sz val="7"/>
        <rFont val="Arial"/>
        <family val="2"/>
      </rPr>
      <t>(REF. ATLANTA MARFIL)</t>
    </r>
  </si>
  <si>
    <t>UNIDAD: M3</t>
  </si>
  <si>
    <t xml:space="preserve">MEZCLADORA </t>
  </si>
  <si>
    <t>CEMENTO</t>
  </si>
  <si>
    <t>48000+7000</t>
  </si>
  <si>
    <t>ARENA</t>
  </si>
  <si>
    <t>570000+80000</t>
  </si>
  <si>
    <t>1M3</t>
  </si>
  <si>
    <t>50 SACOS</t>
  </si>
  <si>
    <t>530000+80000</t>
  </si>
  <si>
    <t>AGUA</t>
  </si>
  <si>
    <t xml:space="preserve">MATERIALY TRANSPORTE </t>
  </si>
  <si>
    <t>18000+5000</t>
  </si>
  <si>
    <r>
      <t>ITEM:</t>
    </r>
    <r>
      <rPr>
        <b/>
        <sz val="10"/>
        <color indexed="12"/>
        <rFont val="Arial"/>
        <family val="2"/>
      </rPr>
      <t xml:space="preserve">  MORTERO 1:4 </t>
    </r>
  </si>
  <si>
    <t>MEZCLADORA</t>
  </si>
  <si>
    <t>ARENA AMARILLA</t>
  </si>
  <si>
    <t>560000+85000</t>
  </si>
  <si>
    <t>CEMENTO GRIS</t>
  </si>
  <si>
    <t>SACO</t>
  </si>
  <si>
    <r>
      <t xml:space="preserve">ITEM:  </t>
    </r>
    <r>
      <rPr>
        <b/>
        <sz val="9"/>
        <color indexed="12"/>
        <rFont val="Arial"/>
        <family val="2"/>
      </rPr>
      <t>Construccion de levante en bloque No. 15, incluye mortero de Pega 1:4</t>
    </r>
  </si>
  <si>
    <t>BLOQUE N,15</t>
  </si>
  <si>
    <t>6000+1000</t>
  </si>
  <si>
    <t>MORTERO 1:4</t>
  </si>
  <si>
    <r>
      <t xml:space="preserve">ITEM:  </t>
    </r>
    <r>
      <rPr>
        <b/>
        <sz val="10"/>
        <color indexed="12"/>
        <rFont val="Arial"/>
        <family val="2"/>
      </rPr>
      <t xml:space="preserve">Pañete de muros en mortero </t>
    </r>
  </si>
  <si>
    <t xml:space="preserve">MORTERO 1:4 </t>
  </si>
  <si>
    <t xml:space="preserve">MADERA </t>
  </si>
  <si>
    <t>ANDAMIO TABLON</t>
  </si>
  <si>
    <t>TRASPORTE MARITIMO</t>
  </si>
  <si>
    <t>ANDAMIO + TABLON</t>
  </si>
  <si>
    <t>MATERIAL + TRANSPORTE</t>
  </si>
  <si>
    <r>
      <rPr>
        <b/>
        <sz val="9"/>
        <color rgb="FF0070C0"/>
        <rFont val="Arial"/>
        <family val="2"/>
      </rPr>
      <t>NOTA:</t>
    </r>
    <r>
      <rPr>
        <sz val="9"/>
        <color rgb="FF0070C0"/>
        <rFont val="Arial"/>
        <family val="2"/>
      </rPr>
      <t xml:space="preserve"> 1M3 EQUIVALE A 50 SACOS, Y 0,67M3 EQUIVALEN A 33,50 SACOS</t>
    </r>
  </si>
  <si>
    <r>
      <rPr>
        <b/>
        <sz val="9"/>
        <color rgb="FF0070C0"/>
        <rFont val="Arial"/>
        <family val="2"/>
      </rPr>
      <t>NOTA:</t>
    </r>
    <r>
      <rPr>
        <sz val="9"/>
        <color rgb="FF0070C0"/>
        <rFont val="Arial"/>
        <family val="2"/>
      </rPr>
      <t xml:space="preserve"> 1M3 EQUIVALE A 50 SACOS Y 0,67M3 EQUIVALE A 33,50SACOS</t>
    </r>
  </si>
  <si>
    <r>
      <t xml:space="preserve">ITEM: </t>
    </r>
    <r>
      <rPr>
        <b/>
        <sz val="9"/>
        <color rgb="FF0070C0"/>
        <rFont val="Arial"/>
        <family val="2"/>
      </rPr>
      <t xml:space="preserve">Construccion de lavatrapero ancho 0,60mt x 0,45 mt en bloque No.10; Incluye pañete impermeabilizado,  suministro e instalacion de lavatrapero plastico con accesorios de instalacion </t>
    </r>
  </si>
  <si>
    <r>
      <t xml:space="preserve">ITEM: </t>
    </r>
    <r>
      <rPr>
        <b/>
        <sz val="10"/>
        <color rgb="FF00B0F0"/>
        <rFont val="Arial"/>
        <family val="2"/>
      </rPr>
      <t xml:space="preserve"> </t>
    </r>
    <r>
      <rPr>
        <b/>
        <sz val="10"/>
        <color rgb="FF0070C0"/>
        <rFont val="Arial"/>
        <family val="2"/>
      </rPr>
      <t>Mano de obra para Construccion de bancas en madera teka (madera teka Suministrada por Coralina), con dim: 0,60 x 1,20 x h: 0,50 (ver diseño), incluye retiro de bancas existentes, tornilleria en acero inoxidable, aplicado de merulex o similar, acabado en barnis marino semi mate, base en concreto de 3500 psi. Platina en  LAMINA ALFAJOR 1/8,  Incluir transporte de madera desde el lugar de suministro hasta el cayo lugar de trabajo,</t>
    </r>
  </si>
  <si>
    <r>
      <t xml:space="preserve">ITEM: </t>
    </r>
    <r>
      <rPr>
        <b/>
        <sz val="10"/>
        <color rgb="FF00B0F0"/>
        <rFont val="Arial"/>
        <family val="2"/>
      </rPr>
      <t xml:space="preserve"> </t>
    </r>
    <r>
      <rPr>
        <b/>
        <sz val="10"/>
        <color rgb="FF0070C0"/>
        <rFont val="Arial"/>
        <family val="2"/>
      </rPr>
      <t>Mano de obra para Construccion de bancas en madera teka (madera teka Suministrada por Coralina), con dim: 0,60 x 1,20 x h: 0,50 (ver diseño), incluye retiro de bancas existentes, tornilleria en acero inoxidable, aplicado de merulex o similar, acabado en barnis marino semi mate, base en concreto de 3500 psi. Platina en  LAMINA ALFAJOR 1/8, Incluir transporte de madera desde el lugar de suministro hasta el cayo lugar de trabajo,</t>
    </r>
  </si>
  <si>
    <r>
      <t xml:space="preserve">ITEM: </t>
    </r>
    <r>
      <rPr>
        <b/>
        <sz val="10"/>
        <color rgb="FF00B0F0"/>
        <rFont val="Arial"/>
        <family val="2"/>
      </rPr>
      <t xml:space="preserve"> </t>
    </r>
    <r>
      <rPr>
        <b/>
        <sz val="10"/>
        <color rgb="FF0070C0"/>
        <rFont val="Arial"/>
        <family val="2"/>
      </rPr>
      <t>Instalacion de pilotes en madera teka (Madera suministrada por Coralina), para construccion de sendero de acceso principal circulacion de personal visitantes del parque, incluye instalacion de cuerda marina con diametro 1" (ver diseño), Incluir transporte de madera desde el lugar de suministro hasta el cayo lugar de trabajo.</t>
    </r>
  </si>
  <si>
    <r>
      <t xml:space="preserve">ITEM: </t>
    </r>
    <r>
      <rPr>
        <b/>
        <sz val="10"/>
        <color rgb="FF00B0F0"/>
        <rFont val="Arial"/>
        <family val="2"/>
      </rPr>
      <t xml:space="preserve"> </t>
    </r>
    <r>
      <rPr>
        <b/>
        <sz val="10"/>
        <color rgb="FF0070C0"/>
        <rFont val="Arial"/>
        <family val="2"/>
      </rPr>
      <t>Mantenimiento de caseta de bomba de agua incluye, pintura exterior en coraza (area: 6,30m2), limpieza de reja (retiro de oxido), acabado en pintura 3 en 1 color negro (0,90x1,62).</t>
    </r>
  </si>
  <si>
    <r>
      <t xml:space="preserve">ITEM: </t>
    </r>
    <r>
      <rPr>
        <b/>
        <sz val="10"/>
        <color rgb="FF00B0F0"/>
        <rFont val="Arial"/>
        <family val="2"/>
      </rPr>
      <t xml:space="preserve"> </t>
    </r>
    <r>
      <rPr>
        <b/>
        <sz val="10"/>
        <color rgb="FF0070C0"/>
        <rFont val="Arial"/>
        <family val="2"/>
      </rPr>
      <t>Mantenimiento de colector de agua bajo deck, en area de duchas lavapies, (frente a kiosco administrativo)incluye retiro de material granular, lijado y pintura barnis marino semi mate</t>
    </r>
  </si>
  <si>
    <r>
      <t xml:space="preserve">ITEM: </t>
    </r>
    <r>
      <rPr>
        <b/>
        <sz val="10"/>
        <color rgb="FF00B0F0"/>
        <rFont val="Arial"/>
        <family val="2"/>
      </rPr>
      <t xml:space="preserve"> </t>
    </r>
    <r>
      <rPr>
        <b/>
        <sz val="10"/>
        <color rgb="FF0070C0"/>
        <rFont val="Arial"/>
        <family val="2"/>
      </rPr>
      <t>Suministro e instalacion de tapa  Pozo de agua entrada tipo sobreponer,  con estructura y alma en perfil de 3x1 1/2, estilo entamborado y marco perimetral estilo escuadra de 2, Color del aluiminio acabado madera, incluye marco y contramarco, bisagras, manilla y porta candado, candado. Dim: 0,90m x 0,90m</t>
    </r>
  </si>
  <si>
    <r>
      <t xml:space="preserve">ITEM: </t>
    </r>
    <r>
      <rPr>
        <b/>
        <sz val="10"/>
        <color rgb="FF00B0F0"/>
        <rFont val="Arial"/>
        <family val="2"/>
      </rPr>
      <t xml:space="preserve"> </t>
    </r>
    <r>
      <rPr>
        <b/>
        <sz val="10"/>
        <color rgb="FF0070C0"/>
        <rFont val="Arial"/>
        <family val="2"/>
      </rPr>
      <t>Mantenimiento de aviso informativo tipo 2, incluye lijado y pintura en barnis exterior de alta resistencia y tintilla color miel. Cambio de marco en madera teka 2x4, con dimensiones 0,80 x 1,35m, incluye pisa vidrio en 1"x1", instalacion de tornilleria 3/8"  (Cant: 6und) tuercas con arandela en acero inoxidable.</t>
    </r>
  </si>
  <si>
    <r>
      <t xml:space="preserve">ITEM: </t>
    </r>
    <r>
      <rPr>
        <b/>
        <sz val="10"/>
        <color rgb="FF00B0F0"/>
        <rFont val="Arial"/>
        <family val="2"/>
      </rPr>
      <t xml:space="preserve"> </t>
    </r>
    <r>
      <rPr>
        <b/>
        <sz val="10"/>
        <color rgb="FF0070C0"/>
        <rFont val="Arial"/>
        <family val="2"/>
      </rPr>
      <t xml:space="preserve">Construccion de cubierta para kiosco informativo, incluye desmonte de cubierta existente e instalacion de cubierta en trimplex marino Area prom:8,90m2 </t>
    </r>
  </si>
  <si>
    <r>
      <t xml:space="preserve">ITEM:  </t>
    </r>
    <r>
      <rPr>
        <b/>
        <sz val="9"/>
        <color rgb="FF0070C0"/>
        <rFont val="Arial"/>
        <family val="2"/>
      </rPr>
      <t>CONCRETO 4000PSI</t>
    </r>
  </si>
  <si>
    <r>
      <t xml:space="preserve">ITEM: </t>
    </r>
    <r>
      <rPr>
        <b/>
        <sz val="10"/>
        <color rgb="FF0070C0"/>
        <rFont val="Arial"/>
        <family val="2"/>
      </rPr>
      <t xml:space="preserve">Limpieza   y   desinfeccion   de   sistema   disposicion   aguas negras </t>
    </r>
  </si>
  <si>
    <t>Suministro e instalacion de perfil en alumnio 3 x 1/2" perimetralde hoja de puerta, (se reutilizan los pisavidrios y esterillas existentes)color natural, enmarque de puerta. Dimension 0,90 x 2,30 incluye desmonte. Cambio de bisagras, cambio de manija(para puerta doble acceso oficinas administrativas)</t>
  </si>
  <si>
    <t>Suministro e instalacion de perfil en alumnio 3 x 1/2" perimetral  color natural, enmarque de puerta. Dimension h: 2,30, incluye desmonte instalacion de pasador incluir perforaciones (acceso bodega)</t>
  </si>
  <si>
    <t>Desmonte y reinstalacion de mueble aluminio</t>
  </si>
  <si>
    <r>
      <t>ITEM:</t>
    </r>
    <r>
      <rPr>
        <b/>
        <sz val="9"/>
        <color rgb="FF2D00D0"/>
        <rFont val="Arial"/>
        <family val="2"/>
      </rPr>
      <t xml:space="preserve"> Suministro e instalacion de perfil en alumnio 3 x 1/2" perimetralde hoja de puerta, (se reutilizan los pisavidrios y esterillas existentes)color natural, enmarque de puerta. Dimension 0,90 x 2,30 incluye desmonte. Cambio de bisagras, cambio de manija(para puerta doble acceso oficinas administrativas)</t>
    </r>
  </si>
  <si>
    <r>
      <t>ITEM:</t>
    </r>
    <r>
      <rPr>
        <b/>
        <sz val="9"/>
        <color rgb="FF2D00D0"/>
        <rFont val="Arial"/>
        <family val="2"/>
      </rPr>
      <t xml:space="preserve"> Desonte y reinstalacion de puertas, mueble de baterias fotovoltaicas incluye corte de board, instalacion de refuerzo en madera como soporte, cierre de muro, acabado en estuco y pintura.</t>
    </r>
  </si>
  <si>
    <r>
      <t>ITEM:</t>
    </r>
    <r>
      <rPr>
        <b/>
        <sz val="9"/>
        <color rgb="FF2D00D0"/>
        <rFont val="Arial"/>
        <family val="2"/>
      </rPr>
      <t xml:space="preserve"> Suministro e instalacion de perfil en alumnio 3 x 1/2" perimetral  color natural, enmarque de puerta. Dimension h: 2,30, incluye desmonte instalacion de pasador incluir perforaciones (acceso bodega)</t>
    </r>
  </si>
  <si>
    <t>Suministro e instalacion de perfil en alumnio 3 x 1/2" perimetral  color natural, enmarque de puerta (long: 6,40ml). Dimension h: 2,30m x 0,90m, incluye desmonte e instalacion de pasador incluir perforaciones (acceso bodega)</t>
  </si>
  <si>
    <r>
      <t xml:space="preserve">ITEM: </t>
    </r>
    <r>
      <rPr>
        <b/>
        <sz val="10"/>
        <color rgb="FF00B0F0"/>
        <rFont val="Arial"/>
        <family val="2"/>
      </rPr>
      <t xml:space="preserve"> </t>
    </r>
    <r>
      <rPr>
        <b/>
        <sz val="10"/>
        <color rgb="FF0070C0"/>
        <rFont val="Arial"/>
        <family val="2"/>
      </rPr>
      <t>Valla informativa en lona con dimensiones: 1,50m x 1,00m; marco y estructura soporte en madera en listones 2x2</t>
    </r>
  </si>
  <si>
    <t>Suministro e instalación de avisos informativos, vinilo adhesivo policromía en
espejo sobre lamina acrílico cristal traslucido 3mm para protección solar, lluvia y tacto. Dimensiones 100x150cm. (Para avisos Tipo 1 y Tipo 2) Incluye desistalacion de avisos existentes</t>
  </si>
  <si>
    <t>Suministro e instalación de avisos informativos, vinilo adhesivo policromía en
espejo sobre lamina acrílico cristal traslucido 3mm para protección solar, lluvia y tacto. Dimensiones 100x150cm. (Para avisos Tipo 1 y Tipo 2)
Incluye desistalacion de los avisos existentes.</t>
  </si>
  <si>
    <r>
      <t xml:space="preserve">ITEM: </t>
    </r>
    <r>
      <rPr>
        <b/>
        <sz val="10"/>
        <color rgb="FF0070C0"/>
        <rFont val="Arial"/>
        <family val="2"/>
      </rPr>
      <t>Suministro e instalación de avisos informativos, vinilo adhesivo policromía en espejo sobre lamina acrílico cristal traslucido 3mm para protección solar, lluvia y tacto. Dimensiones 100x150cm. (Para avisos Tipo 1 y Tipo 2)</t>
    </r>
    <r>
      <rPr>
        <b/>
        <sz val="9"/>
        <color theme="8" tint="-0.249977111117893"/>
        <rFont val="Arial"/>
        <family val="2"/>
      </rPr>
      <t xml:space="preserve"> Incluye desistalacion de los avisos existentes</t>
    </r>
  </si>
  <si>
    <r>
      <t xml:space="preserve">ITEM: </t>
    </r>
    <r>
      <rPr>
        <b/>
        <sz val="10"/>
        <color rgb="FF0070C0"/>
        <rFont val="Arial"/>
        <family val="2"/>
      </rPr>
      <t>Suministro e instalación de avisos informativos, vinilo adhesivo policromía en espejo sobre lamina acrílico cristal traslucido 3mm para protección solar, lluvia y tacto. Dimensiones 80x70cm. Incluye desistalacion de los avisos existentes</t>
    </r>
  </si>
  <si>
    <t>Suministro e instalación de avisos informativos, vinilo adhesivo policromía en
espejo sobre lamina acrílico cristal traslucido 3mm para protección solar, lluvia y tacto. Dimensiones 80x70cm. Incluye desistalacion de los avisos existentes</t>
  </si>
  <si>
    <t>Construcción de aviso informativo tipo 1 elaborado en madera teka, dimensiones 1,00 x 1,35 m, incluye estructura y marco en madera teka, pisa vidrio en madera 1”x1”, fondo para instalación gráfica, lijado, aplicación de sellador, tintilla color miel y barniz exterior de alta resistencia, tornillería en acero inoxidable, instalación, herramientas menores, transporte interno, reutilizacion de vidrio de proteccion para aviso, patas en acero inox, cimiento existente.</t>
  </si>
  <si>
    <r>
      <t xml:space="preserve">ITEM: </t>
    </r>
    <r>
      <rPr>
        <b/>
        <sz val="10"/>
        <color rgb="FF00B0F0"/>
        <rFont val="Arial"/>
        <family val="2"/>
      </rPr>
      <t xml:space="preserve"> </t>
    </r>
    <r>
      <rPr>
        <b/>
        <sz val="10"/>
        <color rgb="FF0070C0"/>
        <rFont val="Arial"/>
        <family val="2"/>
      </rPr>
      <t>Construcción de aviso informativo tipo 1 elaborado en madera teka, dimensiones 1,00 x 1,35 m, incluye estructura y marco en madera teka, pisa vidrio en madera 1”x1”, fondo para instalación gráfica, lijado, aplicación de sellador, tintilla color miel y barniz exterior de alta resistencia, tornillería en acero inoxidable, instalación, herramientas menores, transporte interno, reutilizacion de vidrio de proteccion para aviso, patas en acero inox, cimiento existente.</t>
    </r>
  </si>
  <si>
    <t>Suministro e instalación de avisos informativos, vinilo adhesivo policromía en espejo sobre lamina acrílico cristal traslucido 3mm para protección solar, lluvia y tacto. Dimensiones 120x200cm. Incluye desistalacion de informacion existente. (Aviso tipo caseta cuadrado ubicado en el acceso al PRJC)</t>
  </si>
  <si>
    <r>
      <t xml:space="preserve">ITEM: </t>
    </r>
    <r>
      <rPr>
        <b/>
        <sz val="10"/>
        <color rgb="FF0070C0"/>
        <rFont val="Arial"/>
        <family val="2"/>
      </rPr>
      <t>Suministro e instalación de avisos informativos, vinilo adhesivo policromía en espejo sobre lamina acrílico cristal traslucido 3mm para protección solar, lluvia y tacto. Dimensiones 120x200cm. Incluye desistalacion de informacion existente. (Aviso tipo caseta cuadrado ubicado en el acceso al PRJC)</t>
    </r>
  </si>
  <si>
    <t xml:space="preserve">Acabado en enchape ref. Roding gris 60 x 120 KPO4427, incluye pegante, boquilla y pirlan metalico </t>
  </si>
  <si>
    <t>Ajuste de mueble existente en madera, incluye desmonte de mueble, corte acorde a nuevo diseño, refuerzo en madera, colocacion de base de fondo en triplex marino 5/8, cambio de bisagras y manillas, acabado barniz con tintilla color</t>
  </si>
  <si>
    <t>Demonte acabado meson de lavamanos, incluye retiro de lavamanos, griferia, enchape  Area prom: (3,80 x 0,60)</t>
  </si>
  <si>
    <t>Construccion de patas en board No10, incluye estructura liviana.
Desmonte de patas existentes. Area prom: (1,00 x 0,60)</t>
  </si>
  <si>
    <r>
      <t xml:space="preserve">ITEM: </t>
    </r>
    <r>
      <rPr>
        <b/>
        <sz val="10"/>
        <color theme="8" tint="-0.249977111117893"/>
        <rFont val="Arial"/>
        <family val="2"/>
      </rPr>
      <t>Demonte acabado meson de lavamanos, incluye retiro de lavamanos, griferia, enchape  Area prom: (3,80 x 0,60)</t>
    </r>
  </si>
  <si>
    <r>
      <t xml:space="preserve">ITEM: </t>
    </r>
    <r>
      <rPr>
        <b/>
        <sz val="10"/>
        <color theme="8" tint="-0.249977111117893"/>
        <rFont val="Arial"/>
        <family val="2"/>
      </rPr>
      <t xml:space="preserve">Acabado en enchape ref. Roding gris 60 x 120 KPO4427, incluye pegante, boquilla y pirlan metalico </t>
    </r>
  </si>
  <si>
    <t>ENCHAPE RODING GRIS 60 X 120</t>
  </si>
  <si>
    <r>
      <t xml:space="preserve">ITEM: </t>
    </r>
    <r>
      <rPr>
        <b/>
        <sz val="10"/>
        <color theme="8" tint="-0.249977111117893"/>
        <rFont val="Arial"/>
        <family val="2"/>
      </rPr>
      <t>Ajuste de mueble existente en madera, incluye desmonte de mueble, corte acorde a nuevo diseño, refuerzo en madera, colocacion de base de fondo en triplex marino 5/8, cambio de bisagras y manillas, acabado barniz con tintilla color</t>
    </r>
  </si>
  <si>
    <t>TORNILLERIA</t>
  </si>
  <si>
    <t>DISCO DE CORTE</t>
  </si>
  <si>
    <t>UNIDAD:M2</t>
  </si>
  <si>
    <t>UNIDAD:ML</t>
  </si>
  <si>
    <t>PEGA ENCHAPE SIKA BLANCO 25 KILOS</t>
  </si>
  <si>
    <t>BINDA BOQUILLA BLANCO 2K SIKACERAM 630</t>
  </si>
  <si>
    <t>DISCO DE CORTE ENCHAPE</t>
  </si>
  <si>
    <t>TRIPLEX MARINO INMUNIZADO 5/8</t>
  </si>
  <si>
    <t>BARNIZ BTE. EXT. 557-1</t>
  </si>
  <si>
    <t>CUARTO</t>
  </si>
  <si>
    <t>MADERA PINO 2X04X10 TRATADA</t>
  </si>
  <si>
    <t>THINNER PROAMERICA 3800ML</t>
  </si>
  <si>
    <r>
      <t xml:space="preserve">ITEM: </t>
    </r>
    <r>
      <rPr>
        <b/>
        <sz val="10"/>
        <color theme="8" tint="-0.249977111117893"/>
        <rFont val="Arial"/>
        <family val="2"/>
      </rPr>
      <t>Construccion de patas en board No10, incluye estructura liviana. Desmonte de patas existentes. Area prom: (0,9x 0,60)</t>
    </r>
  </si>
  <si>
    <t>SUPERBOARD 122X244X10 MM</t>
  </si>
  <si>
    <t>TINTILLA</t>
  </si>
  <si>
    <t>Desmonte y reinstalacion de puertas, mueble de baterias fotovoltaicas incluye corte de board, instalacion de refuerzo en madera como soporte, cierre de muro, acabado en estuco y pintura.</t>
  </si>
  <si>
    <r>
      <t xml:space="preserve">ITEM: </t>
    </r>
    <r>
      <rPr>
        <b/>
        <sz val="10"/>
        <color theme="4" tint="-0.249977111117893"/>
        <rFont val="Arial"/>
        <family val="2"/>
      </rPr>
      <t>Suministro e instalacion de incrustaciones en acero inoxidble tipo industrial, incluye dispensador de papel en acero inoxidable 400ml (2und),dispensador de toallas de papel en acero inoxidable (2und), jaboneras en acero inoxidable(2und), tapa registro plastica 15x15 (2und), canecas de basura para baño cant (2un)</t>
    </r>
  </si>
  <si>
    <r>
      <t>ITEM:</t>
    </r>
    <r>
      <rPr>
        <b/>
        <sz val="9"/>
        <color theme="4" tint="-0.249977111117893"/>
        <rFont val="Arial"/>
        <family val="2"/>
      </rPr>
      <t>Manejo integral de obra: Aseo y limpieza general de la obra, incluye limpieza de malesa existente y retirada de la misma, Protección en Cinta Reflectiva para evitar la intrusión ajeno en la obra, Aviso informativo indicando Obra en construccion / Perdone las molestias. Sacos para recoleccion de material sobrante</t>
    </r>
  </si>
  <si>
    <t>Construccion de deck con desnivel en escalas area administrativa en listones de pino inmunizado de 2x4 y 2x6, incluye contrahuellas en liston 2x6 pino inmunizado, huellas en 2x4 en pino inmunizado, tornilleria, barniz marino. Area prom: 31,75m2</t>
  </si>
  <si>
    <r>
      <t xml:space="preserve">ITEM: </t>
    </r>
    <r>
      <rPr>
        <b/>
        <sz val="10"/>
        <color rgb="FF00B0F0"/>
        <rFont val="Arial"/>
        <family val="2"/>
      </rPr>
      <t xml:space="preserve"> Retiro o desmonte deck en madera en mal estado, incluye la recoleccion en sacos, para salida del parque</t>
    </r>
  </si>
  <si>
    <t>Retiro o desmonte deck en madera en mal estado, incluye recoleccion en sacos para salida del parque</t>
  </si>
  <si>
    <r>
      <t xml:space="preserve">RESPONSABLE: </t>
    </r>
    <r>
      <rPr>
        <sz val="8"/>
        <rFont val="Arial"/>
        <family val="2"/>
      </rPr>
      <t>SUBDIRECCION MARES Y COSTAS</t>
    </r>
  </si>
  <si>
    <t>CANT</t>
  </si>
  <si>
    <t>Suministro y siembra de planta tipo veranera, incluye tierra negra (5bultos), riego de 2 semanas para que se mantega la planta</t>
  </si>
  <si>
    <t>Retiro e instalacion nueva de tuberia sanitaria de 4" y 2" PVC,  espina  de  pescado  para  filtro  de  aguas  residuales, incluye  la  excavacion  de  sanja, retiro de tuberia, instalacion  de  cama  en gravilla nueva, forrada en polisombra doble, recubrimiento de tuberia con material de sitio.</t>
  </si>
  <si>
    <t>Mtto de barra de atención de a=0,40mts zona de taquilla y pto de informacion  con madera Pino 2X8 inmunizada con merulex ISF - Sika, acabado barnis marino o similar tres manos. Incluye pulida madera, sellador lijable.</t>
  </si>
  <si>
    <t>Suministro e instalacion de cubierta en lamina ecoroof, incluye triplex marino 15mm, incluye tornilleria</t>
  </si>
  <si>
    <t xml:space="preserve">Construccion de Rampa acceso a bodega-kiosco administracion en listones de pino inmunizado de 2x4 y 2x6,  liston 2x6 y 2x4 en pino inmunizado, tornilleria, barniz marino. </t>
  </si>
  <si>
    <t>Suministro e instalacion de perfil en alumnio 3 x 1/2" perimetralde hoja de puerta, (se reutilizan los pisavidrios y esterillas existentes)color natural, enmarque de puerta. Dimension 0,90 x 2,30 incluye desmonte. Cambio de bisagras, cambio de manija(para puerta acceso oficinas administrativas)</t>
  </si>
  <si>
    <t>Manteniento de ventana en alumnio color natural tipo guillotina, incluye  limpieza, engrace y cambio de accesorio de fijcion y operación ( media lunas.) Dimension 1,30 x 1,50</t>
  </si>
  <si>
    <r>
      <t xml:space="preserve">ITEM: </t>
    </r>
    <r>
      <rPr>
        <b/>
        <sz val="9"/>
        <color rgb="FF00B0F0"/>
        <rFont val="Arial"/>
        <family val="2"/>
      </rPr>
      <t>Pintura de acabado de alta resistencia barniz transparente incluye lijado (Columnas)</t>
    </r>
  </si>
  <si>
    <r>
      <t>ITEM:</t>
    </r>
    <r>
      <rPr>
        <b/>
        <sz val="9"/>
        <color rgb="FF00B0F0"/>
        <rFont val="Arial"/>
        <family val="2"/>
      </rPr>
      <t>Pintura de acabado de alta resistencia barniz transparente incluye lijado (DECK)</t>
    </r>
  </si>
  <si>
    <r>
      <t>ITEM:</t>
    </r>
    <r>
      <rPr>
        <b/>
        <sz val="9"/>
        <color rgb="FF00B0F0"/>
        <rFont val="Arial"/>
        <family val="2"/>
      </rPr>
      <t>Pintura de acabado de alta resistencia barniz transparente incluye lijado (CUBIERTA)</t>
    </r>
  </si>
  <si>
    <t>Suministro e Instalación de Tanque  2000 lit. tipo Colempaques  o similar - incluye  valvulas, accesorios y tuberia hasta el nivel de piso de los tanques. Incluye excavacion, h: 1,00m diametro 2,00m, construccion de base de suelo en concreto 4000psi, con malla electrosoldada esp: 0,10m.</t>
  </si>
  <si>
    <t>TANQUE COLEMPAQUES 2000L</t>
  </si>
  <si>
    <r>
      <t xml:space="preserve">ITEM: </t>
    </r>
    <r>
      <rPr>
        <b/>
        <sz val="9"/>
        <color rgb="FF00B0F0"/>
        <rFont val="Arial"/>
        <family val="2"/>
      </rPr>
      <t>Suministro e Instalación de Tanque  2000 lit. tipo Colempaques  o similar - incluye  valvulas, accesorios y tuberia hasta el nivel de piso de los tanques. Incluye excavacion, h: 1,00m diametro 2,00m, construccion de base de suelo en concreto 4000psi, con malla electrosoldada esp: 0,10m.</t>
    </r>
  </si>
  <si>
    <t xml:space="preserve">Manejo integral de obra: Aseo y limpieza general de la obra, incluye limpieza de malesa existente y retirada de la misma, Protección en Cinta Reflectiva para evitar la intrusión ajeno en la obra, Aviso informativo indicando Obra en construccion / Perdone las molestias. Sacos para recoleccion de material sobrante. </t>
  </si>
  <si>
    <t xml:space="preserve">Manejo integral de obra: Aseo y limpieza general de la obra, incluye limpieza de maleza existente y retirada de la misma, Protección en Cinta Reflectiva para evitar la intrusión ajeno en la obra, Aviso informativo indicando Obra en construccion / Perdone las molestias. Sacos para recoleccion de material sobrante. 
</t>
  </si>
  <si>
    <t>Mantenimiento de bombas existente, engrace UB40, cambio de aceite.</t>
  </si>
  <si>
    <r>
      <t xml:space="preserve">ITEM: </t>
    </r>
    <r>
      <rPr>
        <b/>
        <sz val="9"/>
        <color rgb="FF00B0F0"/>
        <rFont val="Arial"/>
        <family val="2"/>
      </rPr>
      <t>Suministro, instalacion y cambio de griferia par orinales tipo push, incluye desistalacion del existente.</t>
    </r>
  </si>
  <si>
    <t>Suministro, instalacion y cambio de griferia par orinales tipo push, incluye desistalacion del existente y disposicion final</t>
  </si>
  <si>
    <t>Suministro, instalacion y cambio de griferia para sanitarios tipo push, incluye desistalacion de la griferia xistente</t>
  </si>
  <si>
    <t>Construccion Deck zona escalonada area bateria de baños en listones de pino inmunizado de 2x4 y 2x6, incluye contrahuellas en liston 2x6 pino inmunizado, huellas en 2x4 en pino inmunizado, tornilleria, barniz marino. Area prom: 31,75M2</t>
  </si>
  <si>
    <t>Decoración de muros en madera mahame , incluye pintura barniz marino tintilla color, desmonte de elementos existentes.</t>
  </si>
  <si>
    <t>2 BASES EN CONCRETO 4000 PSI 0,30X0,40X0,30</t>
  </si>
  <si>
    <t>3 BASES EN CONCRETO 4000 PSI 0,30X0,40X0,30</t>
  </si>
  <si>
    <t>1 BASES EN CONCRETO 4000 PSI 0,30X0,40X0,30</t>
  </si>
  <si>
    <t>Mano de obra para Construccion de bancas en madera teka (madera teka Suministrada por Coralina), con dim: 0,60 x 1,20 x h: 0,50 (ver diseño), incluye retiro de bancas existentes, tornilleria en acero inoxidable, aplicado de merulex o similar, acabado en barnis marino semi mate, 2 bases en concreto 4000 PSI 0,30X0,40X0,30. Platina en  lamina de alfajor 1/8, Incluir transporte de madera desde el lugar de suministro hasta el cayo lugar de trabajo, desmonte de bancas existentes.</t>
  </si>
  <si>
    <t xml:space="preserve">Mano de obra para Construccion de bancas en madera teka (madera teka Suministrada por Coralina), con dim:  2,90 x 0,50 x h: 0,45 (ver diseño), incluye retiro de bancas existentes, tornilleria en acero inoxidable, aplicado de merulex o similar, acabado en barnis marino semi mate, 3 bases en concreto de 4000 PSI 0,30X0,40X0,30. Platina en  lamina de alfajor 1/8, Incluir transporte de madera desde el lugar de suministro hasta el cayo lugar de trabajo, </t>
  </si>
  <si>
    <t>Instalacion de pilotes en madera teka (Madera suministrada por Coralina), para construccion de sendero de acceso principal circulacion de personal visitantes del parque, incluye cimiento en concreto de 4000psi vaceados en baldes, instalacion de cuerda marina con diametro 1" (ver diseño) acabado en barnis semi mate, Incluir transporte de madera desde el lugar de suministro hasta el cayo lugar de trabajo.</t>
  </si>
  <si>
    <t>LLAVE DE PASO</t>
  </si>
  <si>
    <r>
      <t xml:space="preserve">ITEM: </t>
    </r>
    <r>
      <rPr>
        <b/>
        <sz val="9"/>
        <color theme="4" tint="-0.249977111117893"/>
        <rFont val="Arial"/>
        <family val="2"/>
      </rPr>
      <t>Suministro, instalacion y cambio de griferia tipo ducha,incluye llaves de paso, desmonte equipos existentes</t>
    </r>
  </si>
  <si>
    <t>Suministro e instalación de avisos informativos, vinilo adhesivo policromía en
espejo sobre lamina acrílico cristal traslucido 3mm para protección solar, lluvia y tacto. Dimensiones 80 x 70cm. Incluye desistalcion de avisos existentes</t>
  </si>
  <si>
    <t>Suministro e instalación de avisos informativos, vinilo adhesivo policromía en espejo sobre lamina acrílico cristal traslucido 3mm para protección solar, lluvia y tacto. Dimensiones 120x200cm. Incluye desistalacion de informacion existente. (Aviso tipo para caseta cuadrada ubicado en el acceso al PRJC)</t>
  </si>
  <si>
    <t>Construccion de puentes peatonales  en listones de pino inmunizado de 2x4 y 4x4, dimension 1,20 mts de ancho por 4,00 mts de largo, incluye barandas en  liston 2x6 y 2x4 en pino inmunizado, tornilleria, barniz marino. Incluye cimientos en concreto 4000psi vaceados en tanques PVC</t>
  </si>
  <si>
    <r>
      <t xml:space="preserve">ITEM:  </t>
    </r>
    <r>
      <rPr>
        <b/>
        <sz val="11"/>
        <color rgb="FF0000FF"/>
        <rFont val="Arial"/>
        <family val="2"/>
      </rPr>
      <t>Construccion de puentes peatonales  en listones de pino inmunizado de 2x4 y 4x4, dimension 1,20 mts de ancho por 4,00 mts de largo, incluye barandas en  liston 2x6 y 2x4 en pino inmunizado, tornilleria, barniz marino. Incluye cimientos en concreto 4000psi vaceados en tanques PVC</t>
    </r>
  </si>
  <si>
    <t>TANQUES PVC</t>
  </si>
  <si>
    <r>
      <t xml:space="preserve">   FECHA: </t>
    </r>
    <r>
      <rPr>
        <sz val="8"/>
        <rFont val="Arial"/>
        <family val="2"/>
      </rPr>
      <t>OCTUBRE 2026</t>
    </r>
  </si>
  <si>
    <r>
      <t>Mantanimiento  preventivo periodico del sistema solar fotovoltaico, incluye
Revision y limpieza de paneles, revision de los MC4, revision y limpieza del inversor, revision y limpieza de las baterias, revision del tablero de distribusion y el cableado, toma de registro termografoco, cambio de MC4 en mal estado (hasta 32 und)</t>
    </r>
    <r>
      <rPr>
        <sz val="8"/>
        <color rgb="FFFF0000"/>
        <rFont val="Times New Roman"/>
        <family val="1"/>
      </rPr>
      <t xml:space="preserve"> </t>
    </r>
    <r>
      <rPr>
        <sz val="8"/>
        <rFont val="Times New Roman"/>
        <family val="1"/>
      </rPr>
      <t xml:space="preserve">No incluye cambio de equipos en mal estado.
</t>
    </r>
  </si>
  <si>
    <r>
      <t xml:space="preserve">OBJETO:           CONTRATAR A TODO COSTO EL MANTENIMIENTO, MEJORAMIENTO Y REPARACIONES LOCATIVAS DE LA INFRAESTRUCTURA FISICA EXISTENTE EN EL PARQUE REGIONAL JOHNNY CAY”  PLAZO: 2 MESES
</t>
    </r>
    <r>
      <rPr>
        <sz val="8"/>
        <rFont val="Arial"/>
        <family val="2"/>
      </rPr>
      <t xml:space="preserve"> </t>
    </r>
    <r>
      <rPr>
        <b/>
        <sz val="8"/>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</si>
</sst>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3" formatCode="_(* #,##0.00_);_(* \(#,##0.00\);_(* &quot;-&quot;??_);_(@_)"/>
    <numFmt numFmtId="164" formatCode="_-* #,##0_-;\-* #,##0_-;_-* &quot;-&quot;_-;_-@_-"/>
    <numFmt numFmtId="165" formatCode="_-&quot;$&quot;\ * #,##0.00_-;\-&quot;$&quot;\ * #,##0.00_-;_-&quot;$&quot;\ * &quot;-&quot;??_-;_-@_-"/>
    <numFmt numFmtId="166" formatCode="_-* #,##0.00_-;\-* #,##0.00_-;_-* &quot;-&quot;??_-;_-@_-"/>
    <numFmt numFmtId="167" formatCode="[$$-240A]\ #,##0.00"/>
    <numFmt numFmtId="168" formatCode="#,##0.0"/>
    <numFmt numFmtId="169" formatCode="0.0"/>
    <numFmt numFmtId="170" formatCode="\$\ #,##0.00"/>
    <numFmt numFmtId="171" formatCode="_-* #,##0.00\ _p_t_a_-;\-* #,##0.00\ _p_t_a_-;_-* &quot;-&quot;\ _p_t_a_-;_-@_-"/>
    <numFmt numFmtId="172" formatCode="_-* #,##0.000\ _p_t_a_-;\-* #,##0.000\ _p_t_a_-;_-* &quot;-&quot;\ _p_t_a_-;_-@_-"/>
    <numFmt numFmtId="173" formatCode="_-* #,##0.00\ _p_t_a_-;\-* #,##0.00\ _p_t_a_-;_-* &quot;-&quot;??\ _p_t_a_-;_-@_-"/>
    <numFmt numFmtId="174" formatCode="_-* #,##0.00\ _€_-;\-* #,##0.00\ _€_-;_-* &quot;-&quot;??\ _€_-;_-@_-"/>
    <numFmt numFmtId="175" formatCode="_(* #,##0.000_);_(* \(#,##0.000\);_(* &quot;-&quot;??_);_(@_)"/>
    <numFmt numFmtId="176" formatCode="_-* #,##0\ _€_-;\-* #,##0\ _€_-;_-* &quot;-&quot;\ _€_-;_-@_-"/>
    <numFmt numFmtId="177" formatCode="_-* #,##0.00_-;\-* #,##0.00_-;_-* &quot;-&quot;_-;_-@_-"/>
  </numFmts>
  <fonts count="56" x14ac:knownFonts="1">
    <font>
      <sz val="11"/>
      <color theme="1"/>
      <name val="Calibri"/>
      <family val="2"/>
      <scheme val="minor"/>
    </font>
    <font>
      <sz val="11"/>
      <color theme="1"/>
      <name val="Calibri"/>
      <family val="2"/>
      <scheme val="minor"/>
    </font>
    <font>
      <sz val="8"/>
      <name val="Arial"/>
      <family val="2"/>
    </font>
    <font>
      <b/>
      <sz val="8"/>
      <name val="Arial"/>
      <family val="2"/>
    </font>
    <font>
      <b/>
      <sz val="10"/>
      <name val="Arial"/>
      <family val="2"/>
    </font>
    <font>
      <sz val="10"/>
      <name val="Arial"/>
      <family val="2"/>
    </font>
    <font>
      <sz val="11"/>
      <color rgb="FFFF0000"/>
      <name val="Calibri"/>
      <family val="2"/>
      <scheme val="minor"/>
    </font>
    <font>
      <b/>
      <sz val="8"/>
      <name val="Tahoma"/>
      <family val="2"/>
    </font>
    <font>
      <sz val="8"/>
      <color theme="1"/>
      <name val="Calibri"/>
      <family val="2"/>
      <scheme val="minor"/>
    </font>
    <font>
      <sz val="9"/>
      <color theme="1"/>
      <name val="Calibri"/>
      <family val="2"/>
      <scheme val="minor"/>
    </font>
    <font>
      <sz val="8"/>
      <name val="Calibri"/>
      <family val="2"/>
      <scheme val="minor"/>
    </font>
    <font>
      <sz val="10"/>
      <color theme="1"/>
      <name val="Tahoma"/>
      <family val="2"/>
    </font>
    <font>
      <b/>
      <u/>
      <sz val="10"/>
      <name val="Tahoma"/>
      <family val="2"/>
    </font>
    <font>
      <i/>
      <sz val="7"/>
      <name val="Tahoma"/>
      <family val="2"/>
    </font>
    <font>
      <b/>
      <u/>
      <sz val="7"/>
      <name val="Tahoma"/>
      <family val="2"/>
    </font>
    <font>
      <b/>
      <sz val="11"/>
      <name val="Arial"/>
      <family val="2"/>
    </font>
    <font>
      <b/>
      <sz val="9"/>
      <name val="Arial"/>
      <family val="2"/>
    </font>
    <font>
      <b/>
      <sz val="10"/>
      <color rgb="FF00B0F0"/>
      <name val="Arial"/>
      <family val="2"/>
    </font>
    <font>
      <sz val="9"/>
      <name val="Arial"/>
      <family val="2"/>
    </font>
    <font>
      <sz val="9"/>
      <color rgb="FF000000"/>
      <name val="Arial"/>
      <family val="2"/>
    </font>
    <font>
      <b/>
      <sz val="9"/>
      <color rgb="FF2D00D0"/>
      <name val="Arial"/>
      <family val="2"/>
    </font>
    <font>
      <b/>
      <sz val="11"/>
      <color rgb="FF0000FF"/>
      <name val="Arial"/>
      <family val="2"/>
    </font>
    <font>
      <sz val="11"/>
      <name val="Calibri"/>
      <family val="2"/>
      <scheme val="minor"/>
    </font>
    <font>
      <b/>
      <sz val="10"/>
      <color indexed="12"/>
      <name val="Arial"/>
      <family val="2"/>
    </font>
    <font>
      <b/>
      <sz val="9"/>
      <color rgb="FF00B0F0"/>
      <name val="Arial"/>
      <family val="2"/>
    </font>
    <font>
      <sz val="7"/>
      <name val="Arial"/>
      <family val="2"/>
    </font>
    <font>
      <b/>
      <sz val="11"/>
      <color theme="1"/>
      <name val="Calibri"/>
      <family val="2"/>
      <scheme val="minor"/>
    </font>
    <font>
      <b/>
      <i/>
      <sz val="12"/>
      <name val="Arial"/>
      <family val="2"/>
    </font>
    <font>
      <b/>
      <sz val="9"/>
      <color rgb="FF0070C0"/>
      <name val="Arial"/>
      <family val="2"/>
    </font>
    <font>
      <b/>
      <sz val="9"/>
      <color indexed="12"/>
      <name val="Arial"/>
      <family val="2"/>
    </font>
    <font>
      <b/>
      <sz val="12"/>
      <color theme="1"/>
      <name val="Arial"/>
      <family val="2"/>
    </font>
    <font>
      <b/>
      <sz val="10"/>
      <color indexed="40"/>
      <name val="Arial"/>
      <family val="2"/>
    </font>
    <font>
      <sz val="11"/>
      <color rgb="FF000000"/>
      <name val="Arial"/>
      <family val="2"/>
    </font>
    <font>
      <sz val="9"/>
      <color rgb="FF000000"/>
      <name val="Calibri"/>
      <family val="2"/>
      <scheme val="minor"/>
    </font>
    <font>
      <b/>
      <sz val="8"/>
      <name val="Times New Roman"/>
      <family val="1"/>
    </font>
    <font>
      <b/>
      <sz val="8"/>
      <color theme="1"/>
      <name val="Tahoma"/>
      <family val="2"/>
    </font>
    <font>
      <b/>
      <sz val="8"/>
      <color rgb="FF000000"/>
      <name val="Arial Narrow"/>
      <family val="2"/>
    </font>
    <font>
      <b/>
      <sz val="8"/>
      <color rgb="FF000000"/>
      <name val="Times New Roman"/>
      <family val="1"/>
    </font>
    <font>
      <sz val="8"/>
      <color rgb="FFFF0000"/>
      <name val="Arial"/>
      <family val="2"/>
    </font>
    <font>
      <b/>
      <sz val="10"/>
      <color rgb="FF0070C0"/>
      <name val="Arial"/>
      <family val="2"/>
    </font>
    <font>
      <sz val="9"/>
      <color rgb="FFFF0000"/>
      <name val="Arial"/>
      <family val="2"/>
    </font>
    <font>
      <sz val="8"/>
      <color theme="1"/>
      <name val="Arial"/>
      <family val="2"/>
    </font>
    <font>
      <b/>
      <sz val="12"/>
      <color theme="1"/>
      <name val="Calibri"/>
      <family val="2"/>
      <scheme val="minor"/>
    </font>
    <font>
      <b/>
      <sz val="12"/>
      <name val="Calibri"/>
      <family val="2"/>
      <scheme val="minor"/>
    </font>
    <font>
      <sz val="9"/>
      <color rgb="FF0070C0"/>
      <name val="Arial"/>
      <family val="2"/>
    </font>
    <font>
      <sz val="8"/>
      <color theme="1"/>
      <name val="Tahoma"/>
      <family val="2"/>
    </font>
    <font>
      <sz val="8"/>
      <name val="Times New Roman"/>
      <family val="1"/>
    </font>
    <font>
      <b/>
      <sz val="9"/>
      <color theme="8" tint="-0.249977111117893"/>
      <name val="Arial"/>
      <family val="2"/>
    </font>
    <font>
      <b/>
      <sz val="10"/>
      <color theme="8" tint="-0.249977111117893"/>
      <name val="Arial"/>
      <family val="2"/>
    </font>
    <font>
      <b/>
      <sz val="10"/>
      <color theme="4" tint="-0.249977111117893"/>
      <name val="Arial"/>
      <family val="2"/>
    </font>
    <font>
      <b/>
      <sz val="9"/>
      <color theme="4" tint="-0.249977111117893"/>
      <name val="Arial"/>
      <family val="2"/>
    </font>
    <font>
      <b/>
      <sz val="8"/>
      <color indexed="8"/>
      <name val="Calibri"/>
      <family val="2"/>
    </font>
    <font>
      <sz val="8"/>
      <name val="Tahoma"/>
      <family val="2"/>
    </font>
    <font>
      <sz val="8"/>
      <color rgb="FF000000"/>
      <name val="Times New Roman"/>
      <family val="1"/>
    </font>
    <font>
      <sz val="8"/>
      <color theme="1"/>
      <name val="Times New Roman"/>
      <family val="1"/>
    </font>
    <font>
      <sz val="8"/>
      <color rgb="FFFF0000"/>
      <name val="Times New Roman"/>
      <family val="1"/>
    </font>
  </fonts>
  <fills count="10">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00FFFF"/>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15">
    <xf numFmtId="0" fontId="0" fillId="0" borderId="0"/>
    <xf numFmtId="165" fontId="1" fillId="0" borderId="0" applyFont="0" applyFill="0" applyBorder="0" applyAlignment="0" applyProtection="0"/>
    <xf numFmtId="0" fontId="1" fillId="0" borderId="0"/>
    <xf numFmtId="0" fontId="5" fillId="0" borderId="0"/>
    <xf numFmtId="0" fontId="5" fillId="0" borderId="0"/>
    <xf numFmtId="166" fontId="1" fillId="0" borderId="0" applyFont="0" applyFill="0" applyBorder="0" applyAlignment="0" applyProtection="0"/>
    <xf numFmtId="0" fontId="5" fillId="0" borderId="0" applyFont="0" applyFill="0" applyBorder="0" applyAlignment="0" applyProtection="0"/>
    <xf numFmtId="9" fontId="5" fillId="0" borderId="0" applyFont="0" applyFill="0" applyBorder="0" applyAlignment="0" applyProtection="0"/>
    <xf numFmtId="0" fontId="5" fillId="0" borderId="0" applyFont="0" applyFill="0" applyBorder="0" applyAlignment="0" applyProtection="0"/>
    <xf numFmtId="0" fontId="5" fillId="0" borderId="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509">
    <xf numFmtId="0" fontId="0" fillId="0" borderId="0" xfId="0"/>
    <xf numFmtId="0" fontId="6" fillId="0" borderId="0" xfId="0" applyFont="1" applyAlignment="1">
      <alignment horizontal="center" wrapText="1"/>
    </xf>
    <xf numFmtId="0" fontId="11" fillId="0" borderId="0" xfId="0" applyFont="1"/>
    <xf numFmtId="0" fontId="11" fillId="0" borderId="0" xfId="0" applyFont="1" applyAlignment="1">
      <alignment horizontal="center" vertical="center"/>
    </xf>
    <xf numFmtId="0" fontId="1" fillId="0" borderId="0" xfId="2"/>
    <xf numFmtId="171" fontId="5" fillId="0" borderId="0" xfId="6" applyNumberFormat="1"/>
    <xf numFmtId="0" fontId="16" fillId="0" borderId="4" xfId="2" applyFont="1" applyBorder="1" applyAlignment="1">
      <alignment horizontal="centerContinuous"/>
    </xf>
    <xf numFmtId="0" fontId="16" fillId="0" borderId="6" xfId="2" applyFont="1" applyBorder="1" applyAlignment="1">
      <alignment horizontal="centerContinuous"/>
    </xf>
    <xf numFmtId="0" fontId="16" fillId="0" borderId="1" xfId="2" applyFont="1" applyBorder="1" applyAlignment="1">
      <alignment horizontal="center"/>
    </xf>
    <xf numFmtId="171" fontId="16" fillId="0" borderId="1" xfId="6" applyNumberFormat="1" applyFont="1" applyBorder="1" applyAlignment="1">
      <alignment horizontal="center"/>
    </xf>
    <xf numFmtId="171" fontId="5" fillId="0" borderId="8" xfId="6" applyNumberFormat="1" applyBorder="1"/>
    <xf numFmtId="0" fontId="2" fillId="0" borderId="4" xfId="2" applyFont="1" applyBorder="1"/>
    <xf numFmtId="0" fontId="2" fillId="0" borderId="6" xfId="2" applyFont="1" applyBorder="1"/>
    <xf numFmtId="0" fontId="2" fillId="0" borderId="1" xfId="2" applyFont="1" applyBorder="1"/>
    <xf numFmtId="171" fontId="2" fillId="0" borderId="1" xfId="6" applyNumberFormat="1" applyFont="1" applyBorder="1"/>
    <xf numFmtId="171" fontId="5" fillId="0" borderId="2" xfId="6" applyNumberFormat="1" applyBorder="1"/>
    <xf numFmtId="171" fontId="2" fillId="0" borderId="1" xfId="6" applyNumberFormat="1" applyFont="1" applyBorder="1" applyAlignment="1">
      <alignment horizontal="centerContinuous"/>
    </xf>
    <xf numFmtId="171" fontId="5" fillId="0" borderId="3" xfId="6" applyNumberFormat="1" applyBorder="1"/>
    <xf numFmtId="0" fontId="1" fillId="0" borderId="4" xfId="2" applyBorder="1"/>
    <xf numFmtId="0" fontId="1" fillId="0" borderId="5" xfId="2" applyBorder="1"/>
    <xf numFmtId="171" fontId="18" fillId="0" borderId="5" xfId="6" applyNumberFormat="1" applyFont="1" applyBorder="1"/>
    <xf numFmtId="171" fontId="18" fillId="0" borderId="5" xfId="6" applyNumberFormat="1" applyFont="1" applyBorder="1" applyAlignment="1">
      <alignment horizontal="center"/>
    </xf>
    <xf numFmtId="171" fontId="18" fillId="0" borderId="6" xfId="6" applyNumberFormat="1" applyFont="1" applyBorder="1" applyAlignment="1">
      <alignment horizontal="center"/>
    </xf>
    <xf numFmtId="171" fontId="18" fillId="0" borderId="1" xfId="6" applyNumberFormat="1" applyFont="1" applyBorder="1"/>
    <xf numFmtId="0" fontId="16" fillId="0" borderId="1" xfId="2" applyFont="1" applyBorder="1" applyAlignment="1">
      <alignment horizontal="centerContinuous"/>
    </xf>
    <xf numFmtId="171" fontId="16" fillId="0" borderId="1" xfId="6" applyNumberFormat="1" applyFont="1" applyBorder="1"/>
    <xf numFmtId="0" fontId="2" fillId="0" borderId="4" xfId="0" applyFont="1" applyBorder="1"/>
    <xf numFmtId="0" fontId="2" fillId="0" borderId="6" xfId="0" applyFont="1" applyBorder="1"/>
    <xf numFmtId="0" fontId="2" fillId="0" borderId="1" xfId="0" applyFont="1" applyBorder="1" applyAlignment="1">
      <alignment horizontal="center"/>
    </xf>
    <xf numFmtId="10" fontId="2" fillId="0" borderId="1" xfId="0" applyNumberFormat="1" applyFont="1" applyBorder="1" applyAlignment="1">
      <alignment horizontal="center"/>
    </xf>
    <xf numFmtId="172" fontId="2" fillId="0" borderId="1" xfId="6" applyNumberFormat="1" applyFont="1" applyBorder="1"/>
    <xf numFmtId="10" fontId="2" fillId="0" borderId="1" xfId="7" applyNumberFormat="1" applyFont="1" applyBorder="1" applyAlignment="1">
      <alignment horizontal="center"/>
    </xf>
    <xf numFmtId="0" fontId="2" fillId="0" borderId="9" xfId="0" applyFont="1" applyBorder="1"/>
    <xf numFmtId="0" fontId="2" fillId="0" borderId="7" xfId="0" applyFont="1" applyBorder="1"/>
    <xf numFmtId="10" fontId="2" fillId="0" borderId="1" xfId="2" applyNumberFormat="1" applyFont="1" applyBorder="1" applyAlignment="1">
      <alignment horizontal="center"/>
    </xf>
    <xf numFmtId="0" fontId="2" fillId="0" borderId="1" xfId="2" applyFont="1" applyBorder="1" applyAlignment="1">
      <alignment horizontal="center"/>
    </xf>
    <xf numFmtId="171" fontId="18" fillId="0" borderId="4" xfId="6" applyNumberFormat="1" applyFont="1" applyBorder="1"/>
    <xf numFmtId="171" fontId="18" fillId="0" borderId="5" xfId="6" applyNumberFormat="1" applyFont="1" applyBorder="1" applyAlignment="1">
      <alignment horizontal="centerContinuous"/>
    </xf>
    <xf numFmtId="171" fontId="18" fillId="0" borderId="6" xfId="6" applyNumberFormat="1" applyFont="1" applyBorder="1" applyAlignment="1">
      <alignment horizontal="centerContinuous"/>
    </xf>
    <xf numFmtId="171" fontId="18" fillId="0" borderId="5" xfId="6" applyNumberFormat="1" applyFont="1" applyBorder="1" applyAlignment="1">
      <alignment horizontal="left"/>
    </xf>
    <xf numFmtId="171" fontId="18" fillId="0" borderId="6" xfId="6" applyNumberFormat="1" applyFont="1" applyBorder="1"/>
    <xf numFmtId="171" fontId="16" fillId="0" borderId="4" xfId="6" applyNumberFormat="1" applyFont="1" applyBorder="1" applyAlignment="1">
      <alignment horizontal="center"/>
    </xf>
    <xf numFmtId="0" fontId="1" fillId="0" borderId="6" xfId="2" applyBorder="1"/>
    <xf numFmtId="0" fontId="1" fillId="0" borderId="1" xfId="2" applyBorder="1"/>
    <xf numFmtId="171" fontId="5" fillId="0" borderId="1" xfId="6" applyNumberFormat="1" applyBorder="1"/>
    <xf numFmtId="172" fontId="5" fillId="0" borderId="1" xfId="6" applyNumberFormat="1" applyBorder="1"/>
    <xf numFmtId="171" fontId="18" fillId="0" borderId="0" xfId="6" applyNumberFormat="1" applyFont="1" applyAlignment="1">
      <alignment horizontal="centerContinuous"/>
    </xf>
    <xf numFmtId="171" fontId="5" fillId="0" borderId="0" xfId="6" applyNumberFormat="1" applyBorder="1"/>
    <xf numFmtId="171" fontId="16" fillId="0" borderId="5" xfId="6" applyNumberFormat="1" applyFont="1" applyBorder="1" applyAlignment="1">
      <alignment horizontal="centerContinuous"/>
    </xf>
    <xf numFmtId="0" fontId="16" fillId="0" borderId="5" xfId="2" applyFont="1" applyBorder="1" applyAlignment="1">
      <alignment horizontal="centerContinuous"/>
    </xf>
    <xf numFmtId="171" fontId="16" fillId="0" borderId="6" xfId="6" applyNumberFormat="1" applyFont="1" applyBorder="1" applyAlignment="1">
      <alignment horizontal="centerContinuous"/>
    </xf>
    <xf numFmtId="0" fontId="2" fillId="0" borderId="5" xfId="2" applyFont="1" applyBorder="1"/>
    <xf numFmtId="171" fontId="2" fillId="0" borderId="6" xfId="6" applyNumberFormat="1" applyFont="1" applyBorder="1"/>
    <xf numFmtId="9" fontId="2" fillId="0" borderId="1" xfId="7" applyFont="1" applyBorder="1"/>
    <xf numFmtId="171" fontId="4" fillId="0" borderId="0" xfId="6" applyNumberFormat="1" applyFont="1" applyAlignment="1">
      <alignment horizontal="center"/>
    </xf>
    <xf numFmtId="171" fontId="4" fillId="0" borderId="10" xfId="6" applyNumberFormat="1" applyFont="1" applyBorder="1"/>
    <xf numFmtId="0" fontId="18" fillId="9" borderId="1" xfId="0" applyFont="1" applyFill="1" applyBorder="1" applyAlignment="1">
      <alignment horizontal="center" vertical="center" wrapText="1"/>
    </xf>
    <xf numFmtId="2" fontId="19" fillId="0" borderId="1" xfId="0" applyNumberFormat="1" applyFont="1" applyBorder="1" applyAlignment="1">
      <alignment horizontal="center" vertical="center" shrinkToFit="1"/>
    </xf>
    <xf numFmtId="2" fontId="19" fillId="0" borderId="1" xfId="0" applyNumberFormat="1" applyFont="1" applyBorder="1" applyAlignment="1">
      <alignment vertical="center" shrinkToFit="1"/>
    </xf>
    <xf numFmtId="0" fontId="2" fillId="0" borderId="1" xfId="0" applyFont="1" applyBorder="1" applyAlignment="1">
      <alignment horizontal="center" vertical="center"/>
    </xf>
    <xf numFmtId="10" fontId="2" fillId="0" borderId="1" xfId="0" applyNumberFormat="1" applyFont="1" applyBorder="1" applyAlignment="1">
      <alignment horizontal="center" vertical="center"/>
    </xf>
    <xf numFmtId="172" fontId="2" fillId="0" borderId="1" xfId="6" applyNumberFormat="1" applyFont="1" applyBorder="1" applyAlignment="1">
      <alignment vertical="center"/>
    </xf>
    <xf numFmtId="171" fontId="2" fillId="0" borderId="1" xfId="6" applyNumberFormat="1" applyFont="1" applyBorder="1" applyAlignment="1">
      <alignment vertical="center"/>
    </xf>
    <xf numFmtId="166" fontId="0" fillId="0" borderId="0" xfId="5" applyFont="1"/>
    <xf numFmtId="166" fontId="0" fillId="0" borderId="0" xfId="0" applyNumberFormat="1"/>
    <xf numFmtId="10" fontId="2" fillId="0" borderId="1" xfId="7" applyNumberFormat="1" applyFont="1" applyBorder="1" applyAlignment="1">
      <alignment horizontal="center" vertical="center"/>
    </xf>
    <xf numFmtId="172" fontId="2" fillId="0" borderId="1" xfId="6" applyNumberFormat="1" applyFont="1" applyBorder="1" applyAlignment="1">
      <alignment horizontal="center" vertical="center"/>
    </xf>
    <xf numFmtId="171" fontId="2" fillId="0" borderId="1" xfId="6" applyNumberFormat="1" applyFont="1" applyBorder="1" applyAlignment="1">
      <alignment horizontal="center" vertical="center"/>
    </xf>
    <xf numFmtId="171" fontId="5" fillId="0" borderId="2" xfId="6" applyNumberFormat="1" applyBorder="1" applyAlignment="1">
      <alignment horizontal="center" vertical="center"/>
    </xf>
    <xf numFmtId="0" fontId="0" fillId="0" borderId="0" xfId="0" applyAlignment="1">
      <alignment horizontal="center" vertical="center"/>
    </xf>
    <xf numFmtId="10" fontId="2" fillId="0" borderId="1" xfId="2" applyNumberFormat="1" applyFont="1" applyBorder="1" applyAlignment="1">
      <alignment horizontal="center" vertical="center"/>
    </xf>
    <xf numFmtId="171" fontId="5" fillId="0" borderId="2" xfId="6" applyNumberFormat="1" applyBorder="1" applyAlignment="1">
      <alignment vertical="center"/>
    </xf>
    <xf numFmtId="0" fontId="0" fillId="0" borderId="0" xfId="0" applyAlignment="1">
      <alignment vertical="center"/>
    </xf>
    <xf numFmtId="173" fontId="2" fillId="0" borderId="1" xfId="8" applyNumberFormat="1" applyFont="1" applyBorder="1"/>
    <xf numFmtId="171" fontId="2" fillId="0" borderId="1" xfId="6" applyNumberFormat="1" applyFont="1" applyFill="1" applyBorder="1"/>
    <xf numFmtId="173" fontId="2" fillId="0" borderId="1" xfId="8" applyNumberFormat="1" applyFont="1" applyBorder="1" applyAlignment="1">
      <alignment vertical="center"/>
    </xf>
    <xf numFmtId="0" fontId="18" fillId="0" borderId="4" xfId="2" applyFont="1" applyBorder="1"/>
    <xf numFmtId="172" fontId="2" fillId="0" borderId="1" xfId="6" applyNumberFormat="1" applyFont="1" applyFill="1" applyBorder="1"/>
    <xf numFmtId="171" fontId="5" fillId="0" borderId="2" xfId="6" applyNumberFormat="1" applyFont="1" applyFill="1" applyBorder="1"/>
    <xf numFmtId="0" fontId="22" fillId="0" borderId="0" xfId="0" applyFont="1"/>
    <xf numFmtId="10" fontId="2" fillId="0" borderId="1" xfId="7" applyNumberFormat="1" applyFont="1" applyFill="1" applyBorder="1" applyAlignment="1">
      <alignment horizontal="center"/>
    </xf>
    <xf numFmtId="0" fontId="2" fillId="0" borderId="9" xfId="2" applyFont="1" applyBorder="1"/>
    <xf numFmtId="171" fontId="18" fillId="0" borderId="1" xfId="6" applyNumberFormat="1" applyFont="1" applyFill="1" applyBorder="1"/>
    <xf numFmtId="171" fontId="0" fillId="0" borderId="0" xfId="0" applyNumberFormat="1"/>
    <xf numFmtId="0" fontId="2" fillId="0" borderId="1" xfId="2" applyFont="1" applyBorder="1" applyAlignment="1">
      <alignment horizontal="center" vertical="center"/>
    </xf>
    <xf numFmtId="10" fontId="2" fillId="0" borderId="1" xfId="7" applyNumberFormat="1" applyFont="1" applyFill="1" applyBorder="1" applyAlignment="1">
      <alignment horizontal="center" vertical="center"/>
    </xf>
    <xf numFmtId="172" fontId="2" fillId="0" borderId="1" xfId="6" applyNumberFormat="1" applyFont="1" applyFill="1" applyBorder="1" applyAlignment="1">
      <alignment vertical="center"/>
    </xf>
    <xf numFmtId="171" fontId="2" fillId="0" borderId="1" xfId="6" applyNumberFormat="1" applyFont="1" applyFill="1" applyBorder="1" applyAlignment="1">
      <alignment vertical="center"/>
    </xf>
    <xf numFmtId="0" fontId="0" fillId="0" borderId="0" xfId="0" applyAlignment="1">
      <alignment horizontal="left"/>
    </xf>
    <xf numFmtId="171" fontId="5" fillId="0" borderId="0" xfId="6" applyNumberFormat="1" applyAlignment="1">
      <alignment horizontal="left"/>
    </xf>
    <xf numFmtId="0" fontId="4" fillId="0" borderId="0" xfId="0" applyFont="1"/>
    <xf numFmtId="171" fontId="5" fillId="0" borderId="0" xfId="6" applyNumberFormat="1" applyAlignment="1">
      <alignment horizontal="centerContinuous"/>
    </xf>
    <xf numFmtId="0" fontId="16" fillId="0" borderId="4" xfId="0" applyFont="1" applyBorder="1" applyAlignment="1">
      <alignment horizontal="centerContinuous"/>
    </xf>
    <xf numFmtId="0" fontId="16" fillId="0" borderId="6" xfId="0" applyFont="1" applyBorder="1" applyAlignment="1">
      <alignment horizontal="centerContinuous"/>
    </xf>
    <xf numFmtId="0" fontId="16" fillId="0" borderId="1" xfId="0" applyFont="1" applyBorder="1" applyAlignment="1">
      <alignment horizontal="center"/>
    </xf>
    <xf numFmtId="0" fontId="2" fillId="0" borderId="1" xfId="0" applyFont="1" applyBorder="1"/>
    <xf numFmtId="0" fontId="0" fillId="0" borderId="4" xfId="0" applyBorder="1"/>
    <xf numFmtId="0" fontId="0" fillId="0" borderId="5" xfId="0" applyBorder="1"/>
    <xf numFmtId="171" fontId="5" fillId="0" borderId="5" xfId="6" applyNumberFormat="1" applyBorder="1"/>
    <xf numFmtId="171" fontId="5" fillId="0" borderId="5" xfId="6" applyNumberFormat="1" applyBorder="1" applyAlignment="1">
      <alignment horizontal="center"/>
    </xf>
    <xf numFmtId="0" fontId="16" fillId="0" borderId="1" xfId="0" applyFont="1" applyBorder="1" applyAlignment="1">
      <alignment horizontal="centerContinuous"/>
    </xf>
    <xf numFmtId="171" fontId="18" fillId="0" borderId="4" xfId="6" applyNumberFormat="1" applyFont="1" applyBorder="1" applyAlignment="1">
      <alignment horizontal="centerContinuous"/>
    </xf>
    <xf numFmtId="0" fontId="16" fillId="0" borderId="5" xfId="0" applyFont="1" applyBorder="1" applyAlignment="1">
      <alignment horizontal="centerContinuous"/>
    </xf>
    <xf numFmtId="0" fontId="2" fillId="0" borderId="5" xfId="0" applyFont="1" applyBorder="1"/>
    <xf numFmtId="0" fontId="2" fillId="0" borderId="1" xfId="9" applyFont="1" applyBorder="1" applyAlignment="1">
      <alignment horizontal="center"/>
    </xf>
    <xf numFmtId="10" fontId="2" fillId="0" borderId="1" xfId="9" applyNumberFormat="1" applyFont="1" applyBorder="1" applyAlignment="1">
      <alignment horizontal="center"/>
    </xf>
    <xf numFmtId="0" fontId="2" fillId="0" borderId="9" xfId="9" applyFont="1" applyBorder="1"/>
    <xf numFmtId="0" fontId="2" fillId="0" borderId="7" xfId="9" applyFont="1" applyBorder="1"/>
    <xf numFmtId="0" fontId="2" fillId="0" borderId="4" xfId="9" applyFont="1" applyBorder="1"/>
    <xf numFmtId="0" fontId="2" fillId="0" borderId="6" xfId="9" applyFont="1" applyBorder="1"/>
    <xf numFmtId="0" fontId="2" fillId="0" borderId="1" xfId="9" applyFont="1" applyBorder="1" applyAlignment="1">
      <alignment horizontal="center" vertical="center"/>
    </xf>
    <xf numFmtId="10" fontId="2" fillId="0" borderId="1" xfId="9" applyNumberFormat="1" applyFont="1" applyBorder="1" applyAlignment="1">
      <alignment horizontal="center" vertical="center"/>
    </xf>
    <xf numFmtId="171" fontId="4" fillId="0" borderId="0" xfId="6" applyNumberFormat="1" applyFont="1" applyBorder="1"/>
    <xf numFmtId="174" fontId="0" fillId="0" borderId="0" xfId="10" applyFont="1"/>
    <xf numFmtId="0" fontId="1" fillId="0" borderId="0" xfId="2" applyAlignment="1">
      <alignment horizontal="centerContinuous"/>
    </xf>
    <xf numFmtId="0" fontId="1" fillId="0" borderId="8" xfId="2" applyBorder="1"/>
    <xf numFmtId="0" fontId="1" fillId="0" borderId="5" xfId="2" applyBorder="1" applyAlignment="1">
      <alignment horizontal="center"/>
    </xf>
    <xf numFmtId="175" fontId="2" fillId="0" borderId="1" xfId="11" applyNumberFormat="1" applyFont="1" applyBorder="1"/>
    <xf numFmtId="174" fontId="2" fillId="0" borderId="1" xfId="11" applyFont="1" applyBorder="1"/>
    <xf numFmtId="0" fontId="18" fillId="0" borderId="5" xfId="2" applyFont="1" applyBorder="1" applyAlignment="1">
      <alignment horizontal="centerContinuous"/>
    </xf>
    <xf numFmtId="0" fontId="18" fillId="0" borderId="5" xfId="2" applyFont="1" applyBorder="1" applyAlignment="1">
      <alignment horizontal="left"/>
    </xf>
    <xf numFmtId="0" fontId="18" fillId="0" borderId="5" xfId="2" applyFont="1" applyBorder="1"/>
    <xf numFmtId="172" fontId="2" fillId="0" borderId="1" xfId="12" applyNumberFormat="1" applyFont="1" applyBorder="1"/>
    <xf numFmtId="0" fontId="18" fillId="0" borderId="4" xfId="2" applyFont="1" applyBorder="1" applyAlignment="1">
      <alignment horizontal="centerContinuous"/>
    </xf>
    <xf numFmtId="9" fontId="16" fillId="0" borderId="1" xfId="7" applyFont="1" applyBorder="1" applyAlignment="1">
      <alignment horizontal="center"/>
    </xf>
    <xf numFmtId="0" fontId="4" fillId="0" borderId="0" xfId="2" applyFont="1" applyAlignment="1">
      <alignment horizontal="center"/>
    </xf>
    <xf numFmtId="174" fontId="2" fillId="0" borderId="1" xfId="11" applyFont="1" applyBorder="1" applyAlignment="1">
      <alignment vertical="center"/>
    </xf>
    <xf numFmtId="0" fontId="2" fillId="0" borderId="7" xfId="2" applyFont="1" applyBorder="1"/>
    <xf numFmtId="171" fontId="2" fillId="0" borderId="1" xfId="6" applyNumberFormat="1" applyFont="1" applyBorder="1" applyAlignment="1">
      <alignment horizontal="right"/>
    </xf>
    <xf numFmtId="10" fontId="2" fillId="0" borderId="1" xfId="14" applyNumberFormat="1" applyFont="1" applyBorder="1" applyAlignment="1">
      <alignment horizontal="center"/>
    </xf>
    <xf numFmtId="172" fontId="18" fillId="0" borderId="4" xfId="6" applyNumberFormat="1" applyFont="1" applyBorder="1"/>
    <xf numFmtId="171" fontId="2" fillId="0" borderId="4" xfId="6" applyNumberFormat="1" applyFont="1" applyBorder="1"/>
    <xf numFmtId="0" fontId="5" fillId="0" borderId="0" xfId="3"/>
    <xf numFmtId="171" fontId="5" fillId="0" borderId="0" xfId="6" applyNumberFormat="1" applyFont="1" applyAlignment="1">
      <alignment horizontal="centerContinuous"/>
    </xf>
    <xf numFmtId="0" fontId="16" fillId="0" borderId="4" xfId="3" applyFont="1" applyBorder="1" applyAlignment="1">
      <alignment horizontal="centerContinuous"/>
    </xf>
    <xf numFmtId="0" fontId="16" fillId="0" borderId="6" xfId="3" applyFont="1" applyBorder="1" applyAlignment="1">
      <alignment horizontal="centerContinuous"/>
    </xf>
    <xf numFmtId="0" fontId="16" fillId="0" borderId="1" xfId="3" applyFont="1" applyBorder="1" applyAlignment="1">
      <alignment horizontal="center"/>
    </xf>
    <xf numFmtId="0" fontId="2" fillId="0" borderId="4" xfId="3" applyFont="1" applyBorder="1"/>
    <xf numFmtId="0" fontId="2" fillId="0" borderId="6" xfId="3" applyFont="1" applyBorder="1"/>
    <xf numFmtId="0" fontId="2" fillId="0" borderId="1" xfId="3" applyFont="1" applyBorder="1"/>
    <xf numFmtId="0" fontId="2" fillId="0" borderId="1" xfId="3" applyFont="1" applyBorder="1" applyAlignment="1">
      <alignment horizontal="center"/>
    </xf>
    <xf numFmtId="0" fontId="5" fillId="0" borderId="4" xfId="3" applyBorder="1"/>
    <xf numFmtId="0" fontId="5" fillId="0" borderId="5" xfId="3" applyBorder="1"/>
    <xf numFmtId="171" fontId="5" fillId="0" borderId="6" xfId="6" applyNumberFormat="1" applyBorder="1" applyAlignment="1">
      <alignment horizontal="center"/>
    </xf>
    <xf numFmtId="0" fontId="16" fillId="0" borderId="1" xfId="3" applyFont="1" applyBorder="1" applyAlignment="1">
      <alignment horizontal="centerContinuous"/>
    </xf>
    <xf numFmtId="0" fontId="2" fillId="0" borderId="1" xfId="3" applyFont="1" applyBorder="1" applyAlignment="1">
      <alignment horizontal="center" vertical="center"/>
    </xf>
    <xf numFmtId="10" fontId="2" fillId="0" borderId="1" xfId="3" applyNumberFormat="1" applyFont="1" applyBorder="1" applyAlignment="1">
      <alignment horizontal="center" vertical="center"/>
    </xf>
    <xf numFmtId="10" fontId="2" fillId="0" borderId="1" xfId="3" applyNumberFormat="1" applyFont="1" applyBorder="1" applyAlignment="1">
      <alignment horizontal="center"/>
    </xf>
    <xf numFmtId="0" fontId="2" fillId="0" borderId="5" xfId="3" applyFont="1" applyBorder="1"/>
    <xf numFmtId="171" fontId="18" fillId="0" borderId="9" xfId="6" applyNumberFormat="1" applyFont="1" applyBorder="1"/>
    <xf numFmtId="171" fontId="18" fillId="0" borderId="11" xfId="6" applyNumberFormat="1" applyFont="1" applyBorder="1" applyAlignment="1">
      <alignment horizontal="centerContinuous"/>
    </xf>
    <xf numFmtId="171" fontId="18" fillId="0" borderId="7" xfId="6" applyNumberFormat="1" applyFont="1" applyBorder="1" applyAlignment="1">
      <alignment horizontal="centerContinuous"/>
    </xf>
    <xf numFmtId="0" fontId="16" fillId="0" borderId="5" xfId="3" applyFont="1" applyBorder="1" applyAlignment="1">
      <alignment horizontal="centerContinuous"/>
    </xf>
    <xf numFmtId="174" fontId="0" fillId="0" borderId="0" xfId="0" applyNumberFormat="1"/>
    <xf numFmtId="177" fontId="32" fillId="0" borderId="0" xfId="13" applyNumberFormat="1" applyFont="1" applyBorder="1" applyAlignment="1">
      <alignment vertical="center"/>
    </xf>
    <xf numFmtId="0" fontId="0" fillId="0" borderId="0" xfId="0" applyFont="1"/>
    <xf numFmtId="165" fontId="0" fillId="0" borderId="0" xfId="1" applyFont="1"/>
    <xf numFmtId="171" fontId="2" fillId="0" borderId="2" xfId="6" applyNumberFormat="1" applyFont="1" applyBorder="1" applyAlignment="1">
      <alignment horizontal="center" vertical="center"/>
    </xf>
    <xf numFmtId="0" fontId="8" fillId="0" borderId="0" xfId="0" applyFont="1"/>
    <xf numFmtId="165" fontId="33" fillId="0" borderId="0" xfId="1" applyFont="1"/>
    <xf numFmtId="49" fontId="7" fillId="5" borderId="1" xfId="3" applyNumberFormat="1" applyFont="1" applyFill="1" applyBorder="1" applyAlignment="1">
      <alignment vertical="center" wrapText="1"/>
    </xf>
    <xf numFmtId="168" fontId="34" fillId="0" borderId="1" xfId="4" applyNumberFormat="1" applyFont="1" applyBorder="1" applyAlignment="1">
      <alignment horizontal="center" vertical="center" wrapText="1"/>
    </xf>
    <xf numFmtId="0" fontId="35" fillId="0" borderId="0" xfId="0" applyFont="1" applyAlignment="1">
      <alignment horizontal="center" vertical="center"/>
    </xf>
    <xf numFmtId="0" fontId="34" fillId="6" borderId="1" xfId="2" applyFont="1" applyFill="1" applyBorder="1" applyAlignment="1">
      <alignment horizontal="center" vertical="center" wrapText="1"/>
    </xf>
    <xf numFmtId="169" fontId="36" fillId="5" borderId="1" xfId="0" applyNumberFormat="1" applyFont="1" applyFill="1" applyBorder="1" applyAlignment="1">
      <alignment horizontal="center" vertical="top" shrinkToFit="1"/>
    </xf>
    <xf numFmtId="0" fontId="34" fillId="0" borderId="1" xfId="0" applyFont="1" applyBorder="1" applyAlignment="1">
      <alignment horizontal="center" vertical="center" wrapText="1"/>
    </xf>
    <xf numFmtId="0" fontId="34" fillId="2" borderId="1" xfId="2" applyFont="1" applyFill="1" applyBorder="1" applyAlignment="1">
      <alignment horizontal="center" vertical="center" wrapText="1"/>
    </xf>
    <xf numFmtId="3" fontId="34" fillId="3" borderId="1" xfId="3" applyNumberFormat="1" applyFont="1" applyFill="1" applyBorder="1" applyAlignment="1">
      <alignment horizontal="center" vertical="center" wrapText="1"/>
    </xf>
    <xf numFmtId="168" fontId="34" fillId="0" borderId="1" xfId="3" applyNumberFormat="1" applyFont="1" applyBorder="1" applyAlignment="1">
      <alignment horizontal="center" vertical="center" wrapText="1"/>
    </xf>
    <xf numFmtId="168" fontId="34" fillId="3" borderId="1" xfId="3" applyNumberFormat="1" applyFont="1" applyFill="1" applyBorder="1" applyAlignment="1">
      <alignment horizontal="center" vertical="center" wrapText="1"/>
    </xf>
    <xf numFmtId="4" fontId="34" fillId="0" borderId="1" xfId="4" applyNumberFormat="1" applyFont="1" applyBorder="1" applyAlignment="1">
      <alignment horizontal="center" vertical="center" wrapText="1"/>
    </xf>
    <xf numFmtId="0" fontId="34" fillId="3" borderId="1" xfId="0" applyFont="1" applyFill="1" applyBorder="1" applyAlignment="1">
      <alignment horizontal="center" vertical="center" wrapText="1"/>
    </xf>
    <xf numFmtId="168" fontId="34" fillId="0" borderId="1" xfId="3" applyNumberFormat="1" applyFont="1" applyFill="1" applyBorder="1" applyAlignment="1">
      <alignment horizontal="center" vertical="center" wrapText="1"/>
    </xf>
    <xf numFmtId="4" fontId="34" fillId="3" borderId="1" xfId="4" applyNumberFormat="1" applyFont="1" applyFill="1" applyBorder="1" applyAlignment="1">
      <alignment horizontal="center" vertical="center" wrapText="1"/>
    </xf>
    <xf numFmtId="3" fontId="34" fillId="6" borderId="1" xfId="4" applyNumberFormat="1" applyFont="1" applyFill="1" applyBorder="1" applyAlignment="1">
      <alignment horizontal="center" vertical="center" wrapText="1"/>
    </xf>
    <xf numFmtId="3" fontId="34" fillId="3" borderId="1" xfId="4" applyNumberFormat="1" applyFont="1" applyFill="1" applyBorder="1" applyAlignment="1">
      <alignment horizontal="center" vertical="center" wrapText="1"/>
    </xf>
    <xf numFmtId="168" fontId="34" fillId="0" borderId="1" xfId="4" applyNumberFormat="1" applyFont="1" applyFill="1" applyBorder="1" applyAlignment="1">
      <alignment horizontal="center" vertical="center" wrapText="1"/>
    </xf>
    <xf numFmtId="169" fontId="37" fillId="0" borderId="1" xfId="0" applyNumberFormat="1" applyFont="1" applyBorder="1" applyAlignment="1">
      <alignment horizontal="center" vertical="center" shrinkToFit="1"/>
    </xf>
    <xf numFmtId="168" fontId="34" fillId="3" borderId="1" xfId="4" applyNumberFormat="1" applyFont="1" applyFill="1" applyBorder="1" applyAlignment="1">
      <alignment horizontal="center" vertical="center" wrapText="1"/>
    </xf>
    <xf numFmtId="168" fontId="34" fillId="7" borderId="1" xfId="4" applyNumberFormat="1" applyFont="1" applyFill="1" applyBorder="1" applyAlignment="1">
      <alignment horizontal="center" vertical="center" wrapText="1"/>
    </xf>
    <xf numFmtId="165" fontId="2" fillId="0" borderId="1" xfId="1" applyFont="1" applyBorder="1" applyAlignment="1">
      <alignment horizontal="center"/>
    </xf>
    <xf numFmtId="165" fontId="2" fillId="0" borderId="1" xfId="1" applyFont="1" applyBorder="1"/>
    <xf numFmtId="171" fontId="2" fillId="0" borderId="1" xfId="6" applyNumberFormat="1" applyFont="1" applyBorder="1" applyAlignment="1">
      <alignment horizontal="center"/>
    </xf>
    <xf numFmtId="0" fontId="2" fillId="0" borderId="1" xfId="0" applyFont="1" applyFill="1" applyBorder="1" applyAlignment="1">
      <alignment horizontal="center" vertical="center"/>
    </xf>
    <xf numFmtId="0" fontId="15" fillId="0" borderId="0" xfId="2" applyFont="1" applyAlignment="1">
      <alignment horizontal="center"/>
    </xf>
    <xf numFmtId="0" fontId="2" fillId="0" borderId="4" xfId="2" applyFont="1" applyBorder="1" applyAlignment="1">
      <alignment horizontal="left" wrapText="1"/>
    </xf>
    <xf numFmtId="0" fontId="2" fillId="0" borderId="6" xfId="2" applyFont="1" applyBorder="1" applyAlignment="1">
      <alignment horizontal="left" wrapText="1"/>
    </xf>
    <xf numFmtId="0" fontId="0" fillId="0" borderId="0" xfId="0" applyFill="1" applyAlignment="1">
      <alignment horizontal="left"/>
    </xf>
    <xf numFmtId="171" fontId="5" fillId="0" borderId="0" xfId="6" applyNumberFormat="1" applyFill="1" applyAlignment="1">
      <alignment horizontal="left"/>
    </xf>
    <xf numFmtId="171" fontId="5" fillId="0" borderId="0" xfId="6" applyNumberFormat="1" applyFill="1"/>
    <xf numFmtId="172" fontId="2" fillId="0" borderId="1" xfId="6" applyNumberFormat="1" applyFont="1" applyBorder="1" applyAlignment="1">
      <alignment horizontal="left"/>
    </xf>
    <xf numFmtId="174" fontId="0" fillId="0" borderId="0" xfId="0" applyNumberFormat="1" applyFill="1"/>
    <xf numFmtId="177" fontId="32" fillId="0" borderId="0" xfId="13" applyNumberFormat="1" applyFont="1" applyFill="1" applyBorder="1" applyAlignment="1">
      <alignment vertical="center"/>
    </xf>
    <xf numFmtId="174" fontId="0" fillId="0" borderId="0" xfId="0" applyNumberFormat="1" applyBorder="1"/>
    <xf numFmtId="0" fontId="6" fillId="0" borderId="0" xfId="0" applyFont="1"/>
    <xf numFmtId="166" fontId="6" fillId="0" borderId="0" xfId="5" applyFont="1"/>
    <xf numFmtId="0" fontId="41" fillId="0" borderId="4" xfId="2" applyFont="1" applyBorder="1"/>
    <xf numFmtId="171" fontId="2" fillId="9" borderId="1" xfId="6" applyNumberFormat="1" applyFont="1" applyFill="1" applyBorder="1"/>
    <xf numFmtId="0" fontId="38" fillId="0" borderId="4" xfId="2" applyFont="1" applyBorder="1"/>
    <xf numFmtId="166" fontId="5" fillId="0" borderId="0" xfId="5" applyFont="1"/>
    <xf numFmtId="2" fontId="1" fillId="0" borderId="0" xfId="2" applyNumberFormat="1"/>
    <xf numFmtId="171" fontId="5" fillId="0" borderId="0" xfId="6" applyNumberFormat="1" applyFont="1"/>
    <xf numFmtId="2" fontId="1" fillId="0" borderId="0" xfId="2" applyNumberFormat="1" applyAlignment="1">
      <alignment horizontal="left"/>
    </xf>
    <xf numFmtId="171" fontId="5" fillId="0" borderId="0" xfId="6" applyNumberFormat="1" applyFont="1" applyAlignment="1">
      <alignment horizontal="left"/>
    </xf>
    <xf numFmtId="2" fontId="4" fillId="0" borderId="0" xfId="2" applyNumberFormat="1" applyFont="1"/>
    <xf numFmtId="2" fontId="16" fillId="0" borderId="4" xfId="2" applyNumberFormat="1" applyFont="1" applyBorder="1" applyAlignment="1">
      <alignment horizontal="centerContinuous"/>
    </xf>
    <xf numFmtId="2" fontId="16" fillId="0" borderId="6" xfId="2" applyNumberFormat="1" applyFont="1" applyBorder="1" applyAlignment="1">
      <alignment horizontal="centerContinuous"/>
    </xf>
    <xf numFmtId="2" fontId="16" fillId="0" borderId="1" xfId="2" applyNumberFormat="1" applyFont="1" applyBorder="1" applyAlignment="1">
      <alignment horizontal="center"/>
    </xf>
    <xf numFmtId="171" fontId="5" fillId="0" borderId="8" xfId="6" applyNumberFormat="1" applyFont="1" applyBorder="1"/>
    <xf numFmtId="2" fontId="2" fillId="0" borderId="4" xfId="2" applyNumberFormat="1" applyFont="1" applyBorder="1"/>
    <xf numFmtId="2" fontId="2" fillId="0" borderId="6" xfId="2" applyNumberFormat="1" applyFont="1" applyBorder="1"/>
    <xf numFmtId="2" fontId="2" fillId="0" borderId="1" xfId="2" applyNumberFormat="1" applyFont="1" applyBorder="1"/>
    <xf numFmtId="2" fontId="1" fillId="0" borderId="4" xfId="2" applyNumberFormat="1" applyBorder="1"/>
    <xf numFmtId="2" fontId="1" fillId="0" borderId="5" xfId="2" applyNumberFormat="1" applyBorder="1"/>
    <xf numFmtId="2" fontId="16" fillId="0" borderId="1" xfId="2" applyNumberFormat="1" applyFont="1" applyBorder="1" applyAlignment="1">
      <alignment horizontal="centerContinuous"/>
    </xf>
    <xf numFmtId="2" fontId="2" fillId="0" borderId="1" xfId="2" applyNumberFormat="1" applyFont="1" applyBorder="1" applyAlignment="1">
      <alignment horizontal="center"/>
    </xf>
    <xf numFmtId="2" fontId="2" fillId="0" borderId="9" xfId="2" applyNumberFormat="1" applyFont="1" applyBorder="1"/>
    <xf numFmtId="2" fontId="2" fillId="0" borderId="7" xfId="2" applyNumberFormat="1" applyFont="1" applyBorder="1"/>
    <xf numFmtId="2" fontId="16" fillId="0" borderId="5" xfId="2" applyNumberFormat="1" applyFont="1" applyBorder="1" applyAlignment="1">
      <alignment horizontal="centerContinuous"/>
    </xf>
    <xf numFmtId="2" fontId="2" fillId="0" borderId="5" xfId="2" applyNumberFormat="1" applyFont="1" applyBorder="1"/>
    <xf numFmtId="171" fontId="18" fillId="0" borderId="0" xfId="6" applyNumberFormat="1" applyFont="1" applyBorder="1"/>
    <xf numFmtId="171" fontId="18" fillId="0" borderId="0" xfId="6" applyNumberFormat="1" applyFont="1" applyFill="1" applyBorder="1"/>
    <xf numFmtId="171" fontId="16" fillId="0" borderId="0" xfId="6" applyNumberFormat="1" applyFont="1" applyBorder="1"/>
    <xf numFmtId="171" fontId="18" fillId="8" borderId="0" xfId="6" applyNumberFormat="1" applyFont="1" applyFill="1" applyBorder="1"/>
    <xf numFmtId="2" fontId="19" fillId="0" borderId="0" xfId="0" applyNumberFormat="1" applyFont="1" applyBorder="1" applyAlignment="1">
      <alignment vertical="center" shrinkToFit="1"/>
    </xf>
    <xf numFmtId="171" fontId="5" fillId="0" borderId="0" xfId="6" applyNumberFormat="1" applyBorder="1" applyAlignment="1">
      <alignment horizontal="center" vertical="center"/>
    </xf>
    <xf numFmtId="171" fontId="5" fillId="0" borderId="0" xfId="6" applyNumberFormat="1" applyBorder="1" applyAlignment="1">
      <alignment vertical="center"/>
    </xf>
    <xf numFmtId="171" fontId="5" fillId="0" borderId="0" xfId="6" applyNumberFormat="1" applyFont="1" applyFill="1" applyBorder="1"/>
    <xf numFmtId="0" fontId="1" fillId="0" borderId="0" xfId="2" applyBorder="1"/>
    <xf numFmtId="43" fontId="4" fillId="0" borderId="0" xfId="2" applyNumberFormat="1" applyFont="1" applyBorder="1"/>
    <xf numFmtId="171" fontId="2" fillId="0" borderId="0" xfId="6" applyNumberFormat="1" applyFont="1" applyBorder="1"/>
    <xf numFmtId="171" fontId="40" fillId="0" borderId="0" xfId="6" applyNumberFormat="1" applyFont="1" applyFill="1" applyBorder="1"/>
    <xf numFmtId="171" fontId="2" fillId="0" borderId="0" xfId="6" applyNumberFormat="1" applyFont="1" applyBorder="1" applyAlignment="1">
      <alignment horizontal="center" vertical="center"/>
    </xf>
    <xf numFmtId="171" fontId="5" fillId="0" borderId="14" xfId="6" applyNumberFormat="1" applyBorder="1"/>
    <xf numFmtId="171" fontId="5" fillId="0" borderId="0" xfId="6" applyNumberFormat="1" applyFont="1" applyBorder="1"/>
    <xf numFmtId="171" fontId="5" fillId="0" borderId="15" xfId="6" applyNumberFormat="1" applyBorder="1"/>
    <xf numFmtId="171" fontId="5" fillId="0" borderId="16" xfId="6" applyNumberFormat="1" applyBorder="1"/>
    <xf numFmtId="171" fontId="5" fillId="0" borderId="9" xfId="6" applyNumberFormat="1" applyBorder="1"/>
    <xf numFmtId="171" fontId="18" fillId="0" borderId="4" xfId="6" applyNumberFormat="1" applyFont="1" applyFill="1" applyBorder="1"/>
    <xf numFmtId="171" fontId="16" fillId="0" borderId="4" xfId="6" applyNumberFormat="1" applyFont="1" applyBorder="1"/>
    <xf numFmtId="171" fontId="4" fillId="0" borderId="17" xfId="6" applyNumberFormat="1" applyFont="1" applyBorder="1"/>
    <xf numFmtId="171" fontId="18" fillId="8" borderId="4" xfId="6" applyNumberFormat="1" applyFont="1" applyFill="1" applyBorder="1"/>
    <xf numFmtId="2" fontId="19" fillId="0" borderId="4" xfId="0" applyNumberFormat="1" applyFont="1" applyBorder="1" applyAlignment="1">
      <alignment vertical="center" shrinkToFit="1"/>
    </xf>
    <xf numFmtId="171" fontId="5" fillId="0" borderId="16" xfId="6" applyNumberFormat="1" applyBorder="1" applyAlignment="1">
      <alignment horizontal="center" vertical="center"/>
    </xf>
    <xf numFmtId="171" fontId="5" fillId="0" borderId="16" xfId="6" applyNumberFormat="1" applyBorder="1" applyAlignment="1">
      <alignment vertical="center"/>
    </xf>
    <xf numFmtId="43" fontId="4" fillId="0" borderId="17" xfId="2" applyNumberFormat="1" applyFont="1" applyBorder="1"/>
    <xf numFmtId="171" fontId="4" fillId="0" borderId="4" xfId="6" applyNumberFormat="1" applyFont="1" applyBorder="1"/>
    <xf numFmtId="171" fontId="16" fillId="0" borderId="6" xfId="6" applyNumberFormat="1" applyFont="1" applyBorder="1" applyAlignment="1">
      <alignment horizontal="center"/>
    </xf>
    <xf numFmtId="172" fontId="2" fillId="0" borderId="6" xfId="6" applyNumberFormat="1" applyFont="1" applyBorder="1"/>
    <xf numFmtId="171" fontId="3" fillId="0" borderId="6" xfId="6" applyNumberFormat="1" applyFont="1" applyBorder="1" applyAlignment="1">
      <alignment horizontal="center" vertical="center" wrapText="1"/>
    </xf>
    <xf numFmtId="0" fontId="15" fillId="0" borderId="0" xfId="2" applyFont="1" applyBorder="1" applyAlignment="1">
      <alignment horizontal="center"/>
    </xf>
    <xf numFmtId="171" fontId="2" fillId="0" borderId="0" xfId="6" applyNumberFormat="1" applyFont="1" applyBorder="1" applyAlignment="1">
      <alignment horizontal="right"/>
    </xf>
    <xf numFmtId="0" fontId="16" fillId="0" borderId="0" xfId="2" applyFont="1" applyBorder="1" applyAlignment="1">
      <alignment horizontal="left" wrapText="1"/>
    </xf>
    <xf numFmtId="171" fontId="5" fillId="0" borderId="0" xfId="6" applyNumberFormat="1" applyBorder="1" applyAlignment="1">
      <alignment horizontal="center"/>
    </xf>
    <xf numFmtId="0" fontId="16" fillId="0" borderId="0" xfId="2" applyFont="1" applyBorder="1" applyAlignment="1">
      <alignment horizontal="left" vertical="center" wrapText="1"/>
    </xf>
    <xf numFmtId="0" fontId="0" fillId="0" borderId="0" xfId="0" applyBorder="1"/>
    <xf numFmtId="0" fontId="3" fillId="0" borderId="0" xfId="2" applyFont="1" applyBorder="1" applyAlignment="1">
      <alignment horizontal="left" wrapText="1"/>
    </xf>
    <xf numFmtId="0" fontId="3" fillId="0" borderId="0" xfId="2" applyFont="1" applyBorder="1" applyAlignment="1">
      <alignment horizontal="left" vertical="center" wrapText="1"/>
    </xf>
    <xf numFmtId="0" fontId="26" fillId="0" borderId="0" xfId="2" applyFont="1" applyBorder="1" applyAlignment="1">
      <alignment horizontal="center"/>
    </xf>
    <xf numFmtId="0" fontId="1" fillId="0" borderId="0" xfId="2" applyBorder="1" applyAlignment="1">
      <alignment horizontal="centerContinuous"/>
    </xf>
    <xf numFmtId="171" fontId="5" fillId="0" borderId="0" xfId="6" applyNumberFormat="1" applyFill="1" applyBorder="1"/>
    <xf numFmtId="171" fontId="5" fillId="0" borderId="0" xfId="6" applyNumberFormat="1" applyBorder="1" applyAlignment="1">
      <alignment horizontal="centerContinuous"/>
    </xf>
    <xf numFmtId="171" fontId="5" fillId="0" borderId="0" xfId="6" applyNumberFormat="1" applyBorder="1" applyAlignment="1">
      <alignment horizontal="right"/>
    </xf>
    <xf numFmtId="0" fontId="4" fillId="0" borderId="0" xfId="0" applyFont="1" applyBorder="1" applyAlignment="1">
      <alignment horizontal="left" wrapText="1"/>
    </xf>
    <xf numFmtId="0" fontId="27" fillId="0" borderId="0" xfId="2" applyFont="1" applyBorder="1" applyAlignment="1">
      <alignment horizontal="center"/>
    </xf>
    <xf numFmtId="0" fontId="4" fillId="0" borderId="0" xfId="3" applyFont="1" applyBorder="1" applyAlignment="1">
      <alignment horizontal="center"/>
    </xf>
    <xf numFmtId="0" fontId="4" fillId="0" borderId="0" xfId="3" applyFont="1" applyBorder="1" applyAlignment="1">
      <alignment horizontal="left" vertical="center" wrapText="1"/>
    </xf>
    <xf numFmtId="0" fontId="30" fillId="0" borderId="0" xfId="0" applyFont="1" applyBorder="1" applyAlignment="1">
      <alignment horizontal="center"/>
    </xf>
    <xf numFmtId="0" fontId="4" fillId="0" borderId="0" xfId="0" applyFont="1" applyBorder="1" applyAlignment="1">
      <alignment horizontal="left" vertical="center" wrapText="1"/>
    </xf>
    <xf numFmtId="0" fontId="16" fillId="0" borderId="0" xfId="2" applyFont="1" applyFill="1" applyBorder="1" applyAlignment="1">
      <alignment horizontal="left" vertical="center" wrapText="1"/>
    </xf>
    <xf numFmtId="0" fontId="4" fillId="0" borderId="0" xfId="2" applyFont="1" applyBorder="1" applyAlignment="1">
      <alignment horizontal="left" vertical="center" wrapText="1"/>
    </xf>
    <xf numFmtId="2" fontId="43" fillId="0" borderId="0" xfId="2" applyNumberFormat="1" applyFont="1" applyBorder="1" applyAlignment="1">
      <alignment horizontal="center"/>
    </xf>
    <xf numFmtId="171" fontId="5" fillId="0" borderId="0" xfId="6" applyNumberFormat="1" applyFont="1" applyBorder="1" applyAlignment="1">
      <alignment horizontal="centerContinuous"/>
    </xf>
    <xf numFmtId="2" fontId="42" fillId="0" borderId="0" xfId="2" applyNumberFormat="1" applyFont="1" applyBorder="1" applyAlignment="1">
      <alignment horizontal="center"/>
    </xf>
    <xf numFmtId="171" fontId="18" fillId="0" borderId="11" xfId="6" applyNumberFormat="1" applyFont="1" applyBorder="1"/>
    <xf numFmtId="171" fontId="16" fillId="0" borderId="0" xfId="6" applyNumberFormat="1" applyFont="1" applyBorder="1" applyAlignment="1">
      <alignment horizontal="center"/>
    </xf>
    <xf numFmtId="171" fontId="18" fillId="0" borderId="12" xfId="6" applyNumberFormat="1" applyFont="1" applyBorder="1"/>
    <xf numFmtId="171" fontId="18" fillId="0" borderId="0" xfId="6" applyNumberFormat="1" applyFont="1" applyBorder="1" applyAlignment="1">
      <alignment horizontal="centerContinuous"/>
    </xf>
    <xf numFmtId="171" fontId="16" fillId="0" borderId="0" xfId="6" applyNumberFormat="1" applyFont="1" applyBorder="1" applyAlignment="1">
      <alignment horizontal="centerContinuous"/>
    </xf>
    <xf numFmtId="171" fontId="4" fillId="0" borderId="0" xfId="6" applyNumberFormat="1" applyFont="1" applyBorder="1" applyAlignment="1">
      <alignment horizontal="center"/>
    </xf>
    <xf numFmtId="171" fontId="44" fillId="0" borderId="0" xfId="6" applyNumberFormat="1" applyFont="1" applyBorder="1"/>
    <xf numFmtId="171" fontId="44" fillId="4" borderId="0" xfId="6" applyNumberFormat="1" applyFont="1" applyFill="1" applyBorder="1"/>
    <xf numFmtId="166" fontId="0" fillId="4" borderId="0" xfId="5" applyFont="1" applyFill="1"/>
    <xf numFmtId="0" fontId="0" fillId="4" borderId="0" xfId="0" applyFill="1"/>
    <xf numFmtId="171" fontId="2" fillId="4" borderId="6" xfId="6" applyNumberFormat="1" applyFont="1" applyFill="1" applyBorder="1"/>
    <xf numFmtId="172" fontId="2" fillId="4" borderId="6" xfId="6" applyNumberFormat="1" applyFont="1" applyFill="1" applyBorder="1"/>
    <xf numFmtId="172" fontId="2" fillId="4" borderId="13" xfId="6" applyNumberFormat="1" applyFont="1" applyFill="1" applyBorder="1"/>
    <xf numFmtId="172" fontId="2" fillId="0" borderId="0" xfId="6" applyNumberFormat="1" applyFont="1" applyBorder="1"/>
    <xf numFmtId="0" fontId="26" fillId="0" borderId="0" xfId="0" applyFont="1"/>
    <xf numFmtId="2" fontId="1" fillId="0" borderId="16" xfId="2" applyNumberFormat="1" applyBorder="1"/>
    <xf numFmtId="2" fontId="1" fillId="0" borderId="0" xfId="2" applyNumberFormat="1" applyBorder="1"/>
    <xf numFmtId="0" fontId="1" fillId="0" borderId="16" xfId="2" applyBorder="1"/>
    <xf numFmtId="171" fontId="4" fillId="0" borderId="18" xfId="6" applyNumberFormat="1" applyFont="1" applyBorder="1"/>
    <xf numFmtId="171" fontId="4" fillId="0" borderId="14" xfId="6" applyNumberFormat="1" applyFont="1" applyBorder="1"/>
    <xf numFmtId="2" fontId="1" fillId="0" borderId="0" xfId="2" applyNumberFormat="1" applyBorder="1" applyAlignment="1">
      <alignment horizontal="left"/>
    </xf>
    <xf numFmtId="171" fontId="5" fillId="0" borderId="0" xfId="6" applyNumberFormat="1" applyFont="1" applyBorder="1" applyAlignment="1">
      <alignment horizontal="left"/>
    </xf>
    <xf numFmtId="171" fontId="5" fillId="0" borderId="14" xfId="6" applyNumberFormat="1" applyFont="1" applyBorder="1" applyAlignment="1">
      <alignment horizontal="centerContinuous"/>
    </xf>
    <xf numFmtId="0" fontId="0" fillId="0" borderId="16" xfId="0" applyBorder="1"/>
    <xf numFmtId="0" fontId="0" fillId="0" borderId="14" xfId="0" applyBorder="1"/>
    <xf numFmtId="0" fontId="15" fillId="0" borderId="14" xfId="2" applyFont="1" applyBorder="1" applyAlignment="1">
      <alignment horizontal="center"/>
    </xf>
    <xf numFmtId="171" fontId="5" fillId="0" borderId="14" xfId="6" applyNumberFormat="1" applyBorder="1" applyAlignment="1">
      <alignment horizontal="centerContinuous"/>
    </xf>
    <xf numFmtId="0" fontId="2" fillId="0" borderId="11" xfId="2" applyFont="1" applyBorder="1"/>
    <xf numFmtId="171" fontId="2" fillId="0" borderId="7" xfId="6" applyNumberFormat="1" applyFont="1" applyBorder="1"/>
    <xf numFmtId="9" fontId="2" fillId="0" borderId="3" xfId="7" applyFont="1" applyBorder="1"/>
    <xf numFmtId="171" fontId="2" fillId="0" borderId="3" xfId="6" applyNumberFormat="1" applyFont="1" applyBorder="1"/>
    <xf numFmtId="171" fontId="5" fillId="0" borderId="0" xfId="6" applyNumberFormat="1" applyFill="1" applyBorder="1" applyAlignment="1">
      <alignment horizontal="center" vertical="center"/>
    </xf>
    <xf numFmtId="0" fontId="2" fillId="0" borderId="4" xfId="2" applyFont="1" applyFill="1" applyBorder="1"/>
    <xf numFmtId="0" fontId="2" fillId="0" borderId="6" xfId="2" applyFont="1" applyFill="1" applyBorder="1"/>
    <xf numFmtId="0" fontId="2" fillId="0" borderId="7" xfId="2" applyFont="1" applyFill="1" applyBorder="1"/>
    <xf numFmtId="0" fontId="2" fillId="0" borderId="9" xfId="3" applyFont="1" applyBorder="1"/>
    <xf numFmtId="0" fontId="2" fillId="0" borderId="11" xfId="3" applyFont="1" applyBorder="1"/>
    <xf numFmtId="0" fontId="5" fillId="0" borderId="16" xfId="3" applyBorder="1"/>
    <xf numFmtId="0" fontId="5" fillId="0" borderId="0" xfId="3" applyBorder="1"/>
    <xf numFmtId="0" fontId="2" fillId="0" borderId="11" xfId="0" applyFont="1" applyBorder="1"/>
    <xf numFmtId="2" fontId="4" fillId="0" borderId="0" xfId="2" applyNumberFormat="1" applyFont="1" applyBorder="1"/>
    <xf numFmtId="0" fontId="9" fillId="0" borderId="0" xfId="0" applyFont="1"/>
    <xf numFmtId="0" fontId="45" fillId="0" borderId="0" xfId="0" applyFont="1" applyAlignment="1">
      <alignment horizontal="center" vertical="center"/>
    </xf>
    <xf numFmtId="0" fontId="34" fillId="6" borderId="1" xfId="2" applyFont="1" applyFill="1" applyBorder="1" applyAlignment="1">
      <alignment vertical="center" wrapText="1"/>
    </xf>
    <xf numFmtId="0" fontId="46" fillId="0" borderId="1" xfId="0" applyFont="1" applyBorder="1" applyAlignment="1">
      <alignment horizontal="center" vertical="center" wrapText="1"/>
    </xf>
    <xf numFmtId="0" fontId="34" fillId="2" borderId="1" xfId="2" applyFont="1" applyFill="1" applyBorder="1" applyAlignment="1">
      <alignment vertical="center" wrapText="1"/>
    </xf>
    <xf numFmtId="49" fontId="34" fillId="3" borderId="1" xfId="3" applyNumberFormat="1" applyFont="1" applyFill="1" applyBorder="1" applyAlignment="1">
      <alignment vertical="center" wrapText="1"/>
    </xf>
    <xf numFmtId="0" fontId="46" fillId="0" borderId="1" xfId="3" applyFont="1" applyBorder="1" applyAlignment="1">
      <alignment horizontal="center" vertical="center" wrapText="1"/>
    </xf>
    <xf numFmtId="49" fontId="34" fillId="3" borderId="1" xfId="3" applyNumberFormat="1" applyFont="1" applyFill="1" applyBorder="1" applyAlignment="1">
      <alignment horizontal="center" vertical="center" wrapText="1"/>
    </xf>
    <xf numFmtId="0" fontId="46" fillId="0" borderId="1" xfId="4" applyFont="1" applyBorder="1" applyAlignment="1">
      <alignment horizontal="center" vertical="center" wrapText="1"/>
    </xf>
    <xf numFmtId="0" fontId="46" fillId="3" borderId="1" xfId="0" applyFont="1" applyFill="1" applyBorder="1" applyAlignment="1">
      <alignment horizontal="center" vertical="center" wrapText="1"/>
    </xf>
    <xf numFmtId="0" fontId="34" fillId="3" borderId="1" xfId="3" applyFont="1" applyFill="1" applyBorder="1" applyAlignment="1">
      <alignment horizontal="center" vertical="center" wrapText="1"/>
    </xf>
    <xf numFmtId="0" fontId="46" fillId="3" borderId="1" xfId="3" applyFont="1" applyFill="1" applyBorder="1" applyAlignment="1">
      <alignment horizontal="center" vertical="center" wrapText="1"/>
    </xf>
    <xf numFmtId="0" fontId="34" fillId="0" borderId="1" xfId="0" applyFont="1" applyBorder="1" applyAlignment="1">
      <alignment vertical="center" wrapText="1"/>
    </xf>
    <xf numFmtId="49" fontId="34" fillId="6" borderId="1" xfId="4" applyNumberFormat="1" applyFont="1" applyFill="1" applyBorder="1" applyAlignment="1">
      <alignment horizontal="center" vertical="center" wrapText="1"/>
    </xf>
    <xf numFmtId="49" fontId="34" fillId="3" borderId="1" xfId="4" applyNumberFormat="1" applyFont="1" applyFill="1" applyBorder="1" applyAlignment="1">
      <alignment horizontal="center" vertical="center" wrapText="1"/>
    </xf>
    <xf numFmtId="49" fontId="46" fillId="3" borderId="1" xfId="4" applyNumberFormat="1" applyFont="1" applyFill="1" applyBorder="1" applyAlignment="1">
      <alignment horizontal="center" vertical="center" wrapText="1"/>
    </xf>
    <xf numFmtId="0" fontId="46" fillId="0" borderId="1" xfId="0" applyFont="1" applyFill="1" applyBorder="1" applyAlignment="1">
      <alignment horizontal="center" vertical="center" wrapText="1"/>
    </xf>
    <xf numFmtId="10" fontId="2" fillId="0" borderId="1" xfId="0" applyNumberFormat="1" applyFont="1" applyFill="1" applyBorder="1" applyAlignment="1">
      <alignment horizontal="center" vertical="center"/>
    </xf>
    <xf numFmtId="171" fontId="5" fillId="0" borderId="2" xfId="6" applyNumberFormat="1" applyFill="1" applyBorder="1"/>
    <xf numFmtId="172" fontId="2" fillId="0" borderId="1" xfId="6" applyNumberFormat="1" applyFont="1" applyFill="1" applyBorder="1" applyAlignment="1">
      <alignment horizontal="center" vertical="center"/>
    </xf>
    <xf numFmtId="171" fontId="2" fillId="0" borderId="1" xfId="6" applyNumberFormat="1" applyFont="1" applyFill="1" applyBorder="1" applyAlignment="1">
      <alignment horizontal="center" vertical="center"/>
    </xf>
    <xf numFmtId="171" fontId="5" fillId="0" borderId="2" xfId="6" applyNumberFormat="1" applyFill="1" applyBorder="1" applyAlignment="1">
      <alignment horizontal="center" vertical="center"/>
    </xf>
    <xf numFmtId="0" fontId="2" fillId="0" borderId="1" xfId="0" applyFont="1" applyFill="1" applyBorder="1" applyAlignment="1">
      <alignment horizontal="center"/>
    </xf>
    <xf numFmtId="49" fontId="46" fillId="0" borderId="1" xfId="4" applyNumberFormat="1" applyFont="1" applyFill="1" applyBorder="1" applyAlignment="1">
      <alignment horizontal="center" vertical="center" wrapText="1"/>
    </xf>
    <xf numFmtId="2" fontId="37" fillId="0" borderId="1" xfId="0" applyNumberFormat="1" applyFont="1" applyBorder="1" applyAlignment="1">
      <alignment horizontal="center" vertical="center" shrinkToFit="1"/>
    </xf>
    <xf numFmtId="10" fontId="2" fillId="0" borderId="1" xfId="14" applyNumberFormat="1" applyFont="1" applyBorder="1" applyAlignment="1">
      <alignment horizontal="center" vertical="center"/>
    </xf>
    <xf numFmtId="0" fontId="2" fillId="9" borderId="4" xfId="0" applyFont="1" applyFill="1" applyBorder="1"/>
    <xf numFmtId="171" fontId="2" fillId="9" borderId="1" xfId="6" applyNumberFormat="1" applyFont="1" applyFill="1" applyBorder="1" applyAlignment="1">
      <alignment vertical="center"/>
    </xf>
    <xf numFmtId="0" fontId="4" fillId="0" borderId="0" xfId="2" applyFont="1" applyAlignment="1">
      <alignment vertical="center" wrapText="1"/>
    </xf>
    <xf numFmtId="2" fontId="43" fillId="0" borderId="0" xfId="2" applyNumberFormat="1" applyFont="1" applyBorder="1" applyAlignment="1">
      <alignment horizontal="center"/>
    </xf>
    <xf numFmtId="171" fontId="5" fillId="0" borderId="0" xfId="6" applyNumberFormat="1" applyFill="1" applyBorder="1" applyAlignment="1">
      <alignment vertical="center"/>
    </xf>
    <xf numFmtId="0" fontId="0" fillId="0" borderId="0" xfId="0" applyFill="1"/>
    <xf numFmtId="0" fontId="46" fillId="6" borderId="1" xfId="2" applyFont="1" applyFill="1" applyBorder="1" applyAlignment="1">
      <alignment vertical="center" wrapText="1"/>
    </xf>
    <xf numFmtId="49" fontId="34" fillId="5" borderId="1" xfId="3" applyNumberFormat="1" applyFont="1" applyFill="1" applyBorder="1" applyAlignment="1">
      <alignment vertical="center" wrapText="1"/>
    </xf>
    <xf numFmtId="49" fontId="52" fillId="5" borderId="1" xfId="3" applyNumberFormat="1" applyFont="1" applyFill="1" applyBorder="1" applyAlignment="1">
      <alignment vertical="center" wrapText="1"/>
    </xf>
    <xf numFmtId="165" fontId="7" fillId="5" borderId="1" xfId="1" applyFont="1" applyFill="1" applyBorder="1" applyAlignment="1">
      <alignment horizontal="center" vertical="center" wrapText="1"/>
    </xf>
    <xf numFmtId="0" fontId="46" fillId="0" borderId="1" xfId="0" applyFont="1" applyBorder="1" applyAlignment="1">
      <alignment vertical="center" wrapText="1"/>
    </xf>
    <xf numFmtId="2" fontId="53" fillId="0" borderId="1" xfId="0" applyNumberFormat="1" applyFont="1" applyBorder="1" applyAlignment="1">
      <alignment horizontal="center" vertical="center" shrinkToFit="1"/>
    </xf>
    <xf numFmtId="165" fontId="53" fillId="0" borderId="1" xfId="1" applyFont="1" applyBorder="1" applyAlignment="1">
      <alignment horizontal="center" vertical="center" shrinkToFit="1"/>
    </xf>
    <xf numFmtId="165" fontId="46" fillId="0" borderId="1" xfId="1" applyFont="1" applyFill="1" applyBorder="1" applyAlignment="1">
      <alignment horizontal="center" vertical="center" wrapText="1"/>
    </xf>
    <xf numFmtId="0" fontId="46" fillId="0" borderId="1" xfId="0" applyFont="1" applyFill="1" applyBorder="1" applyAlignment="1">
      <alignment vertical="top" wrapText="1"/>
    </xf>
    <xf numFmtId="0" fontId="46" fillId="0" borderId="1" xfId="0" applyFont="1" applyBorder="1" applyAlignment="1">
      <alignment vertical="top" wrapText="1"/>
    </xf>
    <xf numFmtId="0" fontId="46" fillId="2" borderId="1" xfId="2" applyFont="1" applyFill="1" applyBorder="1" applyAlignment="1">
      <alignment vertical="center" wrapText="1"/>
    </xf>
    <xf numFmtId="49" fontId="46" fillId="3" borderId="1" xfId="3" applyNumberFormat="1" applyFont="1" applyFill="1" applyBorder="1" applyAlignment="1">
      <alignment vertical="center" wrapText="1"/>
    </xf>
    <xf numFmtId="4" fontId="46" fillId="0" borderId="1" xfId="3" applyNumberFormat="1" applyFont="1" applyBorder="1" applyAlignment="1">
      <alignment horizontal="center" vertical="center" wrapText="1"/>
    </xf>
    <xf numFmtId="165" fontId="46" fillId="0" borderId="1" xfId="1" applyFont="1" applyBorder="1" applyAlignment="1">
      <alignment horizontal="center" vertical="center" wrapText="1"/>
    </xf>
    <xf numFmtId="165" fontId="54" fillId="0" borderId="1" xfId="0" applyNumberFormat="1" applyFont="1" applyBorder="1" applyAlignment="1">
      <alignment vertical="center"/>
    </xf>
    <xf numFmtId="165" fontId="46" fillId="3" borderId="1" xfId="1" applyFont="1" applyFill="1" applyBorder="1" applyAlignment="1">
      <alignment horizontal="center" vertical="center" wrapText="1"/>
    </xf>
    <xf numFmtId="165" fontId="34" fillId="3" borderId="1" xfId="1" applyFont="1" applyFill="1" applyBorder="1" applyAlignment="1">
      <alignment horizontal="center" vertical="center" wrapText="1"/>
    </xf>
    <xf numFmtId="4" fontId="46" fillId="0" borderId="1" xfId="3" applyNumberFormat="1" applyFont="1" applyFill="1" applyBorder="1" applyAlignment="1">
      <alignment horizontal="center" vertical="center" wrapText="1"/>
    </xf>
    <xf numFmtId="165" fontId="54" fillId="0" borderId="1" xfId="0" applyNumberFormat="1" applyFont="1" applyBorder="1" applyAlignment="1">
      <alignment horizontal="center" vertical="center"/>
    </xf>
    <xf numFmtId="0" fontId="34" fillId="3" borderId="1" xfId="0" applyFont="1" applyFill="1" applyBorder="1" applyAlignment="1">
      <alignment vertical="top" wrapText="1"/>
    </xf>
    <xf numFmtId="2" fontId="53" fillId="3" borderId="1" xfId="0" applyNumberFormat="1" applyFont="1" applyFill="1" applyBorder="1" applyAlignment="1">
      <alignment horizontal="center" vertical="center" shrinkToFit="1"/>
    </xf>
    <xf numFmtId="170" fontId="53" fillId="3" borderId="1" xfId="0" applyNumberFormat="1" applyFont="1" applyFill="1" applyBorder="1" applyAlignment="1">
      <alignment horizontal="center" vertical="center" shrinkToFit="1"/>
    </xf>
    <xf numFmtId="0" fontId="34" fillId="3" borderId="1" xfId="3" applyFont="1" applyFill="1" applyBorder="1" applyAlignment="1">
      <alignment vertical="center" wrapText="1"/>
    </xf>
    <xf numFmtId="0" fontId="46" fillId="0" borderId="1" xfId="0" applyFont="1" applyFill="1" applyBorder="1" applyAlignment="1">
      <alignment vertical="center" wrapText="1"/>
    </xf>
    <xf numFmtId="4" fontId="46" fillId="3" borderId="1" xfId="3" applyNumberFormat="1" applyFont="1" applyFill="1" applyBorder="1" applyAlignment="1">
      <alignment horizontal="center" vertical="center" wrapText="1"/>
    </xf>
    <xf numFmtId="0" fontId="34" fillId="3" borderId="1" xfId="3" applyFont="1" applyFill="1" applyBorder="1" applyAlignment="1">
      <alignment horizontal="justify" vertical="center" wrapText="1"/>
    </xf>
    <xf numFmtId="0" fontId="34" fillId="3" borderId="1" xfId="4" applyFont="1" applyFill="1" applyBorder="1" applyAlignment="1">
      <alignment vertical="center" wrapText="1"/>
    </xf>
    <xf numFmtId="0" fontId="54" fillId="3" borderId="1" xfId="0" applyFont="1" applyFill="1" applyBorder="1"/>
    <xf numFmtId="0" fontId="54" fillId="0" borderId="1" xfId="0" applyFont="1" applyBorder="1"/>
    <xf numFmtId="0" fontId="54" fillId="6" borderId="1" xfId="0" applyFont="1" applyFill="1" applyBorder="1"/>
    <xf numFmtId="49" fontId="34" fillId="6" borderId="1" xfId="4" applyNumberFormat="1" applyFont="1" applyFill="1" applyBorder="1" applyAlignment="1">
      <alignment vertical="center" wrapText="1"/>
    </xf>
    <xf numFmtId="165" fontId="46" fillId="6" borderId="1" xfId="1" applyFont="1" applyFill="1" applyBorder="1" applyAlignment="1">
      <alignment vertical="center" wrapText="1"/>
    </xf>
    <xf numFmtId="49" fontId="34" fillId="3" borderId="1" xfId="4" applyNumberFormat="1" applyFont="1" applyFill="1" applyBorder="1" applyAlignment="1">
      <alignment vertical="center" wrapText="1"/>
    </xf>
    <xf numFmtId="165" fontId="46" fillId="3" borderId="1" xfId="1" applyFont="1" applyFill="1" applyBorder="1" applyAlignment="1">
      <alignment vertical="center" wrapText="1"/>
    </xf>
    <xf numFmtId="165" fontId="46" fillId="0" borderId="1" xfId="1" applyFont="1" applyFill="1" applyBorder="1" applyAlignment="1">
      <alignment vertical="center" wrapText="1"/>
    </xf>
    <xf numFmtId="0" fontId="34" fillId="3" borderId="1" xfId="4" applyFont="1" applyFill="1" applyBorder="1" applyAlignment="1">
      <alignment horizontal="justify" vertical="center" wrapText="1"/>
    </xf>
    <xf numFmtId="0" fontId="46" fillId="0" borderId="1" xfId="4" applyFont="1" applyBorder="1" applyAlignment="1">
      <alignment horizontal="justify" vertical="center" wrapText="1"/>
    </xf>
    <xf numFmtId="170" fontId="53" fillId="0" borderId="1" xfId="0" applyNumberFormat="1" applyFont="1" applyBorder="1" applyAlignment="1">
      <alignment horizontal="center" vertical="top" shrinkToFit="1"/>
    </xf>
    <xf numFmtId="170" fontId="53" fillId="0" borderId="1" xfId="0" applyNumberFormat="1" applyFont="1" applyBorder="1" applyAlignment="1">
      <alignment horizontal="center" vertical="center" shrinkToFit="1"/>
    </xf>
    <xf numFmtId="4" fontId="46" fillId="0" borderId="1" xfId="4" applyNumberFormat="1" applyFont="1" applyBorder="1" applyAlignment="1">
      <alignment horizontal="center" vertical="center" wrapText="1"/>
    </xf>
    <xf numFmtId="170" fontId="53" fillId="0" borderId="1" xfId="0" applyNumberFormat="1" applyFont="1" applyFill="1" applyBorder="1" applyAlignment="1">
      <alignment horizontal="center" vertical="center" shrinkToFit="1"/>
    </xf>
    <xf numFmtId="0" fontId="46" fillId="0" borderId="1" xfId="4" applyFont="1" applyFill="1" applyBorder="1" applyAlignment="1">
      <alignment horizontal="justify" vertical="center" wrapText="1"/>
    </xf>
    <xf numFmtId="0" fontId="46" fillId="0" borderId="1" xfId="0" applyFont="1" applyBorder="1" applyAlignment="1">
      <alignment horizontal="justify" vertical="center" wrapText="1"/>
    </xf>
    <xf numFmtId="165" fontId="34" fillId="3" borderId="1" xfId="1" applyFont="1" applyFill="1" applyBorder="1" applyAlignment="1">
      <alignment vertical="center" wrapText="1"/>
    </xf>
    <xf numFmtId="2" fontId="53" fillId="0" borderId="1" xfId="0" applyNumberFormat="1" applyFont="1" applyFill="1" applyBorder="1" applyAlignment="1">
      <alignment horizontal="center" vertical="center" shrinkToFit="1"/>
    </xf>
    <xf numFmtId="0" fontId="46" fillId="0" borderId="1" xfId="0" applyFont="1" applyBorder="1" applyAlignment="1">
      <alignment horizontal="left" vertical="top" wrapText="1"/>
    </xf>
    <xf numFmtId="165" fontId="53" fillId="0" borderId="1" xfId="1" applyFont="1" applyFill="1" applyBorder="1" applyAlignment="1">
      <alignment horizontal="center" vertical="center" shrinkToFit="1"/>
    </xf>
    <xf numFmtId="165" fontId="46" fillId="0" borderId="1" xfId="1" applyFont="1" applyBorder="1" applyAlignment="1">
      <alignment horizontal="center" vertical="center" shrinkToFit="1"/>
    </xf>
    <xf numFmtId="4" fontId="34" fillId="7" borderId="1" xfId="2" applyNumberFormat="1" applyFont="1" applyFill="1" applyBorder="1" applyAlignment="1">
      <alignment horizontal="center" vertical="center" wrapText="1"/>
    </xf>
    <xf numFmtId="4" fontId="34" fillId="0" borderId="1" xfId="2" applyNumberFormat="1" applyFont="1" applyBorder="1" applyAlignment="1">
      <alignment horizontal="center" vertical="center" wrapText="1"/>
    </xf>
    <xf numFmtId="0" fontId="34" fillId="7" borderId="1" xfId="2" applyFont="1" applyFill="1" applyBorder="1" applyAlignment="1">
      <alignment horizontal="center" vertical="center" wrapText="1"/>
    </xf>
    <xf numFmtId="0" fontId="34" fillId="7" borderId="1" xfId="0" applyFont="1" applyFill="1" applyBorder="1" applyAlignment="1">
      <alignment horizontal="left" vertical="center" wrapText="1"/>
    </xf>
    <xf numFmtId="0" fontId="34" fillId="0" borderId="1" xfId="2" applyFont="1" applyBorder="1" applyAlignment="1">
      <alignment horizontal="center" vertical="center" wrapText="1"/>
    </xf>
    <xf numFmtId="167" fontId="3" fillId="7" borderId="1" xfId="0" applyNumberFormat="1" applyFont="1" applyFill="1" applyBorder="1" applyAlignment="1">
      <alignment horizontal="center" vertical="center"/>
    </xf>
    <xf numFmtId="0" fontId="12" fillId="0" borderId="0" xfId="2" applyFont="1" applyAlignment="1">
      <alignment horizontal="center" vertical="center"/>
    </xf>
    <xf numFmtId="0" fontId="13" fillId="0" borderId="0" xfId="2" applyFont="1" applyAlignment="1">
      <alignment horizontal="center" vertical="center"/>
    </xf>
    <xf numFmtId="0" fontId="14" fillId="0" borderId="0" xfId="2" applyFont="1" applyAlignment="1">
      <alignment horizontal="center" vertical="center"/>
    </xf>
    <xf numFmtId="0" fontId="51" fillId="0" borderId="12" xfId="2" applyFont="1" applyBorder="1" applyAlignment="1">
      <alignment horizontal="center" vertical="center"/>
    </xf>
    <xf numFmtId="0" fontId="3" fillId="0" borderId="1" xfId="0" applyFont="1" applyBorder="1" applyAlignment="1">
      <alignment horizontal="left" vertical="center" wrapText="1"/>
    </xf>
    <xf numFmtId="0" fontId="3" fillId="7" borderId="1"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16" fillId="0" borderId="0" xfId="2" applyFont="1" applyAlignment="1">
      <alignment horizontal="left" vertical="center" wrapText="1"/>
    </xf>
    <xf numFmtId="171" fontId="2" fillId="0" borderId="0" xfId="6" applyNumberFormat="1" applyFont="1" applyAlignment="1">
      <alignment horizontal="right"/>
    </xf>
    <xf numFmtId="0" fontId="15" fillId="0" borderId="0" xfId="2" applyFont="1" applyAlignment="1">
      <alignment horizontal="center"/>
    </xf>
    <xf numFmtId="0" fontId="16" fillId="0" borderId="0" xfId="2" applyFont="1" applyFill="1" applyAlignment="1">
      <alignment horizontal="left" vertical="center" wrapText="1"/>
    </xf>
    <xf numFmtId="171" fontId="5" fillId="0" borderId="0" xfId="6" applyNumberFormat="1" applyAlignment="1">
      <alignment horizontal="center"/>
    </xf>
    <xf numFmtId="0" fontId="18" fillId="0" borderId="4" xfId="0" applyFont="1" applyBorder="1" applyAlignment="1">
      <alignment horizontal="left" vertical="center"/>
    </xf>
    <xf numFmtId="0" fontId="18" fillId="0" borderId="6" xfId="0" applyFont="1" applyBorder="1" applyAlignment="1">
      <alignment horizontal="left" vertical="center"/>
    </xf>
    <xf numFmtId="0" fontId="2" fillId="0" borderId="4" xfId="2" applyFont="1" applyBorder="1" applyAlignment="1">
      <alignment horizontal="left" vertical="center" wrapText="1"/>
    </xf>
    <xf numFmtId="0" fontId="2" fillId="0" borderId="6" xfId="2" applyFont="1" applyBorder="1" applyAlignment="1">
      <alignment horizontal="left" vertical="center" wrapText="1"/>
    </xf>
    <xf numFmtId="0" fontId="18"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2" fillId="0" borderId="4" xfId="0" applyFont="1" applyBorder="1" applyAlignment="1">
      <alignment horizontal="left" wrapText="1"/>
    </xf>
    <xf numFmtId="0" fontId="2" fillId="0" borderId="6" xfId="0" applyFont="1" applyBorder="1" applyAlignment="1">
      <alignment horizontal="left" wrapText="1"/>
    </xf>
    <xf numFmtId="0" fontId="18" fillId="0" borderId="15" xfId="0" applyFont="1" applyBorder="1" applyAlignment="1">
      <alignment horizontal="left" vertical="center" wrapText="1"/>
    </xf>
    <xf numFmtId="0" fontId="18" fillId="0" borderId="13" xfId="0" applyFont="1" applyBorder="1" applyAlignment="1">
      <alignment horizontal="left" vertical="center" wrapText="1"/>
    </xf>
    <xf numFmtId="0" fontId="18" fillId="0" borderId="9" xfId="0" applyFont="1" applyBorder="1" applyAlignment="1">
      <alignment horizontal="left" vertical="center" wrapText="1"/>
    </xf>
    <xf numFmtId="0" fontId="18" fillId="0" borderId="7" xfId="0" applyFont="1" applyBorder="1" applyAlignment="1">
      <alignment horizontal="left" vertical="center" wrapText="1"/>
    </xf>
    <xf numFmtId="0" fontId="2" fillId="0" borderId="15"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7" xfId="0" applyFont="1" applyBorder="1" applyAlignment="1">
      <alignment horizontal="center" vertical="center" wrapText="1"/>
    </xf>
    <xf numFmtId="0" fontId="16" fillId="0" borderId="0" xfId="2" applyFont="1" applyAlignment="1">
      <alignment horizontal="left" wrapText="1"/>
    </xf>
    <xf numFmtId="2" fontId="42" fillId="0" borderId="0" xfId="2" applyNumberFormat="1" applyFont="1" applyAlignment="1">
      <alignment horizontal="center"/>
    </xf>
    <xf numFmtId="0" fontId="26" fillId="0" borderId="0" xfId="0" applyFont="1" applyAlignment="1">
      <alignment horizontal="center" wrapText="1"/>
    </xf>
    <xf numFmtId="2" fontId="43" fillId="0" borderId="0" xfId="2" applyNumberFormat="1" applyFont="1" applyBorder="1" applyAlignment="1">
      <alignment horizontal="center"/>
    </xf>
    <xf numFmtId="171" fontId="2" fillId="0" borderId="0" xfId="6" applyNumberFormat="1" applyFont="1" applyBorder="1" applyAlignment="1">
      <alignment horizontal="right"/>
    </xf>
    <xf numFmtId="0" fontId="15" fillId="0" borderId="16" xfId="2" applyFont="1" applyBorder="1" applyAlignment="1">
      <alignment horizontal="center"/>
    </xf>
    <xf numFmtId="0" fontId="15" fillId="0" borderId="0" xfId="2" applyFont="1" applyBorder="1" applyAlignment="1">
      <alignment horizontal="center"/>
    </xf>
    <xf numFmtId="0" fontId="15" fillId="0" borderId="14" xfId="2" applyFont="1" applyBorder="1" applyAlignment="1">
      <alignment horizontal="center"/>
    </xf>
    <xf numFmtId="171" fontId="2" fillId="0" borderId="14" xfId="6" applyNumberFormat="1" applyFont="1" applyBorder="1" applyAlignment="1">
      <alignment horizontal="right"/>
    </xf>
    <xf numFmtId="0" fontId="16" fillId="0" borderId="16" xfId="2" applyFont="1" applyBorder="1" applyAlignment="1">
      <alignment horizontal="left" wrapText="1"/>
    </xf>
    <xf numFmtId="0" fontId="16" fillId="0" borderId="0" xfId="2" applyFont="1" applyBorder="1" applyAlignment="1">
      <alignment horizontal="left" wrapText="1"/>
    </xf>
    <xf numFmtId="0" fontId="16" fillId="0" borderId="14" xfId="2" applyFont="1" applyBorder="1" applyAlignment="1">
      <alignment horizontal="left" wrapText="1"/>
    </xf>
    <xf numFmtId="171" fontId="5" fillId="0" borderId="0" xfId="6" applyNumberFormat="1" applyBorder="1" applyAlignment="1">
      <alignment horizontal="center"/>
    </xf>
    <xf numFmtId="171" fontId="5" fillId="0" borderId="14" xfId="6" applyNumberFormat="1" applyBorder="1" applyAlignment="1">
      <alignment horizontal="center"/>
    </xf>
    <xf numFmtId="0" fontId="4" fillId="0" borderId="16" xfId="2" applyFont="1" applyBorder="1" applyAlignment="1">
      <alignment horizontal="left" vertical="center" wrapText="1"/>
    </xf>
    <xf numFmtId="0" fontId="4" fillId="0" borderId="0" xfId="2" applyFont="1" applyBorder="1" applyAlignment="1">
      <alignment horizontal="left" vertical="center" wrapText="1"/>
    </xf>
    <xf numFmtId="0" fontId="4" fillId="0" borderId="14" xfId="2" applyFont="1" applyBorder="1" applyAlignment="1">
      <alignment horizontal="left" vertical="center" wrapText="1"/>
    </xf>
    <xf numFmtId="0" fontId="4" fillId="0" borderId="0" xfId="2" applyFont="1" applyAlignment="1">
      <alignment horizontal="left" vertical="center" wrapText="1"/>
    </xf>
    <xf numFmtId="0" fontId="30" fillId="0" borderId="0" xfId="0" applyFont="1" applyAlignment="1">
      <alignment horizontal="center"/>
    </xf>
    <xf numFmtId="0" fontId="4" fillId="0" borderId="0" xfId="0" applyFont="1" applyAlignment="1">
      <alignment horizontal="left" vertical="center" wrapText="1"/>
    </xf>
    <xf numFmtId="0" fontId="0" fillId="0" borderId="1" xfId="0" applyBorder="1" applyAlignment="1">
      <alignment horizontal="left" vertical="center" wrapText="1"/>
    </xf>
    <xf numFmtId="0" fontId="0" fillId="0" borderId="1" xfId="0" applyFill="1" applyBorder="1" applyAlignment="1">
      <alignment horizontal="left" vertical="center" wrapText="1"/>
    </xf>
    <xf numFmtId="0" fontId="2" fillId="0" borderId="4" xfId="3" applyFont="1" applyBorder="1" applyAlignment="1">
      <alignment horizontal="left" vertical="center" wrapText="1"/>
    </xf>
    <xf numFmtId="0" fontId="2" fillId="0" borderId="6" xfId="3" applyFont="1" applyBorder="1" applyAlignment="1">
      <alignment horizontal="left" vertical="center" wrapText="1"/>
    </xf>
    <xf numFmtId="0" fontId="2" fillId="0" borderId="4"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4" xfId="9" applyFont="1" applyBorder="1" applyAlignment="1">
      <alignment horizontal="left" vertical="center" wrapText="1"/>
    </xf>
    <xf numFmtId="0" fontId="2" fillId="0" borderId="6" xfId="9" applyFont="1" applyBorder="1" applyAlignment="1">
      <alignment horizontal="left" vertical="center" wrapText="1"/>
    </xf>
    <xf numFmtId="0" fontId="4" fillId="0" borderId="0" xfId="3" applyFont="1" applyAlignment="1">
      <alignment horizontal="left" vertical="center" wrapText="1"/>
    </xf>
    <xf numFmtId="0" fontId="4" fillId="0" borderId="0" xfId="3" applyFont="1" applyAlignment="1">
      <alignment horizontal="center"/>
    </xf>
    <xf numFmtId="0" fontId="27" fillId="0" borderId="0" xfId="2" applyFont="1" applyAlignment="1">
      <alignment horizontal="center"/>
    </xf>
    <xf numFmtId="0" fontId="16" fillId="0" borderId="16" xfId="2" applyFont="1" applyBorder="1" applyAlignment="1">
      <alignment horizontal="left" vertical="center" wrapText="1"/>
    </xf>
    <xf numFmtId="0" fontId="16" fillId="0" borderId="0" xfId="2" applyFont="1" applyBorder="1" applyAlignment="1">
      <alignment horizontal="left" vertical="center" wrapText="1"/>
    </xf>
    <xf numFmtId="0" fontId="16" fillId="0" borderId="14" xfId="2" applyFont="1" applyBorder="1" applyAlignment="1">
      <alignment horizontal="left" vertical="center" wrapText="1"/>
    </xf>
    <xf numFmtId="0" fontId="3" fillId="0" borderId="0" xfId="2" applyFont="1" applyAlignment="1">
      <alignment horizontal="left" wrapText="1"/>
    </xf>
    <xf numFmtId="0" fontId="4" fillId="0" borderId="0" xfId="0" applyFont="1" applyAlignment="1">
      <alignment horizontal="left" wrapText="1"/>
    </xf>
    <xf numFmtId="0" fontId="25" fillId="0" borderId="4" xfId="9" applyFont="1" applyBorder="1" applyAlignment="1"/>
    <xf numFmtId="0" fontId="25" fillId="0" borderId="6" xfId="9" applyFont="1" applyBorder="1" applyAlignment="1"/>
    <xf numFmtId="0" fontId="2" fillId="0" borderId="4" xfId="9" applyFont="1" applyBorder="1" applyAlignment="1"/>
    <xf numFmtId="0" fontId="2" fillId="0" borderId="6" xfId="9" applyFont="1" applyBorder="1" applyAlignment="1"/>
    <xf numFmtId="0" fontId="18" fillId="9" borderId="1" xfId="0" applyFont="1" applyFill="1" applyBorder="1" applyAlignment="1">
      <alignment horizontal="left" vertical="center" wrapText="1"/>
    </xf>
    <xf numFmtId="0" fontId="9" fillId="9" borderId="1" xfId="0" applyFont="1" applyFill="1" applyBorder="1" applyAlignment="1">
      <alignment horizontal="left" wrapText="1"/>
    </xf>
    <xf numFmtId="0" fontId="2" fillId="0" borderId="4" xfId="2" applyFont="1" applyBorder="1" applyAlignment="1">
      <alignment horizontal="left" wrapText="1"/>
    </xf>
    <xf numFmtId="0" fontId="2" fillId="0" borderId="6" xfId="2" applyFont="1" applyBorder="1" applyAlignment="1">
      <alignment horizontal="left" wrapText="1"/>
    </xf>
    <xf numFmtId="0" fontId="25" fillId="0" borderId="4" xfId="9" applyFont="1" applyBorder="1" applyAlignment="1">
      <alignment horizontal="left" vertical="center" wrapText="1"/>
    </xf>
    <xf numFmtId="0" fontId="25" fillId="0" borderId="6" xfId="9" applyFont="1" applyBorder="1" applyAlignment="1">
      <alignment horizontal="left" vertical="center" wrapText="1"/>
    </xf>
    <xf numFmtId="0" fontId="2" fillId="0" borderId="4" xfId="9" applyFont="1" applyBorder="1" applyAlignment="1">
      <alignment horizontal="left"/>
    </xf>
    <xf numFmtId="0" fontId="2" fillId="0" borderId="6" xfId="9" applyFont="1" applyBorder="1" applyAlignment="1">
      <alignment horizontal="left"/>
    </xf>
    <xf numFmtId="0" fontId="3" fillId="0" borderId="0" xfId="2" applyFont="1" applyAlignment="1">
      <alignment horizontal="left" vertical="center" wrapText="1"/>
    </xf>
    <xf numFmtId="0" fontId="2" fillId="0" borderId="4" xfId="2" applyFont="1" applyFill="1" applyBorder="1" applyAlignment="1">
      <alignment horizontal="left" vertical="center" wrapText="1"/>
    </xf>
    <xf numFmtId="0" fontId="2" fillId="0" borderId="6" xfId="2" applyFont="1" applyFill="1" applyBorder="1" applyAlignment="1">
      <alignment horizontal="left" vertical="center" wrapText="1"/>
    </xf>
    <xf numFmtId="0" fontId="2" fillId="0" borderId="4" xfId="0" applyFont="1" applyBorder="1" applyAlignment="1">
      <alignment horizontal="left"/>
    </xf>
    <xf numFmtId="0" fontId="2" fillId="0" borderId="6" xfId="0" applyFont="1" applyBorder="1" applyAlignment="1">
      <alignment horizontal="left"/>
    </xf>
    <xf numFmtId="0" fontId="25" fillId="0" borderId="4" xfId="9" applyFont="1" applyBorder="1" applyAlignment="1">
      <alignment horizontal="left" wrapText="1"/>
    </xf>
    <xf numFmtId="0" fontId="25" fillId="0" borderId="6" xfId="9" applyFont="1" applyBorder="1" applyAlignment="1">
      <alignment horizontal="left" wrapText="1"/>
    </xf>
    <xf numFmtId="0" fontId="26" fillId="0" borderId="0" xfId="2" applyFont="1" applyAlignment="1">
      <alignment horizontal="center"/>
    </xf>
    <xf numFmtId="0" fontId="25" fillId="0" borderId="4" xfId="9" applyFont="1" applyBorder="1" applyAlignment="1">
      <alignment wrapText="1"/>
    </xf>
    <xf numFmtId="0" fontId="25" fillId="0" borderId="6" xfId="9" applyFont="1" applyBorder="1" applyAlignment="1">
      <alignment wrapText="1"/>
    </xf>
    <xf numFmtId="0" fontId="2" fillId="0" borderId="4" xfId="9" applyFont="1" applyFill="1" applyBorder="1" applyAlignment="1"/>
    <xf numFmtId="0" fontId="2" fillId="0" borderId="6" xfId="9" applyFont="1" applyFill="1" applyBorder="1" applyAlignment="1"/>
    <xf numFmtId="0" fontId="18" fillId="0" borderId="4" xfId="2" applyFont="1" applyBorder="1" applyAlignment="1">
      <alignment horizontal="left" vertical="center" wrapText="1"/>
    </xf>
    <xf numFmtId="0" fontId="18" fillId="0" borderId="6" xfId="2" applyFont="1" applyBorder="1" applyAlignment="1">
      <alignment horizontal="left" vertical="center" wrapText="1"/>
    </xf>
    <xf numFmtId="0" fontId="2" fillId="0" borderId="1" xfId="0" applyFont="1" applyBorder="1" applyAlignment="1">
      <alignment horizontal="left" vertical="center" wrapText="1"/>
    </xf>
    <xf numFmtId="0" fontId="18" fillId="0" borderId="1" xfId="0" applyFont="1" applyFill="1" applyBorder="1" applyAlignment="1">
      <alignment horizontal="left" vertical="center" wrapText="1"/>
    </xf>
    <xf numFmtId="0" fontId="18" fillId="0" borderId="15"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8" fillId="0" borderId="16" xfId="0" applyFont="1" applyFill="1" applyBorder="1" applyAlignment="1">
      <alignment horizontal="center" vertical="center" wrapText="1"/>
    </xf>
    <xf numFmtId="0" fontId="18" fillId="0" borderId="14"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4" xfId="0" applyFont="1" applyBorder="1" applyAlignment="1">
      <alignment horizontal="left" vertical="center" wrapText="1"/>
    </xf>
    <xf numFmtId="0" fontId="18" fillId="0" borderId="6" xfId="0" applyFont="1" applyBorder="1" applyAlignment="1">
      <alignment horizontal="left" vertical="center" wrapText="1"/>
    </xf>
    <xf numFmtId="0" fontId="2" fillId="9" borderId="4" xfId="0" applyFont="1" applyFill="1" applyBorder="1" applyAlignment="1">
      <alignment horizontal="left" vertical="center" wrapText="1"/>
    </xf>
    <xf numFmtId="0" fontId="2" fillId="9" borderId="6" xfId="0" applyFont="1" applyFill="1" applyBorder="1" applyAlignment="1">
      <alignment horizontal="left" vertical="center" wrapText="1"/>
    </xf>
    <xf numFmtId="171" fontId="5" fillId="0" borderId="0" xfId="6" applyNumberFormat="1" applyAlignment="1">
      <alignment horizontal="right"/>
    </xf>
  </cellXfs>
  <cellStyles count="15">
    <cellStyle name="Millares" xfId="5" builtinId="3"/>
    <cellStyle name="Millares [0]" xfId="13" builtinId="6"/>
    <cellStyle name="Millares [0] 2" xfId="12"/>
    <cellStyle name="Millares [0]_PROYECTO FUNDESAP-ORIGINAL" xfId="6"/>
    <cellStyle name="Millares 2" xfId="10"/>
    <cellStyle name="Millares 2 2" xfId="11"/>
    <cellStyle name="Millares_PROYECTO FUNDESAP-ORIGINAL" xfId="8"/>
    <cellStyle name="Moneda" xfId="1" builtinId="4"/>
    <cellStyle name="Normal" xfId="0" builtinId="0"/>
    <cellStyle name="Normal 2" xfId="3"/>
    <cellStyle name="Normal 2 2" xfId="2"/>
    <cellStyle name="Normal 3" xfId="4"/>
    <cellStyle name="Normal 4" xfId="9"/>
    <cellStyle name="Porcentaje" xfId="14" builtinId="5"/>
    <cellStyle name="Porcentaj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6</xdr:col>
      <xdr:colOff>523875</xdr:colOff>
      <xdr:row>7</xdr:row>
      <xdr:rowOff>0</xdr:rowOff>
    </xdr:from>
    <xdr:ext cx="184731" cy="264560"/>
    <xdr:sp macro="" textlink="">
      <xdr:nvSpPr>
        <xdr:cNvPr id="4" name="1 CuadroTexto">
          <a:extLst>
            <a:ext uri="{FF2B5EF4-FFF2-40B4-BE49-F238E27FC236}">
              <a16:creationId xmlns:a16="http://schemas.microsoft.com/office/drawing/2014/main" id="{2ABEAC6B-1051-4845-A7B4-66F8169FDDEC}"/>
            </a:ext>
          </a:extLst>
        </xdr:cNvPr>
        <xdr:cNvSpPr txBox="1"/>
      </xdr:nvSpPr>
      <xdr:spPr>
        <a:xfrm>
          <a:off x="7816215" y="65341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523875</xdr:colOff>
      <xdr:row>7</xdr:row>
      <xdr:rowOff>0</xdr:rowOff>
    </xdr:from>
    <xdr:ext cx="184731" cy="264560"/>
    <xdr:sp macro="" textlink="">
      <xdr:nvSpPr>
        <xdr:cNvPr id="5" name="2 CuadroTexto">
          <a:extLst>
            <a:ext uri="{FF2B5EF4-FFF2-40B4-BE49-F238E27FC236}">
              <a16:creationId xmlns:a16="http://schemas.microsoft.com/office/drawing/2014/main" id="{B1F05E88-8749-4BDB-98C1-CB0F81BF2A22}"/>
            </a:ext>
          </a:extLst>
        </xdr:cNvPr>
        <xdr:cNvSpPr txBox="1"/>
      </xdr:nvSpPr>
      <xdr:spPr>
        <a:xfrm>
          <a:off x="7816215" y="65341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editAs="oneCell">
    <xdr:from>
      <xdr:col>2</xdr:col>
      <xdr:colOff>2616298</xdr:colOff>
      <xdr:row>0</xdr:row>
      <xdr:rowOff>107395</xdr:rowOff>
    </xdr:from>
    <xdr:to>
      <xdr:col>3</xdr:col>
      <xdr:colOff>280768</xdr:colOff>
      <xdr:row>2</xdr:row>
      <xdr:rowOff>89398</xdr:rowOff>
    </xdr:to>
    <xdr:pic>
      <xdr:nvPicPr>
        <xdr:cNvPr id="6" name="Picture 2" descr="CORALINA CON TEXTO">
          <a:extLst>
            <a:ext uri="{FF2B5EF4-FFF2-40B4-BE49-F238E27FC236}">
              <a16:creationId xmlns:a16="http://schemas.microsoft.com/office/drawing/2014/main" id="{C600E98B-40BB-4D99-9E2E-F382413160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50406" y="107395"/>
          <a:ext cx="1632732" cy="374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6</xdr:col>
      <xdr:colOff>679873</xdr:colOff>
      <xdr:row>717</xdr:row>
      <xdr:rowOff>2540</xdr:rowOff>
    </xdr:from>
    <xdr:ext cx="1554692" cy="391584"/>
    <xdr:pic>
      <xdr:nvPicPr>
        <xdr:cNvPr id="3" name="Picture 2" descr="CORALINA CON TEXTO">
          <a:extLst>
            <a:ext uri="{FF2B5EF4-FFF2-40B4-BE49-F238E27FC236}">
              <a16:creationId xmlns:a16="http://schemas.microsoft.com/office/drawing/2014/main" id="{A165272F-0790-4146-A06E-257688A05E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44540" y="146247273"/>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743374</xdr:colOff>
      <xdr:row>763</xdr:row>
      <xdr:rowOff>63501</xdr:rowOff>
    </xdr:from>
    <xdr:ext cx="1554692" cy="391584"/>
    <xdr:pic>
      <xdr:nvPicPr>
        <xdr:cNvPr id="4" name="Picture 2" descr="CORALINA CON TEXTO">
          <a:extLst>
            <a:ext uri="{FF2B5EF4-FFF2-40B4-BE49-F238E27FC236}">
              <a16:creationId xmlns:a16="http://schemas.microsoft.com/office/drawing/2014/main" id="{CE18B3E2-0AB9-4F94-9C65-D720D47DC1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8041" y="154156834"/>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716280</xdr:colOff>
      <xdr:row>1064</xdr:row>
      <xdr:rowOff>163407</xdr:rowOff>
    </xdr:from>
    <xdr:ext cx="1554692" cy="391584"/>
    <xdr:pic>
      <xdr:nvPicPr>
        <xdr:cNvPr id="5" name="Picture 2" descr="CORALINA CON TEXTO">
          <a:extLst>
            <a:ext uri="{FF2B5EF4-FFF2-40B4-BE49-F238E27FC236}">
              <a16:creationId xmlns:a16="http://schemas.microsoft.com/office/drawing/2014/main" id="{2AA3E510-F36B-44B2-B129-CB786303E63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67400" y="20396792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640080</xdr:colOff>
      <xdr:row>1115</xdr:row>
      <xdr:rowOff>132927</xdr:rowOff>
    </xdr:from>
    <xdr:ext cx="1554692" cy="391584"/>
    <xdr:pic>
      <xdr:nvPicPr>
        <xdr:cNvPr id="6" name="Picture 2" descr="CORALINA CON TEXTO">
          <a:extLst>
            <a:ext uri="{FF2B5EF4-FFF2-40B4-BE49-F238E27FC236}">
              <a16:creationId xmlns:a16="http://schemas.microsoft.com/office/drawing/2014/main" id="{1CDCB839-C0A4-42B4-B8EC-8B6CB4EF986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47360" y="19772714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588858</xdr:colOff>
      <xdr:row>1561</xdr:row>
      <xdr:rowOff>25823</xdr:rowOff>
    </xdr:from>
    <xdr:ext cx="1554692" cy="391583"/>
    <xdr:pic>
      <xdr:nvPicPr>
        <xdr:cNvPr id="7" name="Picture 2" descr="CORALINA CON TEXTO">
          <a:extLst>
            <a:ext uri="{FF2B5EF4-FFF2-40B4-BE49-F238E27FC236}">
              <a16:creationId xmlns:a16="http://schemas.microsoft.com/office/drawing/2014/main" id="{A5D226D4-AD93-4B7A-8A6B-B5C33D00FE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6138" y="269735723"/>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629074</xdr:colOff>
      <xdr:row>1410</xdr:row>
      <xdr:rowOff>105410</xdr:rowOff>
    </xdr:from>
    <xdr:ext cx="1554692" cy="391584"/>
    <xdr:pic>
      <xdr:nvPicPr>
        <xdr:cNvPr id="8" name="Picture 2" descr="CORALINA CON TEXTO">
          <a:extLst>
            <a:ext uri="{FF2B5EF4-FFF2-40B4-BE49-F238E27FC236}">
              <a16:creationId xmlns:a16="http://schemas.microsoft.com/office/drawing/2014/main" id="{9C2AAE27-D9AD-42C1-8D20-F3A3CC0FC0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6354" y="25109297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106679</xdr:colOff>
      <xdr:row>1271</xdr:row>
      <xdr:rowOff>79809</xdr:rowOff>
    </xdr:from>
    <xdr:to>
      <xdr:col>8</xdr:col>
      <xdr:colOff>0</xdr:colOff>
      <xdr:row>1275</xdr:row>
      <xdr:rowOff>152401</xdr:rowOff>
    </xdr:to>
    <xdr:pic>
      <xdr:nvPicPr>
        <xdr:cNvPr id="10" name="Imagen 9">
          <a:extLst>
            <a:ext uri="{FF2B5EF4-FFF2-40B4-BE49-F238E27FC236}">
              <a16:creationId xmlns:a16="http://schemas.microsoft.com/office/drawing/2014/main" id="{A4E7C22F-E6B7-3486-C50C-3D7D32CB0330}"/>
            </a:ext>
          </a:extLst>
        </xdr:cNvPr>
        <xdr:cNvPicPr>
          <a:picLocks noChangeAspect="1"/>
        </xdr:cNvPicPr>
      </xdr:nvPicPr>
      <xdr:blipFill>
        <a:blip xmlns:r="http://schemas.openxmlformats.org/officeDocument/2006/relationships" r:embed="rId2"/>
        <a:stretch>
          <a:fillRect/>
        </a:stretch>
      </xdr:blipFill>
      <xdr:spPr>
        <a:xfrm>
          <a:off x="5989319" y="207244749"/>
          <a:ext cx="1143001" cy="804112"/>
        </a:xfrm>
        <a:prstGeom prst="rect">
          <a:avLst/>
        </a:prstGeom>
      </xdr:spPr>
    </xdr:pic>
    <xdr:clientData/>
  </xdr:twoCellAnchor>
  <xdr:twoCellAnchor editAs="oneCell">
    <xdr:from>
      <xdr:col>7</xdr:col>
      <xdr:colOff>407010</xdr:colOff>
      <xdr:row>1326</xdr:row>
      <xdr:rowOff>40664</xdr:rowOff>
    </xdr:from>
    <xdr:to>
      <xdr:col>7</xdr:col>
      <xdr:colOff>1040413</xdr:colOff>
      <xdr:row>1335</xdr:row>
      <xdr:rowOff>30480</xdr:rowOff>
    </xdr:to>
    <xdr:pic>
      <xdr:nvPicPr>
        <xdr:cNvPr id="13" name="Imagen 12">
          <a:extLst>
            <a:ext uri="{FF2B5EF4-FFF2-40B4-BE49-F238E27FC236}">
              <a16:creationId xmlns:a16="http://schemas.microsoft.com/office/drawing/2014/main" id="{58ED486E-2758-66E7-4773-0FD84FEC11C6}"/>
            </a:ext>
          </a:extLst>
        </xdr:cNvPr>
        <xdr:cNvPicPr>
          <a:picLocks noChangeAspect="1"/>
        </xdr:cNvPicPr>
      </xdr:nvPicPr>
      <xdr:blipFill>
        <a:blip xmlns:r="http://schemas.openxmlformats.org/officeDocument/2006/relationships" r:embed="rId3"/>
        <a:stretch>
          <a:fillRect/>
        </a:stretch>
      </xdr:blipFill>
      <xdr:spPr>
        <a:xfrm rot="16200000">
          <a:off x="6066614" y="240057480"/>
          <a:ext cx="1689075" cy="633403"/>
        </a:xfrm>
        <a:prstGeom prst="rect">
          <a:avLst/>
        </a:prstGeom>
      </xdr:spPr>
    </xdr:pic>
    <xdr:clientData/>
  </xdr:twoCellAnchor>
  <xdr:twoCellAnchor editAs="oneCell">
    <xdr:from>
      <xdr:col>7</xdr:col>
      <xdr:colOff>38100</xdr:colOff>
      <xdr:row>1424</xdr:row>
      <xdr:rowOff>45720</xdr:rowOff>
    </xdr:from>
    <xdr:to>
      <xdr:col>7</xdr:col>
      <xdr:colOff>1240557</xdr:colOff>
      <xdr:row>1433</xdr:row>
      <xdr:rowOff>78861</xdr:rowOff>
    </xdr:to>
    <xdr:pic>
      <xdr:nvPicPr>
        <xdr:cNvPr id="17" name="Imagen 16">
          <a:extLst>
            <a:ext uri="{FF2B5EF4-FFF2-40B4-BE49-F238E27FC236}">
              <a16:creationId xmlns:a16="http://schemas.microsoft.com/office/drawing/2014/main" id="{7A34F30C-71AF-0FC1-C8F6-2EBA0CED9008}"/>
            </a:ext>
          </a:extLst>
        </xdr:cNvPr>
        <xdr:cNvPicPr>
          <a:picLocks noChangeAspect="1"/>
        </xdr:cNvPicPr>
      </xdr:nvPicPr>
      <xdr:blipFill>
        <a:blip xmlns:r="http://schemas.openxmlformats.org/officeDocument/2006/relationships" r:embed="rId4"/>
        <a:stretch>
          <a:fillRect/>
        </a:stretch>
      </xdr:blipFill>
      <xdr:spPr>
        <a:xfrm>
          <a:off x="6042660" y="211378800"/>
          <a:ext cx="1202457" cy="1907661"/>
        </a:xfrm>
        <a:prstGeom prst="rect">
          <a:avLst/>
        </a:prstGeom>
      </xdr:spPr>
    </xdr:pic>
    <xdr:clientData/>
  </xdr:twoCellAnchor>
  <xdr:oneCellAnchor>
    <xdr:from>
      <xdr:col>6</xdr:col>
      <xdr:colOff>607060</xdr:colOff>
      <xdr:row>1462</xdr:row>
      <xdr:rowOff>173143</xdr:rowOff>
    </xdr:from>
    <xdr:ext cx="1554692" cy="391584"/>
    <xdr:pic>
      <xdr:nvPicPr>
        <xdr:cNvPr id="18" name="Picture 2" descr="CORALINA CON TEXTO">
          <a:extLst>
            <a:ext uri="{FF2B5EF4-FFF2-40B4-BE49-F238E27FC236}">
              <a16:creationId xmlns:a16="http://schemas.microsoft.com/office/drawing/2014/main" id="{7C3A0C35-F4B1-4F98-A6ED-D09B02F8DD0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4340" y="251495983"/>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565573</xdr:colOff>
      <xdr:row>2174</xdr:row>
      <xdr:rowOff>28999</xdr:rowOff>
    </xdr:from>
    <xdr:ext cx="1554692" cy="391584"/>
    <xdr:pic>
      <xdr:nvPicPr>
        <xdr:cNvPr id="22" name="Picture 2" descr="CORALINA CON TEXTO">
          <a:extLst>
            <a:ext uri="{FF2B5EF4-FFF2-40B4-BE49-F238E27FC236}">
              <a16:creationId xmlns:a16="http://schemas.microsoft.com/office/drawing/2014/main" id="{4E987E23-D08A-4EC7-AA3C-6469C3BBBE3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72853" y="376982779"/>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1028701</xdr:colOff>
      <xdr:row>2632</xdr:row>
      <xdr:rowOff>327660</xdr:rowOff>
    </xdr:from>
    <xdr:to>
      <xdr:col>8</xdr:col>
      <xdr:colOff>30480</xdr:colOff>
      <xdr:row>2638</xdr:row>
      <xdr:rowOff>144780</xdr:rowOff>
    </xdr:to>
    <xdr:pic>
      <xdr:nvPicPr>
        <xdr:cNvPr id="26" name="Imagen 25">
          <a:extLst>
            <a:ext uri="{FF2B5EF4-FFF2-40B4-BE49-F238E27FC236}">
              <a16:creationId xmlns:a16="http://schemas.microsoft.com/office/drawing/2014/main" id="{BFF468CE-A23E-751B-EA31-384DAD22B29A}"/>
            </a:ext>
          </a:extLst>
        </xdr:cNvPr>
        <xdr:cNvPicPr>
          <a:picLocks noChangeAspect="1"/>
        </xdr:cNvPicPr>
      </xdr:nvPicPr>
      <xdr:blipFill>
        <a:blip xmlns:r="http://schemas.openxmlformats.org/officeDocument/2006/relationships" r:embed="rId5"/>
        <a:stretch>
          <a:fillRect/>
        </a:stretch>
      </xdr:blipFill>
      <xdr:spPr>
        <a:xfrm>
          <a:off x="6057901" y="371505480"/>
          <a:ext cx="1280159" cy="1676400"/>
        </a:xfrm>
        <a:prstGeom prst="rect">
          <a:avLst/>
        </a:prstGeom>
      </xdr:spPr>
    </xdr:pic>
    <xdr:clientData/>
  </xdr:twoCellAnchor>
  <xdr:oneCellAnchor>
    <xdr:from>
      <xdr:col>6</xdr:col>
      <xdr:colOff>632037</xdr:colOff>
      <xdr:row>1609</xdr:row>
      <xdr:rowOff>153670</xdr:rowOff>
    </xdr:from>
    <xdr:ext cx="1554692" cy="391583"/>
    <xdr:pic>
      <xdr:nvPicPr>
        <xdr:cNvPr id="19" name="Picture 2" descr="CORALINA CON TEXTO">
          <a:extLst>
            <a:ext uri="{FF2B5EF4-FFF2-40B4-BE49-F238E27FC236}">
              <a16:creationId xmlns:a16="http://schemas.microsoft.com/office/drawing/2014/main" id="{641D3547-50E6-4596-BF17-1050FF80357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9317" y="28738957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289560</xdr:colOff>
      <xdr:row>1278</xdr:row>
      <xdr:rowOff>68579</xdr:rowOff>
    </xdr:from>
    <xdr:to>
      <xdr:col>7</xdr:col>
      <xdr:colOff>1201951</xdr:colOff>
      <xdr:row>1283</xdr:row>
      <xdr:rowOff>114299</xdr:rowOff>
    </xdr:to>
    <xdr:pic>
      <xdr:nvPicPr>
        <xdr:cNvPr id="12" name="Imagen 11">
          <a:extLst>
            <a:ext uri="{FF2B5EF4-FFF2-40B4-BE49-F238E27FC236}">
              <a16:creationId xmlns:a16="http://schemas.microsoft.com/office/drawing/2014/main" id="{7C353547-480F-4F01-A38F-E5954B256CFD}"/>
            </a:ext>
          </a:extLst>
        </xdr:cNvPr>
        <xdr:cNvPicPr>
          <a:picLocks noChangeAspect="1"/>
        </xdr:cNvPicPr>
      </xdr:nvPicPr>
      <xdr:blipFill rotWithShape="1">
        <a:blip xmlns:r="http://schemas.openxmlformats.org/officeDocument/2006/relationships" r:embed="rId6"/>
        <a:srcRect l="39349" t="28603" r="39781" b="26777"/>
        <a:stretch/>
      </xdr:blipFill>
      <xdr:spPr>
        <a:xfrm>
          <a:off x="6477000" y="231183179"/>
          <a:ext cx="912391" cy="1097281"/>
        </a:xfrm>
        <a:prstGeom prst="rect">
          <a:avLst/>
        </a:prstGeom>
      </xdr:spPr>
    </xdr:pic>
    <xdr:clientData/>
  </xdr:twoCellAnchor>
  <xdr:twoCellAnchor editAs="oneCell">
    <xdr:from>
      <xdr:col>7</xdr:col>
      <xdr:colOff>137161</xdr:colOff>
      <xdr:row>1281</xdr:row>
      <xdr:rowOff>280021</xdr:rowOff>
    </xdr:from>
    <xdr:to>
      <xdr:col>7</xdr:col>
      <xdr:colOff>487680</xdr:colOff>
      <xdr:row>1287</xdr:row>
      <xdr:rowOff>121919</xdr:rowOff>
    </xdr:to>
    <xdr:pic>
      <xdr:nvPicPr>
        <xdr:cNvPr id="11" name="Imagen 10">
          <a:extLst>
            <a:ext uri="{FF2B5EF4-FFF2-40B4-BE49-F238E27FC236}">
              <a16:creationId xmlns:a16="http://schemas.microsoft.com/office/drawing/2014/main" id="{49E925E9-2BDC-41AA-B425-2EC4FE72B229}"/>
            </a:ext>
          </a:extLst>
        </xdr:cNvPr>
        <xdr:cNvPicPr>
          <a:picLocks noChangeAspect="1"/>
        </xdr:cNvPicPr>
      </xdr:nvPicPr>
      <xdr:blipFill rotWithShape="1">
        <a:blip xmlns:r="http://schemas.openxmlformats.org/officeDocument/2006/relationships" r:embed="rId7"/>
        <a:srcRect l="45371" t="20036" r="44546" b="24529"/>
        <a:stretch/>
      </xdr:blipFill>
      <xdr:spPr>
        <a:xfrm>
          <a:off x="6324601" y="231935641"/>
          <a:ext cx="350519" cy="1083958"/>
        </a:xfrm>
        <a:prstGeom prst="rect">
          <a:avLst/>
        </a:prstGeom>
      </xdr:spPr>
    </xdr:pic>
    <xdr:clientData/>
  </xdr:twoCellAnchor>
  <xdr:oneCellAnchor>
    <xdr:from>
      <xdr:col>6</xdr:col>
      <xdr:colOff>662940</xdr:colOff>
      <xdr:row>2</xdr:row>
      <xdr:rowOff>152400</xdr:rowOff>
    </xdr:from>
    <xdr:ext cx="1554692" cy="391584"/>
    <xdr:pic>
      <xdr:nvPicPr>
        <xdr:cNvPr id="20" name="Picture 2" descr="CORALINA CON TEXTO">
          <a:extLst>
            <a:ext uri="{FF2B5EF4-FFF2-40B4-BE49-F238E27FC236}">
              <a16:creationId xmlns:a16="http://schemas.microsoft.com/office/drawing/2014/main" id="{AFAA1DC4-49C6-4A4E-A2A5-24B391D0C0E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4060" y="124968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670560</xdr:colOff>
      <xdr:row>92</xdr:row>
      <xdr:rowOff>45720</xdr:rowOff>
    </xdr:from>
    <xdr:ext cx="1554692" cy="391584"/>
    <xdr:pic>
      <xdr:nvPicPr>
        <xdr:cNvPr id="21" name="Picture 2" descr="CORALINA CON TEXTO">
          <a:extLst>
            <a:ext uri="{FF2B5EF4-FFF2-40B4-BE49-F238E27FC236}">
              <a16:creationId xmlns:a16="http://schemas.microsoft.com/office/drawing/2014/main" id="{E952B8C4-BA43-4D4E-9D21-8DC3D1F0F6B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1680" y="993648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678180</xdr:colOff>
      <xdr:row>139</xdr:row>
      <xdr:rowOff>137160</xdr:rowOff>
    </xdr:from>
    <xdr:ext cx="1554692" cy="391584"/>
    <xdr:pic>
      <xdr:nvPicPr>
        <xdr:cNvPr id="23" name="Picture 2" descr="CORALINA CON TEXTO">
          <a:extLst>
            <a:ext uri="{FF2B5EF4-FFF2-40B4-BE49-F238E27FC236}">
              <a16:creationId xmlns:a16="http://schemas.microsoft.com/office/drawing/2014/main" id="{1954211E-ED63-4CAC-A4F2-7FCAE74B7A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9300" y="1917954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678180</xdr:colOff>
      <xdr:row>186</xdr:row>
      <xdr:rowOff>83820</xdr:rowOff>
    </xdr:from>
    <xdr:ext cx="1554692" cy="391584"/>
    <xdr:pic>
      <xdr:nvPicPr>
        <xdr:cNvPr id="24" name="Picture 2" descr="CORALINA CON TEXTO">
          <a:extLst>
            <a:ext uri="{FF2B5EF4-FFF2-40B4-BE49-F238E27FC236}">
              <a16:creationId xmlns:a16="http://schemas.microsoft.com/office/drawing/2014/main" id="{5AE7C5C7-24AD-421C-AC0B-449273185A4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9300" y="2827782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662940</xdr:colOff>
      <xdr:row>235</xdr:row>
      <xdr:rowOff>91440</xdr:rowOff>
    </xdr:from>
    <xdr:ext cx="1554692" cy="391584"/>
    <xdr:pic>
      <xdr:nvPicPr>
        <xdr:cNvPr id="25" name="Picture 2" descr="CORALINA CON TEXTO">
          <a:extLst>
            <a:ext uri="{FF2B5EF4-FFF2-40B4-BE49-F238E27FC236}">
              <a16:creationId xmlns:a16="http://schemas.microsoft.com/office/drawing/2014/main" id="{D4FC95AA-C7F3-4ED3-BCFF-C5FD99994D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4060" y="3727704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701040</xdr:colOff>
      <xdr:row>283</xdr:row>
      <xdr:rowOff>106680</xdr:rowOff>
    </xdr:from>
    <xdr:ext cx="1554692" cy="391584"/>
    <xdr:pic>
      <xdr:nvPicPr>
        <xdr:cNvPr id="27" name="Picture 2" descr="CORALINA CON TEXTO">
          <a:extLst>
            <a:ext uri="{FF2B5EF4-FFF2-40B4-BE49-F238E27FC236}">
              <a16:creationId xmlns:a16="http://schemas.microsoft.com/office/drawing/2014/main" id="{9E4D6C5E-4ED0-487D-9B83-ABAA2CFA6E4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52160" y="4664964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678180</xdr:colOff>
      <xdr:row>330</xdr:row>
      <xdr:rowOff>15240</xdr:rowOff>
    </xdr:from>
    <xdr:ext cx="1554692" cy="391584"/>
    <xdr:pic>
      <xdr:nvPicPr>
        <xdr:cNvPr id="28" name="Picture 2" descr="CORALINA CON TEXTO">
          <a:extLst>
            <a:ext uri="{FF2B5EF4-FFF2-40B4-BE49-F238E27FC236}">
              <a16:creationId xmlns:a16="http://schemas.microsoft.com/office/drawing/2014/main" id="{B681F0AC-7935-4778-95B5-867BC428D1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9300" y="5536692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377</xdr:row>
      <xdr:rowOff>175260</xdr:rowOff>
    </xdr:from>
    <xdr:ext cx="1554692" cy="391584"/>
    <xdr:pic>
      <xdr:nvPicPr>
        <xdr:cNvPr id="29" name="Picture 2" descr="CORALINA CON TEXTO">
          <a:extLst>
            <a:ext uri="{FF2B5EF4-FFF2-40B4-BE49-F238E27FC236}">
              <a16:creationId xmlns:a16="http://schemas.microsoft.com/office/drawing/2014/main" id="{79836404-6B8E-4855-86B4-8B020D11ECC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98820" y="6537198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701040</xdr:colOff>
      <xdr:row>426</xdr:row>
      <xdr:rowOff>38100</xdr:rowOff>
    </xdr:from>
    <xdr:ext cx="1554692" cy="391584"/>
    <xdr:pic>
      <xdr:nvPicPr>
        <xdr:cNvPr id="30" name="Picture 2" descr="CORALINA CON TEXTO">
          <a:extLst>
            <a:ext uri="{FF2B5EF4-FFF2-40B4-BE49-F238E27FC236}">
              <a16:creationId xmlns:a16="http://schemas.microsoft.com/office/drawing/2014/main" id="{963B3E85-D1B6-44B9-B176-8A01916CF3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52160" y="7561326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708660</xdr:colOff>
      <xdr:row>522</xdr:row>
      <xdr:rowOff>68580</xdr:rowOff>
    </xdr:from>
    <xdr:ext cx="1554692" cy="391584"/>
    <xdr:pic>
      <xdr:nvPicPr>
        <xdr:cNvPr id="31" name="Picture 2" descr="CORALINA CON TEXTO">
          <a:extLst>
            <a:ext uri="{FF2B5EF4-FFF2-40B4-BE49-F238E27FC236}">
              <a16:creationId xmlns:a16="http://schemas.microsoft.com/office/drawing/2014/main" id="{C77D4C4A-04C9-4D1C-B0FE-D72FC90D551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59780" y="8476488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678180</xdr:colOff>
      <xdr:row>570</xdr:row>
      <xdr:rowOff>144780</xdr:rowOff>
    </xdr:from>
    <xdr:ext cx="1554692" cy="391584"/>
    <xdr:pic>
      <xdr:nvPicPr>
        <xdr:cNvPr id="32" name="Picture 2" descr="CORALINA CON TEXTO">
          <a:extLst>
            <a:ext uri="{FF2B5EF4-FFF2-40B4-BE49-F238E27FC236}">
              <a16:creationId xmlns:a16="http://schemas.microsoft.com/office/drawing/2014/main" id="{3FCDE206-4733-49AE-A35D-BE82157676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9300" y="9426702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685800</xdr:colOff>
      <xdr:row>619</xdr:row>
      <xdr:rowOff>7620</xdr:rowOff>
    </xdr:from>
    <xdr:ext cx="1554692" cy="391584"/>
    <xdr:pic>
      <xdr:nvPicPr>
        <xdr:cNvPr id="33" name="Picture 2" descr="CORALINA CON TEXTO">
          <a:extLst>
            <a:ext uri="{FF2B5EF4-FFF2-40B4-BE49-F238E27FC236}">
              <a16:creationId xmlns:a16="http://schemas.microsoft.com/office/drawing/2014/main" id="{B2470E4A-2A62-4C0D-914E-92EB60A478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36920" y="10372344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xdr:col>
      <xdr:colOff>129540</xdr:colOff>
      <xdr:row>4725</xdr:row>
      <xdr:rowOff>155787</xdr:rowOff>
    </xdr:from>
    <xdr:ext cx="1554692" cy="391584"/>
    <xdr:pic>
      <xdr:nvPicPr>
        <xdr:cNvPr id="35" name="Picture 2" descr="CORALINA CON TEXTO">
          <a:extLst>
            <a:ext uri="{FF2B5EF4-FFF2-40B4-BE49-F238E27FC236}">
              <a16:creationId xmlns:a16="http://schemas.microsoft.com/office/drawing/2014/main" id="{D15419E1-7B61-402C-BAB6-41540949BB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04760" y="77949128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678180</xdr:colOff>
      <xdr:row>669</xdr:row>
      <xdr:rowOff>71967</xdr:rowOff>
    </xdr:from>
    <xdr:ext cx="1554692" cy="391584"/>
    <xdr:pic>
      <xdr:nvPicPr>
        <xdr:cNvPr id="37" name="Picture 2" descr="CORALINA CON TEXTO">
          <a:extLst>
            <a:ext uri="{FF2B5EF4-FFF2-40B4-BE49-F238E27FC236}">
              <a16:creationId xmlns:a16="http://schemas.microsoft.com/office/drawing/2014/main" id="{313348D0-292B-49AC-AFB1-75D1037E31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9300" y="14094290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683261</xdr:colOff>
      <xdr:row>819</xdr:row>
      <xdr:rowOff>115146</xdr:rowOff>
    </xdr:from>
    <xdr:ext cx="1554692" cy="391584"/>
    <xdr:pic>
      <xdr:nvPicPr>
        <xdr:cNvPr id="38" name="Picture 2" descr="CORALINA CON TEXTO">
          <a:extLst>
            <a:ext uri="{FF2B5EF4-FFF2-40B4-BE49-F238E27FC236}">
              <a16:creationId xmlns:a16="http://schemas.microsoft.com/office/drawing/2014/main" id="{1B0B741F-534D-4FC3-9FA3-6ABD9208BF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47928" y="164664813"/>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624840</xdr:colOff>
      <xdr:row>916</xdr:row>
      <xdr:rowOff>41487</xdr:rowOff>
    </xdr:from>
    <xdr:ext cx="1554692" cy="391584"/>
    <xdr:pic>
      <xdr:nvPicPr>
        <xdr:cNvPr id="39" name="Picture 2" descr="CORALINA CON TEXTO">
          <a:extLst>
            <a:ext uri="{FF2B5EF4-FFF2-40B4-BE49-F238E27FC236}">
              <a16:creationId xmlns:a16="http://schemas.microsoft.com/office/drawing/2014/main" id="{511B9515-66C9-40DF-A75B-D5314E4307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2120" y="16179122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726440</xdr:colOff>
      <xdr:row>964</xdr:row>
      <xdr:rowOff>20321</xdr:rowOff>
    </xdr:from>
    <xdr:ext cx="1554692" cy="391584"/>
    <xdr:pic>
      <xdr:nvPicPr>
        <xdr:cNvPr id="40" name="Picture 2" descr="CORALINA CON TEXTO">
          <a:extLst>
            <a:ext uri="{FF2B5EF4-FFF2-40B4-BE49-F238E27FC236}">
              <a16:creationId xmlns:a16="http://schemas.microsoft.com/office/drawing/2014/main" id="{DAC69505-44DD-47A1-A00B-27F10C5BDB4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91107" y="182815654"/>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640080</xdr:colOff>
      <xdr:row>1012</xdr:row>
      <xdr:rowOff>94827</xdr:rowOff>
    </xdr:from>
    <xdr:ext cx="1554692" cy="391584"/>
    <xdr:pic>
      <xdr:nvPicPr>
        <xdr:cNvPr id="41" name="Picture 2" descr="CORALINA CON TEXTO">
          <a:extLst>
            <a:ext uri="{FF2B5EF4-FFF2-40B4-BE49-F238E27FC236}">
              <a16:creationId xmlns:a16="http://schemas.microsoft.com/office/drawing/2014/main" id="{D4BD2CDD-1C74-4480-8D8E-BE80472C75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47360" y="17950772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640927</xdr:colOff>
      <xdr:row>1167</xdr:row>
      <xdr:rowOff>150707</xdr:rowOff>
    </xdr:from>
    <xdr:ext cx="1554692" cy="391584"/>
    <xdr:pic>
      <xdr:nvPicPr>
        <xdr:cNvPr id="42" name="Picture 2" descr="CORALINA CON TEXTO">
          <a:extLst>
            <a:ext uri="{FF2B5EF4-FFF2-40B4-BE49-F238E27FC236}">
              <a16:creationId xmlns:a16="http://schemas.microsoft.com/office/drawing/2014/main" id="{3F32D25F-DFD2-4818-B151-24923C27C3C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48207" y="20634028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632460</xdr:colOff>
      <xdr:row>1217</xdr:row>
      <xdr:rowOff>94827</xdr:rowOff>
    </xdr:from>
    <xdr:ext cx="1554692" cy="391584"/>
    <xdr:pic>
      <xdr:nvPicPr>
        <xdr:cNvPr id="43" name="Picture 2" descr="CORALINA CON TEXTO">
          <a:extLst>
            <a:ext uri="{FF2B5EF4-FFF2-40B4-BE49-F238E27FC236}">
              <a16:creationId xmlns:a16="http://schemas.microsoft.com/office/drawing/2014/main" id="{CF3858E8-8699-45A2-AAE9-17B80D144E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9740" y="21552746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683260</xdr:colOff>
      <xdr:row>1264</xdr:row>
      <xdr:rowOff>43180</xdr:rowOff>
    </xdr:from>
    <xdr:ext cx="1554692" cy="391584"/>
    <xdr:pic>
      <xdr:nvPicPr>
        <xdr:cNvPr id="44" name="Picture 2" descr="CORALINA CON TEXTO">
          <a:extLst>
            <a:ext uri="{FF2B5EF4-FFF2-40B4-BE49-F238E27FC236}">
              <a16:creationId xmlns:a16="http://schemas.microsoft.com/office/drawing/2014/main" id="{B7436AD3-3381-4662-910C-942F684DD8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47927" y="23771098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617220</xdr:colOff>
      <xdr:row>1312</xdr:row>
      <xdr:rowOff>110067</xdr:rowOff>
    </xdr:from>
    <xdr:ext cx="1554692" cy="391584"/>
    <xdr:pic>
      <xdr:nvPicPr>
        <xdr:cNvPr id="45" name="Picture 2" descr="CORALINA CON TEXTO">
          <a:extLst>
            <a:ext uri="{FF2B5EF4-FFF2-40B4-BE49-F238E27FC236}">
              <a16:creationId xmlns:a16="http://schemas.microsoft.com/office/drawing/2014/main" id="{41CEC3C4-D485-49B2-AB0C-71327442EE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24500" y="23326682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704427</xdr:colOff>
      <xdr:row>1361</xdr:row>
      <xdr:rowOff>16087</xdr:rowOff>
    </xdr:from>
    <xdr:ext cx="1554692" cy="391584"/>
    <xdr:pic>
      <xdr:nvPicPr>
        <xdr:cNvPr id="46" name="Picture 2" descr="CORALINA CON TEXTO">
          <a:extLst>
            <a:ext uri="{FF2B5EF4-FFF2-40B4-BE49-F238E27FC236}">
              <a16:creationId xmlns:a16="http://schemas.microsoft.com/office/drawing/2014/main" id="{8387BFA0-5B8B-4B17-9DA2-220D47B461D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69094" y="256124287"/>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636694</xdr:colOff>
      <xdr:row>1510</xdr:row>
      <xdr:rowOff>146050</xdr:rowOff>
    </xdr:from>
    <xdr:ext cx="1554692" cy="391584"/>
    <xdr:pic>
      <xdr:nvPicPr>
        <xdr:cNvPr id="47" name="Picture 2" descr="CORALINA CON TEXTO">
          <a:extLst>
            <a:ext uri="{FF2B5EF4-FFF2-40B4-BE49-F238E27FC236}">
              <a16:creationId xmlns:a16="http://schemas.microsoft.com/office/drawing/2014/main" id="{E49F45F3-6AFA-4D86-A699-CFA60AC154D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43974" y="26942923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599864</xdr:colOff>
      <xdr:row>1658</xdr:row>
      <xdr:rowOff>16510</xdr:rowOff>
    </xdr:from>
    <xdr:ext cx="1554692" cy="391583"/>
    <xdr:pic>
      <xdr:nvPicPr>
        <xdr:cNvPr id="48" name="Picture 2" descr="CORALINA CON TEXTO">
          <a:extLst>
            <a:ext uri="{FF2B5EF4-FFF2-40B4-BE49-F238E27FC236}">
              <a16:creationId xmlns:a16="http://schemas.microsoft.com/office/drawing/2014/main" id="{289A7B32-02E8-40DA-802C-29BE1D86C2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07144" y="28764103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622724</xdr:colOff>
      <xdr:row>1708</xdr:row>
      <xdr:rowOff>153670</xdr:rowOff>
    </xdr:from>
    <xdr:ext cx="1554692" cy="391583"/>
    <xdr:pic>
      <xdr:nvPicPr>
        <xdr:cNvPr id="49" name="Picture 2" descr="CORALINA CON TEXTO">
          <a:extLst>
            <a:ext uri="{FF2B5EF4-FFF2-40B4-BE49-F238E27FC236}">
              <a16:creationId xmlns:a16="http://schemas.microsoft.com/office/drawing/2014/main" id="{03310724-7432-4AD9-BBB6-69A880E4DB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0004" y="30489271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637964</xdr:colOff>
      <xdr:row>1767</xdr:row>
      <xdr:rowOff>115570</xdr:rowOff>
    </xdr:from>
    <xdr:ext cx="1554692" cy="391583"/>
    <xdr:pic>
      <xdr:nvPicPr>
        <xdr:cNvPr id="50" name="Picture 2" descr="CORALINA CON TEXTO">
          <a:extLst>
            <a:ext uri="{FF2B5EF4-FFF2-40B4-BE49-F238E27FC236}">
              <a16:creationId xmlns:a16="http://schemas.microsoft.com/office/drawing/2014/main" id="{03478948-C715-4278-AB5D-E7F10900C37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084" y="32775271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615104</xdr:colOff>
      <xdr:row>1818</xdr:row>
      <xdr:rowOff>121920</xdr:rowOff>
    </xdr:from>
    <xdr:ext cx="1554692" cy="391583"/>
    <xdr:pic>
      <xdr:nvPicPr>
        <xdr:cNvPr id="51" name="Picture 2" descr="CORALINA CON TEXTO">
          <a:extLst>
            <a:ext uri="{FF2B5EF4-FFF2-40B4-BE49-F238E27FC236}">
              <a16:creationId xmlns:a16="http://schemas.microsoft.com/office/drawing/2014/main" id="{4800BA46-E603-4373-AE52-F079980F7B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22384" y="32304990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607484</xdr:colOff>
      <xdr:row>1866</xdr:row>
      <xdr:rowOff>54610</xdr:rowOff>
    </xdr:from>
    <xdr:ext cx="1554692" cy="391583"/>
    <xdr:pic>
      <xdr:nvPicPr>
        <xdr:cNvPr id="52" name="Picture 2" descr="CORALINA CON TEXTO">
          <a:extLst>
            <a:ext uri="{FF2B5EF4-FFF2-40B4-BE49-F238E27FC236}">
              <a16:creationId xmlns:a16="http://schemas.microsoft.com/office/drawing/2014/main" id="{2841958F-229A-4297-A485-6BD1C590C8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4764" y="32395795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624417</xdr:colOff>
      <xdr:row>1919</xdr:row>
      <xdr:rowOff>96943</xdr:rowOff>
    </xdr:from>
    <xdr:ext cx="1554692" cy="391583"/>
    <xdr:pic>
      <xdr:nvPicPr>
        <xdr:cNvPr id="53" name="Picture 2" descr="CORALINA CON TEXTO">
          <a:extLst>
            <a:ext uri="{FF2B5EF4-FFF2-40B4-BE49-F238E27FC236}">
              <a16:creationId xmlns:a16="http://schemas.microsoft.com/office/drawing/2014/main" id="{1CAC5E9D-1057-41F4-B6E3-9376D7B17F1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1697" y="341312923"/>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599864</xdr:colOff>
      <xdr:row>1973</xdr:row>
      <xdr:rowOff>69850</xdr:rowOff>
    </xdr:from>
    <xdr:ext cx="1554692" cy="391583"/>
    <xdr:pic>
      <xdr:nvPicPr>
        <xdr:cNvPr id="55" name="Picture 2" descr="CORALINA CON TEXTO">
          <a:extLst>
            <a:ext uri="{FF2B5EF4-FFF2-40B4-BE49-F238E27FC236}">
              <a16:creationId xmlns:a16="http://schemas.microsoft.com/office/drawing/2014/main" id="{2F42F308-04F3-4B8C-BD1B-3625EA7B07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07144" y="34196401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632460</xdr:colOff>
      <xdr:row>2029</xdr:row>
      <xdr:rowOff>7620</xdr:rowOff>
    </xdr:from>
    <xdr:ext cx="1554692" cy="391583"/>
    <xdr:pic>
      <xdr:nvPicPr>
        <xdr:cNvPr id="56" name="Picture 2" descr="CORALINA CON TEXTO">
          <a:extLst>
            <a:ext uri="{FF2B5EF4-FFF2-40B4-BE49-F238E27FC236}">
              <a16:creationId xmlns:a16="http://schemas.microsoft.com/office/drawing/2014/main" id="{4955C795-24E3-4356-8C2C-B9618149D0E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9740" y="34978848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624840</xdr:colOff>
      <xdr:row>2078</xdr:row>
      <xdr:rowOff>68580</xdr:rowOff>
    </xdr:from>
    <xdr:ext cx="1554692" cy="391583"/>
    <xdr:pic>
      <xdr:nvPicPr>
        <xdr:cNvPr id="57" name="Picture 2" descr="CORALINA CON TEXTO">
          <a:extLst>
            <a:ext uri="{FF2B5EF4-FFF2-40B4-BE49-F238E27FC236}">
              <a16:creationId xmlns:a16="http://schemas.microsoft.com/office/drawing/2014/main" id="{73534F55-9BFF-45B5-A203-EE0E6FB80C8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2120" y="35919156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642620</xdr:colOff>
      <xdr:row>2127</xdr:row>
      <xdr:rowOff>22861</xdr:rowOff>
    </xdr:from>
    <xdr:ext cx="1554692" cy="391583"/>
    <xdr:pic>
      <xdr:nvPicPr>
        <xdr:cNvPr id="58" name="Picture 2" descr="CORALINA CON TEXTO">
          <a:extLst>
            <a:ext uri="{FF2B5EF4-FFF2-40B4-BE49-F238E27FC236}">
              <a16:creationId xmlns:a16="http://schemas.microsoft.com/office/drawing/2014/main" id="{17FF682B-4A95-4397-95CA-BB3383BD4C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49900" y="368122201"/>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632460</xdr:colOff>
      <xdr:row>2524</xdr:row>
      <xdr:rowOff>0</xdr:rowOff>
    </xdr:from>
    <xdr:ext cx="1554692" cy="391583"/>
    <xdr:pic>
      <xdr:nvPicPr>
        <xdr:cNvPr id="60" name="Picture 2" descr="CORALINA CON TEXTO">
          <a:extLst>
            <a:ext uri="{FF2B5EF4-FFF2-40B4-BE49-F238E27FC236}">
              <a16:creationId xmlns:a16="http://schemas.microsoft.com/office/drawing/2014/main" id="{66B1B2A6-7A26-478E-9AB4-81410724734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9740" y="4485970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571500</xdr:colOff>
      <xdr:row>2617</xdr:row>
      <xdr:rowOff>15240</xdr:rowOff>
    </xdr:from>
    <xdr:ext cx="1554692" cy="391583"/>
    <xdr:pic>
      <xdr:nvPicPr>
        <xdr:cNvPr id="61" name="Picture 2" descr="CORALINA CON TEXTO">
          <a:extLst>
            <a:ext uri="{FF2B5EF4-FFF2-40B4-BE49-F238E27FC236}">
              <a16:creationId xmlns:a16="http://schemas.microsoft.com/office/drawing/2014/main" id="{771764D5-BEC2-41C5-BFEC-0A54E3F4F02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78780" y="44957238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640080</xdr:colOff>
      <xdr:row>2708</xdr:row>
      <xdr:rowOff>99060</xdr:rowOff>
    </xdr:from>
    <xdr:ext cx="1554692" cy="391583"/>
    <xdr:pic>
      <xdr:nvPicPr>
        <xdr:cNvPr id="62" name="Picture 2" descr="CORALINA CON TEXTO">
          <a:extLst>
            <a:ext uri="{FF2B5EF4-FFF2-40B4-BE49-F238E27FC236}">
              <a16:creationId xmlns:a16="http://schemas.microsoft.com/office/drawing/2014/main" id="{A8CD8BA4-C10F-409F-8350-50FFDD57193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47360" y="45966126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601980</xdr:colOff>
      <xdr:row>2756</xdr:row>
      <xdr:rowOff>175260</xdr:rowOff>
    </xdr:from>
    <xdr:ext cx="1554692" cy="391583"/>
    <xdr:pic>
      <xdr:nvPicPr>
        <xdr:cNvPr id="63" name="Picture 2" descr="CORALINA CON TEXTO">
          <a:extLst>
            <a:ext uri="{FF2B5EF4-FFF2-40B4-BE49-F238E27FC236}">
              <a16:creationId xmlns:a16="http://schemas.microsoft.com/office/drawing/2014/main" id="{58502BE7-9DC9-4B5E-9F33-71D4A7A1F3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09260" y="46690788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601980</xdr:colOff>
      <xdr:row>2821</xdr:row>
      <xdr:rowOff>76200</xdr:rowOff>
    </xdr:from>
    <xdr:ext cx="1554692" cy="391583"/>
    <xdr:pic>
      <xdr:nvPicPr>
        <xdr:cNvPr id="64" name="Picture 2" descr="CORALINA CON TEXTO">
          <a:extLst>
            <a:ext uri="{FF2B5EF4-FFF2-40B4-BE49-F238E27FC236}">
              <a16:creationId xmlns:a16="http://schemas.microsoft.com/office/drawing/2014/main" id="{23CC221C-B0DE-4688-8555-2DC7D15E8B7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09260" y="50229516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617220</xdr:colOff>
      <xdr:row>2869</xdr:row>
      <xdr:rowOff>7620</xdr:rowOff>
    </xdr:from>
    <xdr:ext cx="1554692" cy="391583"/>
    <xdr:pic>
      <xdr:nvPicPr>
        <xdr:cNvPr id="65" name="Picture 2" descr="CORALINA CON TEXTO">
          <a:extLst>
            <a:ext uri="{FF2B5EF4-FFF2-40B4-BE49-F238E27FC236}">
              <a16:creationId xmlns:a16="http://schemas.microsoft.com/office/drawing/2014/main" id="{38DDE8C2-479D-49D6-8833-A13787FDD8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24500" y="4847539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640080</xdr:colOff>
      <xdr:row>2920</xdr:row>
      <xdr:rowOff>15240</xdr:rowOff>
    </xdr:from>
    <xdr:ext cx="1554692" cy="391583"/>
    <xdr:pic>
      <xdr:nvPicPr>
        <xdr:cNvPr id="66" name="Picture 2" descr="CORALINA CON TEXTO">
          <a:extLst>
            <a:ext uri="{FF2B5EF4-FFF2-40B4-BE49-F238E27FC236}">
              <a16:creationId xmlns:a16="http://schemas.microsoft.com/office/drawing/2014/main" id="{D3822B1C-7088-424A-B44F-61F9E41008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47360" y="4943170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617220</xdr:colOff>
      <xdr:row>2968</xdr:row>
      <xdr:rowOff>30480</xdr:rowOff>
    </xdr:from>
    <xdr:ext cx="1554692" cy="391583"/>
    <xdr:pic>
      <xdr:nvPicPr>
        <xdr:cNvPr id="67" name="Picture 2" descr="CORALINA CON TEXTO">
          <a:extLst>
            <a:ext uri="{FF2B5EF4-FFF2-40B4-BE49-F238E27FC236}">
              <a16:creationId xmlns:a16="http://schemas.microsoft.com/office/drawing/2014/main" id="{32FBB542-6E0C-4087-B37C-F8B5A7FB51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24500" y="50302668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607060</xdr:colOff>
      <xdr:row>3016</xdr:row>
      <xdr:rowOff>81280</xdr:rowOff>
    </xdr:from>
    <xdr:ext cx="1554692" cy="391583"/>
    <xdr:pic>
      <xdr:nvPicPr>
        <xdr:cNvPr id="68" name="Picture 2" descr="CORALINA CON TEXTO">
          <a:extLst>
            <a:ext uri="{FF2B5EF4-FFF2-40B4-BE49-F238E27FC236}">
              <a16:creationId xmlns:a16="http://schemas.microsoft.com/office/drawing/2014/main" id="{F2C3C58B-6D22-4BBF-A66C-4208E180B62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4340" y="5204282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586740</xdr:colOff>
      <xdr:row>3062</xdr:row>
      <xdr:rowOff>99060</xdr:rowOff>
    </xdr:from>
    <xdr:ext cx="1554692" cy="391583"/>
    <xdr:pic>
      <xdr:nvPicPr>
        <xdr:cNvPr id="69" name="Picture 2" descr="CORALINA CON TEXTO">
          <a:extLst>
            <a:ext uri="{FF2B5EF4-FFF2-40B4-BE49-F238E27FC236}">
              <a16:creationId xmlns:a16="http://schemas.microsoft.com/office/drawing/2014/main" id="{8369F816-D682-42C3-B0B1-75D69FF5C41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4020" y="5207584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601980</xdr:colOff>
      <xdr:row>3221</xdr:row>
      <xdr:rowOff>15240</xdr:rowOff>
    </xdr:from>
    <xdr:ext cx="1554692" cy="391583"/>
    <xdr:pic>
      <xdr:nvPicPr>
        <xdr:cNvPr id="70" name="Picture 2" descr="CORALINA CON TEXTO">
          <a:extLst>
            <a:ext uri="{FF2B5EF4-FFF2-40B4-BE49-F238E27FC236}">
              <a16:creationId xmlns:a16="http://schemas.microsoft.com/office/drawing/2014/main" id="{73B86100-7A7C-4E1E-B46A-6EC865C6CD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09260" y="5499811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3269</xdr:row>
      <xdr:rowOff>15240</xdr:rowOff>
    </xdr:from>
    <xdr:ext cx="1554692" cy="391583"/>
    <xdr:pic>
      <xdr:nvPicPr>
        <xdr:cNvPr id="71" name="Picture 2" descr="CORALINA CON TEXTO">
          <a:extLst>
            <a:ext uri="{FF2B5EF4-FFF2-40B4-BE49-F238E27FC236}">
              <a16:creationId xmlns:a16="http://schemas.microsoft.com/office/drawing/2014/main" id="{C334AA39-3D5D-4F39-AF5A-47B7A20E822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98820" y="53974746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595207</xdr:colOff>
      <xdr:row>3320</xdr:row>
      <xdr:rowOff>139700</xdr:rowOff>
    </xdr:from>
    <xdr:ext cx="1554692" cy="391583"/>
    <xdr:pic>
      <xdr:nvPicPr>
        <xdr:cNvPr id="72" name="Picture 2" descr="CORALINA CON TEXTO">
          <a:extLst>
            <a:ext uri="{FF2B5EF4-FFF2-40B4-BE49-F238E27FC236}">
              <a16:creationId xmlns:a16="http://schemas.microsoft.com/office/drawing/2014/main" id="{5DB83097-94A6-4960-B968-9F0D5D643F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02487" y="5682183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709507</xdr:colOff>
      <xdr:row>3370</xdr:row>
      <xdr:rowOff>22860</xdr:rowOff>
    </xdr:from>
    <xdr:ext cx="1554692" cy="391583"/>
    <xdr:pic>
      <xdr:nvPicPr>
        <xdr:cNvPr id="73" name="Picture 2" descr="CORALINA CON TEXTO">
          <a:extLst>
            <a:ext uri="{FF2B5EF4-FFF2-40B4-BE49-F238E27FC236}">
              <a16:creationId xmlns:a16="http://schemas.microsoft.com/office/drawing/2014/main" id="{B40BF606-0C45-4402-B72F-604DAC961EC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74174" y="54805326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600934</xdr:colOff>
      <xdr:row>3794</xdr:row>
      <xdr:rowOff>31899</xdr:rowOff>
    </xdr:from>
    <xdr:ext cx="1554692" cy="395319"/>
    <xdr:pic>
      <xdr:nvPicPr>
        <xdr:cNvPr id="74" name="Picture 2" descr="CORALINA CON TEXTO">
          <a:extLst>
            <a:ext uri="{FF2B5EF4-FFF2-40B4-BE49-F238E27FC236}">
              <a16:creationId xmlns:a16="http://schemas.microsoft.com/office/drawing/2014/main" id="{B58B19B4-D2EF-4FC1-BDAB-6958CFDAC5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08214" y="645895479"/>
          <a:ext cx="1554692" cy="3953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569158</xdr:colOff>
      <xdr:row>3740</xdr:row>
      <xdr:rowOff>21390</xdr:rowOff>
    </xdr:from>
    <xdr:ext cx="1554692" cy="393452"/>
    <xdr:pic>
      <xdr:nvPicPr>
        <xdr:cNvPr id="75" name="Picture 2" descr="CORALINA CON TEXTO">
          <a:extLst>
            <a:ext uri="{FF2B5EF4-FFF2-40B4-BE49-F238E27FC236}">
              <a16:creationId xmlns:a16="http://schemas.microsoft.com/office/drawing/2014/main" id="{2907398A-94CA-4C0D-BCFD-12E631D100E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76438" y="664035810"/>
          <a:ext cx="1554692" cy="3934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594360</xdr:colOff>
      <xdr:row>3423</xdr:row>
      <xdr:rowOff>91440</xdr:rowOff>
    </xdr:from>
    <xdr:ext cx="1554692" cy="391583"/>
    <xdr:pic>
      <xdr:nvPicPr>
        <xdr:cNvPr id="76" name="Picture 2" descr="CORALINA CON TEXTO">
          <a:extLst>
            <a:ext uri="{FF2B5EF4-FFF2-40B4-BE49-F238E27FC236}">
              <a16:creationId xmlns:a16="http://schemas.microsoft.com/office/drawing/2014/main" id="{4EFBD42B-B79B-46F5-B255-10467C3DA5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01640" y="5920816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624840</xdr:colOff>
      <xdr:row>3478</xdr:row>
      <xdr:rowOff>175260</xdr:rowOff>
    </xdr:from>
    <xdr:ext cx="1554692" cy="391583"/>
    <xdr:pic>
      <xdr:nvPicPr>
        <xdr:cNvPr id="77" name="Picture 2" descr="CORALINA CON TEXTO">
          <a:extLst>
            <a:ext uri="{FF2B5EF4-FFF2-40B4-BE49-F238E27FC236}">
              <a16:creationId xmlns:a16="http://schemas.microsoft.com/office/drawing/2014/main" id="{52AE9FDA-7E73-4D7C-8BFA-7496EE224C2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2120" y="59210448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624840</xdr:colOff>
      <xdr:row>3529</xdr:row>
      <xdr:rowOff>106680</xdr:rowOff>
    </xdr:from>
    <xdr:ext cx="1554692" cy="437303"/>
    <xdr:pic>
      <xdr:nvPicPr>
        <xdr:cNvPr id="78" name="Picture 2" descr="CORALINA CON TEXTO">
          <a:extLst>
            <a:ext uri="{FF2B5EF4-FFF2-40B4-BE49-F238E27FC236}">
              <a16:creationId xmlns:a16="http://schemas.microsoft.com/office/drawing/2014/main" id="{DE201011-261F-4FB2-BA92-14B9D0A5FA3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2120" y="610095300"/>
          <a:ext cx="1554692" cy="4373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571500</xdr:colOff>
      <xdr:row>3590</xdr:row>
      <xdr:rowOff>45720</xdr:rowOff>
    </xdr:from>
    <xdr:ext cx="1554692" cy="391583"/>
    <xdr:pic>
      <xdr:nvPicPr>
        <xdr:cNvPr id="79" name="Picture 2" descr="CORALINA CON TEXTO">
          <a:extLst>
            <a:ext uri="{FF2B5EF4-FFF2-40B4-BE49-F238E27FC236}">
              <a16:creationId xmlns:a16="http://schemas.microsoft.com/office/drawing/2014/main" id="{AC085BA0-F3D9-447C-BAB7-DB13DBABC0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78780" y="61000386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3641</xdr:row>
      <xdr:rowOff>99060</xdr:rowOff>
    </xdr:from>
    <xdr:ext cx="1554692" cy="391583"/>
    <xdr:pic>
      <xdr:nvPicPr>
        <xdr:cNvPr id="80" name="Picture 2" descr="CORALINA CON TEXTO">
          <a:extLst>
            <a:ext uri="{FF2B5EF4-FFF2-40B4-BE49-F238E27FC236}">
              <a16:creationId xmlns:a16="http://schemas.microsoft.com/office/drawing/2014/main" id="{7ACBC47A-7A4B-4ECE-9AFC-252AA494B3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54980" y="6280099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571500</xdr:colOff>
      <xdr:row>3691</xdr:row>
      <xdr:rowOff>106680</xdr:rowOff>
    </xdr:from>
    <xdr:ext cx="1554692" cy="391583"/>
    <xdr:pic>
      <xdr:nvPicPr>
        <xdr:cNvPr id="81" name="Picture 2" descr="CORALINA CON TEXTO">
          <a:extLst>
            <a:ext uri="{FF2B5EF4-FFF2-40B4-BE49-F238E27FC236}">
              <a16:creationId xmlns:a16="http://schemas.microsoft.com/office/drawing/2014/main" id="{507BBA93-1A5F-47A4-974B-EBD110B5B8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78780" y="6278194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708660</xdr:colOff>
      <xdr:row>476</xdr:row>
      <xdr:rowOff>68580</xdr:rowOff>
    </xdr:from>
    <xdr:ext cx="1554692" cy="391584"/>
    <xdr:pic>
      <xdr:nvPicPr>
        <xdr:cNvPr id="83" name="Picture 2" descr="CORALINA CON TEXTO">
          <a:extLst>
            <a:ext uri="{FF2B5EF4-FFF2-40B4-BE49-F238E27FC236}">
              <a16:creationId xmlns:a16="http://schemas.microsoft.com/office/drawing/2014/main" id="{6B94F7A5-CC60-4FEA-A0E3-A6F58D2E6D2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15940" y="90159840"/>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609600</xdr:colOff>
      <xdr:row>3117</xdr:row>
      <xdr:rowOff>167640</xdr:rowOff>
    </xdr:from>
    <xdr:ext cx="1554692" cy="391583"/>
    <xdr:pic>
      <xdr:nvPicPr>
        <xdr:cNvPr id="85" name="Picture 2" descr="CORALINA CON TEXTO">
          <a:extLst>
            <a:ext uri="{FF2B5EF4-FFF2-40B4-BE49-F238E27FC236}">
              <a16:creationId xmlns:a16="http://schemas.microsoft.com/office/drawing/2014/main" id="{D96B9DE4-B813-441D-8487-1908D3A64A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6880" y="53836824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632460</xdr:colOff>
      <xdr:row>3165</xdr:row>
      <xdr:rowOff>7620</xdr:rowOff>
    </xdr:from>
    <xdr:ext cx="1554692" cy="391583"/>
    <xdr:pic>
      <xdr:nvPicPr>
        <xdr:cNvPr id="86" name="Picture 2" descr="CORALINA CON TEXTO">
          <a:extLst>
            <a:ext uri="{FF2B5EF4-FFF2-40B4-BE49-F238E27FC236}">
              <a16:creationId xmlns:a16="http://schemas.microsoft.com/office/drawing/2014/main" id="{7F87293F-F9ED-42CC-89CF-9CF6F4120BD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9740" y="53843682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579120</xdr:colOff>
      <xdr:row>2276</xdr:row>
      <xdr:rowOff>30480</xdr:rowOff>
    </xdr:from>
    <xdr:ext cx="1554692" cy="391583"/>
    <xdr:pic>
      <xdr:nvPicPr>
        <xdr:cNvPr id="84" name="Picture 2" descr="CORALINA CON TEXTO">
          <a:extLst>
            <a:ext uri="{FF2B5EF4-FFF2-40B4-BE49-F238E27FC236}">
              <a16:creationId xmlns:a16="http://schemas.microsoft.com/office/drawing/2014/main" id="{2FD5AE24-F336-431B-AC4F-34DD29A190F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86400" y="39484554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609600</xdr:colOff>
      <xdr:row>2374</xdr:row>
      <xdr:rowOff>68580</xdr:rowOff>
    </xdr:from>
    <xdr:ext cx="1554692" cy="391583"/>
    <xdr:pic>
      <xdr:nvPicPr>
        <xdr:cNvPr id="87" name="Picture 2" descr="CORALINA CON TEXTO">
          <a:extLst>
            <a:ext uri="{FF2B5EF4-FFF2-40B4-BE49-F238E27FC236}">
              <a16:creationId xmlns:a16="http://schemas.microsoft.com/office/drawing/2014/main" id="{E2E45D4D-E466-417B-8CC3-5B38719FE25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6880" y="42155364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662940</xdr:colOff>
      <xdr:row>2471</xdr:row>
      <xdr:rowOff>22860</xdr:rowOff>
    </xdr:from>
    <xdr:ext cx="1554692" cy="391583"/>
    <xdr:pic>
      <xdr:nvPicPr>
        <xdr:cNvPr id="88" name="Picture 2" descr="CORALINA CON TEXTO">
          <a:extLst>
            <a:ext uri="{FF2B5EF4-FFF2-40B4-BE49-F238E27FC236}">
              <a16:creationId xmlns:a16="http://schemas.microsoft.com/office/drawing/2014/main" id="{336C3C25-D452-4E66-8D15-40BB2F8428E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0220" y="43879770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617220</xdr:colOff>
      <xdr:row>2326</xdr:row>
      <xdr:rowOff>144780</xdr:rowOff>
    </xdr:from>
    <xdr:ext cx="1554692" cy="391583"/>
    <xdr:pic>
      <xdr:nvPicPr>
        <xdr:cNvPr id="90" name="Picture 2" descr="CORALINA CON TEXTO">
          <a:extLst>
            <a:ext uri="{FF2B5EF4-FFF2-40B4-BE49-F238E27FC236}">
              <a16:creationId xmlns:a16="http://schemas.microsoft.com/office/drawing/2014/main" id="{0F66C8CE-F7CB-4ACB-B2BE-0B3926E47C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24500" y="41272968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586740</xdr:colOff>
      <xdr:row>2226</xdr:row>
      <xdr:rowOff>144780</xdr:rowOff>
    </xdr:from>
    <xdr:ext cx="1554692" cy="391583"/>
    <xdr:pic>
      <xdr:nvPicPr>
        <xdr:cNvPr id="91" name="Picture 2" descr="CORALINA CON TEXTO">
          <a:extLst>
            <a:ext uri="{FF2B5EF4-FFF2-40B4-BE49-F238E27FC236}">
              <a16:creationId xmlns:a16="http://schemas.microsoft.com/office/drawing/2014/main" id="{93C688D0-4073-49E4-AD22-C97D68982A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86500" y="51054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609600</xdr:colOff>
      <xdr:row>2423</xdr:row>
      <xdr:rowOff>121920</xdr:rowOff>
    </xdr:from>
    <xdr:ext cx="1554692" cy="391583"/>
    <xdr:pic>
      <xdr:nvPicPr>
        <xdr:cNvPr id="94" name="Picture 2" descr="CORALINA CON TEXTO">
          <a:extLst>
            <a:ext uri="{FF2B5EF4-FFF2-40B4-BE49-F238E27FC236}">
              <a16:creationId xmlns:a16="http://schemas.microsoft.com/office/drawing/2014/main" id="{85D9948F-D9B5-4BCD-8848-D08E721090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6880" y="430773840"/>
          <a:ext cx="1554692" cy="391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683261</xdr:colOff>
      <xdr:row>867</xdr:row>
      <xdr:rowOff>115146</xdr:rowOff>
    </xdr:from>
    <xdr:ext cx="1554692" cy="391584"/>
    <xdr:pic>
      <xdr:nvPicPr>
        <xdr:cNvPr id="89" name="Picture 2" descr="CORALINA CON TEXTO">
          <a:extLst>
            <a:ext uri="{FF2B5EF4-FFF2-40B4-BE49-F238E27FC236}">
              <a16:creationId xmlns:a16="http://schemas.microsoft.com/office/drawing/2014/main" id="{596BF639-149D-459F-B7ED-8F55EDF8A2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90541" y="144437946"/>
          <a:ext cx="1554692" cy="391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I132"/>
  <sheetViews>
    <sheetView tabSelected="1" zoomScale="130" zoomScaleNormal="130" workbookViewId="0">
      <selection activeCell="I17" sqref="I17"/>
    </sheetView>
  </sheetViews>
  <sheetFormatPr baseColWidth="10" defaultRowHeight="15" x14ac:dyDescent="0.25"/>
  <cols>
    <col min="1" max="1" width="2.28515625" customWidth="1"/>
    <col min="2" max="2" width="5.7109375" style="158" customWidth="1"/>
    <col min="3" max="3" width="57.85546875" customWidth="1"/>
    <col min="4" max="4" width="7.140625" style="158" customWidth="1"/>
    <col min="5" max="5" width="7.85546875" customWidth="1"/>
    <col min="6" max="6" width="13.5703125" style="155" customWidth="1"/>
    <col min="7" max="7" width="13.85546875" customWidth="1"/>
    <col min="8" max="8" width="2.42578125" customWidth="1"/>
    <col min="9" max="9" width="14.85546875" customWidth="1"/>
  </cols>
  <sheetData>
    <row r="1" spans="2:7" ht="15.6" customHeight="1" x14ac:dyDescent="0.25">
      <c r="B1" s="162"/>
      <c r="C1" s="2"/>
      <c r="D1" s="316"/>
      <c r="E1" s="3"/>
      <c r="F1" s="3"/>
      <c r="G1" s="3"/>
    </row>
    <row r="2" spans="2:7" ht="15" customHeight="1" x14ac:dyDescent="0.25">
      <c r="B2" s="162"/>
      <c r="C2" s="2"/>
      <c r="D2" s="316"/>
      <c r="E2" s="3"/>
      <c r="F2" s="3"/>
      <c r="G2" s="3"/>
    </row>
    <row r="3" spans="2:7" ht="15" customHeight="1" x14ac:dyDescent="0.25">
      <c r="B3" s="162"/>
      <c r="C3" s="2"/>
      <c r="D3" s="316"/>
      <c r="E3" s="3"/>
      <c r="F3" s="3"/>
      <c r="G3" s="3"/>
    </row>
    <row r="4" spans="2:7" ht="15" customHeight="1" x14ac:dyDescent="0.25">
      <c r="B4" s="401" t="s">
        <v>68</v>
      </c>
      <c r="C4" s="401"/>
      <c r="D4" s="401"/>
      <c r="E4" s="401"/>
      <c r="F4" s="401"/>
      <c r="G4" s="401"/>
    </row>
    <row r="5" spans="2:7" ht="15" customHeight="1" x14ac:dyDescent="0.25">
      <c r="B5" s="402" t="s">
        <v>66</v>
      </c>
      <c r="C5" s="403"/>
      <c r="D5" s="403"/>
      <c r="E5" s="403"/>
      <c r="F5" s="403"/>
      <c r="G5" s="403"/>
    </row>
    <row r="6" spans="2:7" ht="9" customHeight="1" x14ac:dyDescent="0.25">
      <c r="B6" s="162"/>
      <c r="C6" s="2"/>
      <c r="D6" s="316"/>
      <c r="E6" s="3"/>
      <c r="F6" s="3"/>
      <c r="G6" s="3"/>
    </row>
    <row r="7" spans="2:7" ht="17.45" customHeight="1" x14ac:dyDescent="0.25">
      <c r="B7" s="404" t="s">
        <v>67</v>
      </c>
      <c r="C7" s="404"/>
      <c r="D7" s="404"/>
      <c r="E7" s="404"/>
      <c r="F7" s="404"/>
      <c r="G7" s="404"/>
    </row>
    <row r="8" spans="2:7" ht="15" customHeight="1" x14ac:dyDescent="0.25">
      <c r="B8" s="405" t="s">
        <v>491</v>
      </c>
      <c r="C8" s="405"/>
      <c r="D8" s="405"/>
      <c r="E8" s="405"/>
      <c r="F8" s="405"/>
      <c r="G8" s="405"/>
    </row>
    <row r="9" spans="2:7" ht="6.6" customHeight="1" x14ac:dyDescent="0.25">
      <c r="B9" s="405"/>
      <c r="C9" s="405"/>
      <c r="D9" s="405"/>
      <c r="E9" s="405"/>
      <c r="F9" s="405"/>
      <c r="G9" s="405"/>
    </row>
    <row r="10" spans="2:7" ht="20.45" customHeight="1" x14ac:dyDescent="0.25">
      <c r="B10" s="407" t="s">
        <v>453</v>
      </c>
      <c r="C10" s="408"/>
      <c r="D10" s="409"/>
      <c r="E10" s="407" t="s">
        <v>489</v>
      </c>
      <c r="F10" s="408"/>
      <c r="G10" s="409"/>
    </row>
    <row r="11" spans="2:7" ht="15" customHeight="1" x14ac:dyDescent="0.25">
      <c r="B11" s="406" t="s">
        <v>46</v>
      </c>
      <c r="C11" s="406" t="s">
        <v>0</v>
      </c>
      <c r="D11" s="406" t="s">
        <v>18</v>
      </c>
      <c r="E11" s="406" t="s">
        <v>454</v>
      </c>
      <c r="F11" s="400" t="s">
        <v>2</v>
      </c>
      <c r="G11" s="400" t="s">
        <v>45</v>
      </c>
    </row>
    <row r="12" spans="2:7" ht="7.15" customHeight="1" x14ac:dyDescent="0.25">
      <c r="B12" s="406"/>
      <c r="C12" s="406"/>
      <c r="D12" s="406"/>
      <c r="E12" s="406"/>
      <c r="F12" s="400"/>
      <c r="G12" s="400"/>
    </row>
    <row r="13" spans="2:7" x14ac:dyDescent="0.25">
      <c r="B13" s="163" t="s">
        <v>3</v>
      </c>
      <c r="C13" s="317" t="s">
        <v>29</v>
      </c>
      <c r="D13" s="317"/>
      <c r="E13" s="317"/>
      <c r="F13" s="347"/>
      <c r="G13" s="317"/>
    </row>
    <row r="14" spans="2:7" x14ac:dyDescent="0.25">
      <c r="B14" s="163" t="s">
        <v>5</v>
      </c>
      <c r="C14" s="317" t="s">
        <v>30</v>
      </c>
      <c r="D14" s="317"/>
      <c r="E14" s="317"/>
      <c r="F14" s="347"/>
      <c r="G14" s="317"/>
    </row>
    <row r="15" spans="2:7" x14ac:dyDescent="0.25">
      <c r="B15" s="164">
        <v>1</v>
      </c>
      <c r="C15" s="348" t="s">
        <v>25</v>
      </c>
      <c r="D15" s="160"/>
      <c r="E15" s="160"/>
      <c r="F15" s="349"/>
      <c r="G15" s="350"/>
    </row>
    <row r="16" spans="2:7" ht="22.5" customHeight="1" x14ac:dyDescent="0.25">
      <c r="B16" s="165">
        <v>1.1000000000000001</v>
      </c>
      <c r="C16" s="351" t="s">
        <v>26</v>
      </c>
      <c r="D16" s="318" t="s">
        <v>8</v>
      </c>
      <c r="E16" s="352">
        <v>1</v>
      </c>
      <c r="F16" s="353">
        <f>+APU!$H$47</f>
        <v>3320092</v>
      </c>
      <c r="G16" s="354">
        <f>E16*F16</f>
        <v>3320092</v>
      </c>
    </row>
    <row r="17" spans="2:9" ht="52.5" customHeight="1" x14ac:dyDescent="0.25">
      <c r="B17" s="165">
        <v>1.2</v>
      </c>
      <c r="C17" s="355" t="s">
        <v>456</v>
      </c>
      <c r="D17" s="318" t="s">
        <v>9</v>
      </c>
      <c r="E17" s="352">
        <v>50</v>
      </c>
      <c r="F17" s="353">
        <f>+APU!$H$137</f>
        <v>205103</v>
      </c>
      <c r="G17" s="354">
        <f>E17*F17</f>
        <v>10255150</v>
      </c>
      <c r="H17" s="1"/>
      <c r="I17" s="156"/>
    </row>
    <row r="18" spans="2:9" ht="52.5" customHeight="1" x14ac:dyDescent="0.25">
      <c r="B18" s="165">
        <v>1.3</v>
      </c>
      <c r="C18" s="356" t="s">
        <v>133</v>
      </c>
      <c r="D18" s="318" t="s">
        <v>18</v>
      </c>
      <c r="E18" s="352">
        <v>5</v>
      </c>
      <c r="F18" s="353">
        <f>+APU!$H$185</f>
        <v>1171618</v>
      </c>
      <c r="G18" s="354">
        <f t="shared" ref="G18:G20" si="0">E18*F18</f>
        <v>5858090</v>
      </c>
      <c r="H18" s="1"/>
      <c r="I18" s="156"/>
    </row>
    <row r="19" spans="2:9" ht="42.6" customHeight="1" x14ac:dyDescent="0.25">
      <c r="B19" s="165">
        <v>1.4</v>
      </c>
      <c r="C19" s="356" t="s">
        <v>144</v>
      </c>
      <c r="D19" s="318" t="s">
        <v>18</v>
      </c>
      <c r="E19" s="352">
        <v>8</v>
      </c>
      <c r="F19" s="353">
        <f>+APU!$H$232</f>
        <v>884223</v>
      </c>
      <c r="G19" s="354">
        <f t="shared" si="0"/>
        <v>7073784</v>
      </c>
      <c r="H19" s="1"/>
      <c r="I19" s="156"/>
    </row>
    <row r="20" spans="2:9" ht="32.450000000000003" customHeight="1" x14ac:dyDescent="0.25">
      <c r="B20" s="165">
        <v>1.5</v>
      </c>
      <c r="C20" s="356" t="s">
        <v>44</v>
      </c>
      <c r="D20" s="318" t="s">
        <v>8</v>
      </c>
      <c r="E20" s="352">
        <v>1</v>
      </c>
      <c r="F20" s="353">
        <f>+APU!$H$280</f>
        <v>482858</v>
      </c>
      <c r="G20" s="354">
        <f t="shared" si="0"/>
        <v>482858</v>
      </c>
      <c r="H20" s="1"/>
    </row>
    <row r="21" spans="2:9" x14ac:dyDescent="0.25">
      <c r="B21" s="166" t="s">
        <v>19</v>
      </c>
      <c r="C21" s="319" t="s">
        <v>4</v>
      </c>
      <c r="D21" s="319"/>
      <c r="E21" s="319"/>
      <c r="F21" s="357"/>
      <c r="G21" s="319"/>
    </row>
    <row r="22" spans="2:9" x14ac:dyDescent="0.25">
      <c r="B22" s="166" t="s">
        <v>78</v>
      </c>
      <c r="C22" s="319" t="s">
        <v>28</v>
      </c>
      <c r="D22" s="319"/>
      <c r="E22" s="319"/>
      <c r="F22" s="357"/>
      <c r="G22" s="319"/>
    </row>
    <row r="23" spans="2:9" x14ac:dyDescent="0.25">
      <c r="B23" s="167">
        <v>2</v>
      </c>
      <c r="C23" s="320" t="s">
        <v>6</v>
      </c>
      <c r="D23" s="320"/>
      <c r="E23" s="320"/>
      <c r="F23" s="358"/>
      <c r="G23" s="320"/>
    </row>
    <row r="24" spans="2:9" ht="31.9" customHeight="1" x14ac:dyDescent="0.25">
      <c r="B24" s="168">
        <v>2.1</v>
      </c>
      <c r="C24" s="351" t="s">
        <v>452</v>
      </c>
      <c r="D24" s="321" t="s">
        <v>7</v>
      </c>
      <c r="E24" s="359">
        <v>60.12</v>
      </c>
      <c r="F24" s="360">
        <f>+APU!$H$328</f>
        <v>38973</v>
      </c>
      <c r="G24" s="361">
        <f>+ROUND(E24*F24,0)</f>
        <v>2343057</v>
      </c>
    </row>
    <row r="25" spans="2:9" x14ac:dyDescent="0.25">
      <c r="B25" s="169">
        <v>3</v>
      </c>
      <c r="C25" s="320" t="s">
        <v>31</v>
      </c>
      <c r="D25" s="322"/>
      <c r="E25" s="322"/>
      <c r="F25" s="362"/>
      <c r="G25" s="363"/>
    </row>
    <row r="26" spans="2:9" ht="43.15" customHeight="1" x14ac:dyDescent="0.25">
      <c r="B26" s="170">
        <v>3.1</v>
      </c>
      <c r="C26" s="351" t="s">
        <v>457</v>
      </c>
      <c r="D26" s="321" t="s">
        <v>9</v>
      </c>
      <c r="E26" s="359">
        <v>3.5</v>
      </c>
      <c r="F26" s="354">
        <f>+APU!$H$375</f>
        <v>289163</v>
      </c>
      <c r="G26" s="361">
        <f>+ROUND(E26*F26,0)</f>
        <v>1012071</v>
      </c>
    </row>
    <row r="27" spans="2:9" ht="40.9" customHeight="1" x14ac:dyDescent="0.25">
      <c r="B27" s="170">
        <v>3.2</v>
      </c>
      <c r="C27" s="351" t="s">
        <v>24</v>
      </c>
      <c r="D27" s="321" t="s">
        <v>9</v>
      </c>
      <c r="E27" s="359">
        <v>15</v>
      </c>
      <c r="F27" s="354">
        <f>+APU!$H$423</f>
        <v>494951</v>
      </c>
      <c r="G27" s="361">
        <f t="shared" ref="G27:G28" si="1">+E27*F27</f>
        <v>7424265</v>
      </c>
    </row>
    <row r="28" spans="2:9" ht="31.15" customHeight="1" x14ac:dyDescent="0.25">
      <c r="B28" s="170">
        <v>3.3</v>
      </c>
      <c r="C28" s="351" t="s">
        <v>458</v>
      </c>
      <c r="D28" s="321" t="s">
        <v>7</v>
      </c>
      <c r="E28" s="359">
        <v>3</v>
      </c>
      <c r="F28" s="354">
        <f>+APU!$H$472</f>
        <v>565129</v>
      </c>
      <c r="G28" s="361">
        <f t="shared" si="1"/>
        <v>1695387</v>
      </c>
    </row>
    <row r="29" spans="2:9" ht="43.15" customHeight="1" x14ac:dyDescent="0.25">
      <c r="B29" s="170">
        <v>3.4</v>
      </c>
      <c r="C29" s="351" t="s">
        <v>459</v>
      </c>
      <c r="D29" s="321" t="s">
        <v>7</v>
      </c>
      <c r="E29" s="364">
        <f>1.8*3.3</f>
        <v>5.9399999999999995</v>
      </c>
      <c r="F29" s="354">
        <f>+APU!$H$664</f>
        <v>761481</v>
      </c>
      <c r="G29" s="361">
        <f>+ROUND(E29*F29,0)</f>
        <v>4523197</v>
      </c>
    </row>
    <row r="30" spans="2:9" ht="43.15" customHeight="1" x14ac:dyDescent="0.25">
      <c r="B30" s="170">
        <v>3.5</v>
      </c>
      <c r="C30" s="351" t="s">
        <v>450</v>
      </c>
      <c r="D30" s="321" t="s">
        <v>7</v>
      </c>
      <c r="E30" s="359">
        <v>31.75</v>
      </c>
      <c r="F30" s="354">
        <f>+$F$29</f>
        <v>761481</v>
      </c>
      <c r="G30" s="361">
        <f>+ROUND(E30*F30,0)</f>
        <v>24177022</v>
      </c>
    </row>
    <row r="31" spans="2:9" x14ac:dyDescent="0.25">
      <c r="B31" s="169">
        <v>4</v>
      </c>
      <c r="C31" s="320" t="s">
        <v>41</v>
      </c>
      <c r="D31" s="322"/>
      <c r="E31" s="322"/>
      <c r="F31" s="362"/>
      <c r="G31" s="363"/>
    </row>
    <row r="32" spans="2:9" ht="40.9" customHeight="1" x14ac:dyDescent="0.25">
      <c r="B32" s="170">
        <v>4.0999999999999996</v>
      </c>
      <c r="C32" s="351" t="s">
        <v>408</v>
      </c>
      <c r="D32" s="323" t="s">
        <v>40</v>
      </c>
      <c r="E32" s="359">
        <v>1</v>
      </c>
      <c r="F32" s="354">
        <f>+APU!$H$518</f>
        <v>546510</v>
      </c>
      <c r="G32" s="365">
        <f>+E32*F32</f>
        <v>546510</v>
      </c>
    </row>
    <row r="33" spans="2:9" ht="58.9" customHeight="1" x14ac:dyDescent="0.25">
      <c r="B33" s="170">
        <v>4.2</v>
      </c>
      <c r="C33" s="351" t="s">
        <v>460</v>
      </c>
      <c r="D33" s="323" t="s">
        <v>40</v>
      </c>
      <c r="E33" s="359">
        <v>1</v>
      </c>
      <c r="F33" s="354">
        <f>+APU!$H$615</f>
        <v>807010</v>
      </c>
      <c r="G33" s="365">
        <f>+E33*F33</f>
        <v>807010</v>
      </c>
    </row>
    <row r="34" spans="2:9" ht="42.6" customHeight="1" x14ac:dyDescent="0.25">
      <c r="B34" s="170">
        <v>4.3</v>
      </c>
      <c r="C34" s="351" t="s">
        <v>461</v>
      </c>
      <c r="D34" s="323" t="s">
        <v>10</v>
      </c>
      <c r="E34" s="359">
        <v>2</v>
      </c>
      <c r="F34" s="360">
        <v>120000</v>
      </c>
      <c r="G34" s="365">
        <f t="shared" ref="G34:G35" si="2">+E34*F34</f>
        <v>240000</v>
      </c>
    </row>
    <row r="35" spans="2:9" ht="39.6" customHeight="1" x14ac:dyDescent="0.25">
      <c r="B35" s="170">
        <v>4.4000000000000004</v>
      </c>
      <c r="C35" s="351" t="s">
        <v>447</v>
      </c>
      <c r="D35" s="323" t="s">
        <v>8</v>
      </c>
      <c r="E35" s="359">
        <v>1</v>
      </c>
      <c r="F35" s="360">
        <f>+APU!$H$567</f>
        <v>1013934</v>
      </c>
      <c r="G35" s="365">
        <f t="shared" si="2"/>
        <v>1013934</v>
      </c>
    </row>
    <row r="36" spans="2:9" x14ac:dyDescent="0.25">
      <c r="B36" s="171">
        <v>5</v>
      </c>
      <c r="C36" s="366" t="s">
        <v>38</v>
      </c>
      <c r="D36" s="324"/>
      <c r="E36" s="367"/>
      <c r="F36" s="368"/>
      <c r="G36" s="368"/>
    </row>
    <row r="37" spans="2:9" x14ac:dyDescent="0.25">
      <c r="B37" s="170">
        <v>5.0999999999999996</v>
      </c>
      <c r="C37" s="351" t="s">
        <v>32</v>
      </c>
      <c r="D37" s="323" t="s">
        <v>7</v>
      </c>
      <c r="E37" s="359">
        <v>49.27</v>
      </c>
      <c r="F37" s="360">
        <f>+APU!$H$761</f>
        <v>81682</v>
      </c>
      <c r="G37" s="365">
        <f t="shared" ref="G37:G41" si="3">+ROUND(E37*F37,0)</f>
        <v>4024472</v>
      </c>
    </row>
    <row r="38" spans="2:9" x14ac:dyDescent="0.25">
      <c r="B38" s="170">
        <v>5.2</v>
      </c>
      <c r="C38" s="351" t="s">
        <v>33</v>
      </c>
      <c r="D38" s="323" t="s">
        <v>7</v>
      </c>
      <c r="E38" s="359">
        <v>67.349999999999994</v>
      </c>
      <c r="F38" s="360">
        <f>+APU!$H$807</f>
        <v>78522</v>
      </c>
      <c r="G38" s="365">
        <f t="shared" si="3"/>
        <v>5288457</v>
      </c>
    </row>
    <row r="39" spans="2:9" ht="22.5" x14ac:dyDescent="0.25">
      <c r="B39" s="170">
        <v>5.3</v>
      </c>
      <c r="C39" s="351" t="s">
        <v>34</v>
      </c>
      <c r="D39" s="323" t="s">
        <v>7</v>
      </c>
      <c r="E39" s="359">
        <v>37.61</v>
      </c>
      <c r="F39" s="360">
        <f>+APU!$H$863</f>
        <v>101707</v>
      </c>
      <c r="G39" s="365">
        <f t="shared" si="3"/>
        <v>3825200</v>
      </c>
    </row>
    <row r="40" spans="2:9" ht="22.5" x14ac:dyDescent="0.25">
      <c r="B40" s="170">
        <v>5.4</v>
      </c>
      <c r="C40" s="351" t="s">
        <v>35</v>
      </c>
      <c r="D40" s="323" t="s">
        <v>9</v>
      </c>
      <c r="E40" s="359">
        <v>38.869999999999997</v>
      </c>
      <c r="F40" s="360">
        <f>+APU!$H$959</f>
        <v>55645</v>
      </c>
      <c r="G40" s="365">
        <f t="shared" si="3"/>
        <v>2162921</v>
      </c>
    </row>
    <row r="41" spans="2:9" ht="22.5" x14ac:dyDescent="0.25">
      <c r="B41" s="170">
        <v>5.5</v>
      </c>
      <c r="C41" s="351" t="s">
        <v>37</v>
      </c>
      <c r="D41" s="323" t="s">
        <v>7</v>
      </c>
      <c r="E41" s="359">
        <v>48.3</v>
      </c>
      <c r="F41" s="360">
        <f>+$F$38</f>
        <v>78522</v>
      </c>
      <c r="G41" s="365">
        <f t="shared" si="3"/>
        <v>3792613</v>
      </c>
    </row>
    <row r="42" spans="2:9" ht="21.6" customHeight="1" x14ac:dyDescent="0.25">
      <c r="B42" s="170">
        <v>5.6</v>
      </c>
      <c r="C42" s="351" t="s">
        <v>43</v>
      </c>
      <c r="D42" s="323" t="s">
        <v>7</v>
      </c>
      <c r="E42" s="359">
        <v>84.79</v>
      </c>
      <c r="F42" s="360">
        <f>+APU!$H$1008</f>
        <v>69704</v>
      </c>
      <c r="G42" s="365">
        <f>+ROUND(E42*F42,0)</f>
        <v>5910202</v>
      </c>
    </row>
    <row r="43" spans="2:9" ht="21.6" customHeight="1" x14ac:dyDescent="0.25">
      <c r="B43" s="170">
        <v>5.7</v>
      </c>
      <c r="C43" s="351" t="s">
        <v>36</v>
      </c>
      <c r="D43" s="323" t="s">
        <v>7</v>
      </c>
      <c r="E43" s="359">
        <v>84.79</v>
      </c>
      <c r="F43" s="360">
        <f>+APU!$H$911</f>
        <v>114707</v>
      </c>
      <c r="G43" s="365">
        <f>+ROUND(E43*F43,0)</f>
        <v>9726007</v>
      </c>
    </row>
    <row r="44" spans="2:9" x14ac:dyDescent="0.25">
      <c r="B44" s="169">
        <v>6</v>
      </c>
      <c r="C44" s="369" t="s">
        <v>14</v>
      </c>
      <c r="D44" s="325"/>
      <c r="E44" s="325"/>
      <c r="F44" s="362"/>
      <c r="G44" s="363"/>
    </row>
    <row r="45" spans="2:9" ht="55.9" customHeight="1" x14ac:dyDescent="0.25">
      <c r="B45" s="172">
        <v>6.1</v>
      </c>
      <c r="C45" s="351" t="s">
        <v>465</v>
      </c>
      <c r="D45" s="321" t="s">
        <v>10</v>
      </c>
      <c r="E45" s="352">
        <v>1</v>
      </c>
      <c r="F45" s="360">
        <f>+APU!$H$1060</f>
        <v>3944575</v>
      </c>
      <c r="G45" s="361">
        <f>+E45*F45</f>
        <v>3944575</v>
      </c>
    </row>
    <row r="46" spans="2:9" x14ac:dyDescent="0.25">
      <c r="B46" s="169">
        <v>7</v>
      </c>
      <c r="C46" s="369" t="s">
        <v>15</v>
      </c>
      <c r="D46" s="325"/>
      <c r="E46" s="325"/>
      <c r="F46" s="362"/>
      <c r="G46" s="363"/>
    </row>
    <row r="47" spans="2:9" ht="33" customHeight="1" x14ac:dyDescent="0.25">
      <c r="B47" s="172">
        <v>7.1</v>
      </c>
      <c r="C47" s="370" t="s">
        <v>27</v>
      </c>
      <c r="D47" s="321" t="s">
        <v>9</v>
      </c>
      <c r="E47" s="352">
        <v>3</v>
      </c>
      <c r="F47" s="360">
        <f>+APU!$H$1113</f>
        <v>252273</v>
      </c>
      <c r="G47" s="361">
        <f>+E47*F47</f>
        <v>756819</v>
      </c>
    </row>
    <row r="48" spans="2:9" ht="33" customHeight="1" x14ac:dyDescent="0.25">
      <c r="B48" s="172">
        <v>7.2</v>
      </c>
      <c r="C48" s="351" t="s">
        <v>16</v>
      </c>
      <c r="D48" s="321" t="s">
        <v>9</v>
      </c>
      <c r="E48" s="352">
        <v>4</v>
      </c>
      <c r="F48" s="360">
        <f>+APU!$H$1164</f>
        <v>158576</v>
      </c>
      <c r="G48" s="361">
        <f t="shared" ref="G48:G49" si="4">+E48*F48</f>
        <v>634304</v>
      </c>
      <c r="I48" s="159"/>
    </row>
    <row r="49" spans="2:7" ht="36" customHeight="1" x14ac:dyDescent="0.25">
      <c r="B49" s="172">
        <v>7.3</v>
      </c>
      <c r="C49" s="351" t="s">
        <v>350</v>
      </c>
      <c r="D49" s="321" t="s">
        <v>9</v>
      </c>
      <c r="E49" s="352">
        <v>3</v>
      </c>
      <c r="F49" s="354">
        <f>+APU!$H$1212</f>
        <v>193599</v>
      </c>
      <c r="G49" s="361">
        <f t="shared" si="4"/>
        <v>580797</v>
      </c>
    </row>
    <row r="50" spans="2:7" ht="25.15" customHeight="1" x14ac:dyDescent="0.25">
      <c r="B50" s="169">
        <v>8</v>
      </c>
      <c r="C50" s="369" t="s">
        <v>39</v>
      </c>
      <c r="D50" s="326"/>
      <c r="E50" s="371"/>
      <c r="F50" s="362"/>
      <c r="G50" s="362"/>
    </row>
    <row r="51" spans="2:7" ht="63.6" customHeight="1" x14ac:dyDescent="0.25">
      <c r="B51" s="172">
        <v>8.14</v>
      </c>
      <c r="C51" s="356" t="s">
        <v>490</v>
      </c>
      <c r="D51" s="321" t="s">
        <v>40</v>
      </c>
      <c r="E51" s="352">
        <v>1</v>
      </c>
      <c r="F51" s="360">
        <f>1350000+400000+(15000*32)</f>
        <v>2230000</v>
      </c>
      <c r="G51" s="361">
        <f>+E51*F51</f>
        <v>2230000</v>
      </c>
    </row>
    <row r="52" spans="2:7" ht="25.15" customHeight="1" x14ac:dyDescent="0.25">
      <c r="B52" s="169">
        <v>9</v>
      </c>
      <c r="C52" s="372" t="s">
        <v>42</v>
      </c>
      <c r="D52" s="326"/>
      <c r="E52" s="371"/>
      <c r="F52" s="362"/>
      <c r="G52" s="362"/>
    </row>
    <row r="53" spans="2:7" ht="36" customHeight="1" x14ac:dyDescent="0.25">
      <c r="B53" s="172">
        <v>9.14</v>
      </c>
      <c r="C53" s="351" t="s">
        <v>455</v>
      </c>
      <c r="D53" s="321" t="s">
        <v>18</v>
      </c>
      <c r="E53" s="352">
        <v>1</v>
      </c>
      <c r="F53" s="354">
        <f>+APU!$H$3366</f>
        <v>400010</v>
      </c>
      <c r="G53" s="361">
        <f>+E53*F53</f>
        <v>400010</v>
      </c>
    </row>
    <row r="54" spans="2:7" x14ac:dyDescent="0.25">
      <c r="B54" s="173">
        <v>10</v>
      </c>
      <c r="C54" s="373" t="s">
        <v>17</v>
      </c>
      <c r="D54" s="173"/>
      <c r="E54" s="173"/>
      <c r="F54" s="362"/>
      <c r="G54" s="374"/>
    </row>
    <row r="55" spans="2:7" ht="64.150000000000006" customHeight="1" x14ac:dyDescent="0.25">
      <c r="B55" s="161">
        <v>10.1</v>
      </c>
      <c r="C55" s="351" t="s">
        <v>468</v>
      </c>
      <c r="D55" s="323" t="s">
        <v>8</v>
      </c>
      <c r="E55" s="352">
        <v>1</v>
      </c>
      <c r="F55" s="360">
        <f>+$F$108</f>
        <v>5390078</v>
      </c>
      <c r="G55" s="354">
        <f>+E55*F55</f>
        <v>5390078</v>
      </c>
    </row>
    <row r="56" spans="2:7" ht="6.6" customHeight="1" x14ac:dyDescent="0.25">
      <c r="B56" s="161"/>
      <c r="C56" s="327"/>
      <c r="D56" s="327"/>
      <c r="E56" s="327"/>
      <c r="F56" s="351"/>
      <c r="G56" s="375"/>
    </row>
    <row r="57" spans="2:7" x14ac:dyDescent="0.25">
      <c r="B57" s="163" t="s">
        <v>19</v>
      </c>
      <c r="C57" s="317" t="s">
        <v>20</v>
      </c>
      <c r="D57" s="317"/>
      <c r="E57" s="317"/>
      <c r="F57" s="347"/>
      <c r="G57" s="376"/>
    </row>
    <row r="58" spans="2:7" x14ac:dyDescent="0.25">
      <c r="B58" s="174">
        <v>11</v>
      </c>
      <c r="C58" s="377" t="s">
        <v>6</v>
      </c>
      <c r="D58" s="328"/>
      <c r="E58" s="377"/>
      <c r="F58" s="378"/>
      <c r="G58" s="376"/>
    </row>
    <row r="59" spans="2:7" ht="31.9" customHeight="1" x14ac:dyDescent="0.25">
      <c r="B59" s="161">
        <v>11.1</v>
      </c>
      <c r="C59" s="351" t="s">
        <v>47</v>
      </c>
      <c r="D59" s="323" t="s">
        <v>7</v>
      </c>
      <c r="E59" s="352">
        <f>31.75+8</f>
        <v>39.75</v>
      </c>
      <c r="F59" s="354">
        <f>+$F$24</f>
        <v>38973</v>
      </c>
      <c r="G59" s="354">
        <f>+ROUND(E59*F59,0)</f>
        <v>1549177</v>
      </c>
    </row>
    <row r="60" spans="2:7" x14ac:dyDescent="0.25">
      <c r="B60" s="175">
        <v>12</v>
      </c>
      <c r="C60" s="379" t="s">
        <v>11</v>
      </c>
      <c r="D60" s="329"/>
      <c r="E60" s="379"/>
      <c r="F60" s="380"/>
      <c r="G60" s="374"/>
    </row>
    <row r="61" spans="2:7" ht="67.150000000000006" customHeight="1" x14ac:dyDescent="0.25">
      <c r="B61" s="161">
        <v>12.1</v>
      </c>
      <c r="C61" s="351" t="s">
        <v>357</v>
      </c>
      <c r="D61" s="323" t="s">
        <v>7</v>
      </c>
      <c r="E61" s="352">
        <f>0.45*3.5</f>
        <v>1.575</v>
      </c>
      <c r="F61" s="381">
        <f>+APU!H1911</f>
        <v>857457</v>
      </c>
      <c r="G61" s="354">
        <f>+ROUND(F61*E61,0)</f>
        <v>1350495</v>
      </c>
    </row>
    <row r="62" spans="2:7" ht="37.9" customHeight="1" x14ac:dyDescent="0.25">
      <c r="B62" s="176">
        <v>12.2</v>
      </c>
      <c r="C62" s="351" t="s">
        <v>300</v>
      </c>
      <c r="D62" s="323" t="s">
        <v>10</v>
      </c>
      <c r="E62" s="352">
        <v>1</v>
      </c>
      <c r="F62" s="354">
        <f>+APU!$H$2171</f>
        <v>950427</v>
      </c>
      <c r="G62" s="354">
        <f t="shared" ref="G62" si="5">+F62*E62</f>
        <v>950427</v>
      </c>
    </row>
    <row r="63" spans="2:7" x14ac:dyDescent="0.25">
      <c r="B63" s="175">
        <v>13</v>
      </c>
      <c r="C63" s="382" t="s">
        <v>49</v>
      </c>
      <c r="D63" s="329"/>
      <c r="E63" s="379"/>
      <c r="F63" s="380"/>
      <c r="G63" s="374"/>
    </row>
    <row r="64" spans="2:7" ht="25.9" customHeight="1" x14ac:dyDescent="0.25">
      <c r="B64" s="161">
        <v>13.1</v>
      </c>
      <c r="C64" s="383" t="s">
        <v>48</v>
      </c>
      <c r="D64" s="323" t="s">
        <v>7</v>
      </c>
      <c r="E64" s="352">
        <v>66</v>
      </c>
      <c r="F64" s="354">
        <f>+$F$42</f>
        <v>69704</v>
      </c>
      <c r="G64" s="354">
        <f>+E64*F64</f>
        <v>4600464</v>
      </c>
    </row>
    <row r="65" spans="2:7" x14ac:dyDescent="0.25">
      <c r="B65" s="175">
        <v>14</v>
      </c>
      <c r="C65" s="382" t="s">
        <v>38</v>
      </c>
      <c r="D65" s="330"/>
      <c r="E65" s="379"/>
      <c r="F65" s="380"/>
      <c r="G65" s="374"/>
    </row>
    <row r="66" spans="2:7" ht="21.75" customHeight="1" x14ac:dyDescent="0.25">
      <c r="B66" s="177">
        <v>14.1</v>
      </c>
      <c r="C66" s="351" t="s">
        <v>50</v>
      </c>
      <c r="D66" s="318" t="s">
        <v>7</v>
      </c>
      <c r="E66" s="352">
        <v>47.19</v>
      </c>
      <c r="F66" s="384">
        <f>+$F$37</f>
        <v>81682</v>
      </c>
      <c r="G66" s="354">
        <f>ROUND(+E66*F66,0)</f>
        <v>3854574</v>
      </c>
    </row>
    <row r="67" spans="2:7" ht="24.75" customHeight="1" x14ac:dyDescent="0.25">
      <c r="B67" s="177">
        <v>14.2</v>
      </c>
      <c r="C67" s="351" t="s">
        <v>60</v>
      </c>
      <c r="D67" s="318" t="s">
        <v>7</v>
      </c>
      <c r="E67" s="352">
        <v>33.020000000000003</v>
      </c>
      <c r="F67" s="384">
        <f>+$F$38</f>
        <v>78522</v>
      </c>
      <c r="G67" s="354">
        <f>ROUND(+E67*F67,0)</f>
        <v>2592796</v>
      </c>
    </row>
    <row r="68" spans="2:7" ht="29.45" customHeight="1" x14ac:dyDescent="0.25">
      <c r="B68" s="177">
        <v>14.3</v>
      </c>
      <c r="C68" s="351" t="s">
        <v>51</v>
      </c>
      <c r="D68" s="318" t="s">
        <v>7</v>
      </c>
      <c r="E68" s="352">
        <v>38.79</v>
      </c>
      <c r="F68" s="385">
        <f>+$F$39</f>
        <v>101707</v>
      </c>
      <c r="G68" s="354">
        <f>ROUND(+E68*F68,0)</f>
        <v>3945215</v>
      </c>
    </row>
    <row r="69" spans="2:7" ht="33.75" customHeight="1" x14ac:dyDescent="0.25">
      <c r="B69" s="177">
        <v>14.4</v>
      </c>
      <c r="C69" s="351" t="s">
        <v>52</v>
      </c>
      <c r="D69" s="318" t="s">
        <v>9</v>
      </c>
      <c r="E69" s="352">
        <v>84</v>
      </c>
      <c r="F69" s="385">
        <f>+$F$40</f>
        <v>55645</v>
      </c>
      <c r="G69" s="354">
        <f t="shared" ref="G69" si="6">+E69*F69</f>
        <v>4674180</v>
      </c>
    </row>
    <row r="70" spans="2:7" ht="33" customHeight="1" x14ac:dyDescent="0.25">
      <c r="B70" s="177">
        <v>14.5</v>
      </c>
      <c r="C70" s="351" t="s">
        <v>53</v>
      </c>
      <c r="D70" s="318" t="s">
        <v>7</v>
      </c>
      <c r="E70" s="352">
        <v>58.7</v>
      </c>
      <c r="F70" s="385">
        <f>+$F$43</f>
        <v>114707</v>
      </c>
      <c r="G70" s="354">
        <f>ROUND(+E70*F70,0)</f>
        <v>6733301</v>
      </c>
    </row>
    <row r="71" spans="2:7" ht="27" customHeight="1" x14ac:dyDescent="0.25">
      <c r="B71" s="177">
        <v>14.6</v>
      </c>
      <c r="C71" s="351" t="s">
        <v>54</v>
      </c>
      <c r="D71" s="318" t="s">
        <v>7</v>
      </c>
      <c r="E71" s="352">
        <v>14.77</v>
      </c>
      <c r="F71" s="385">
        <f>+$F$41</f>
        <v>78522</v>
      </c>
      <c r="G71" s="354">
        <f>ROUND(+E71*F71,0)</f>
        <v>1159770</v>
      </c>
    </row>
    <row r="72" spans="2:7" ht="18.600000000000001" customHeight="1" x14ac:dyDescent="0.25">
      <c r="B72" s="175"/>
      <c r="C72" s="382" t="s">
        <v>13</v>
      </c>
      <c r="D72" s="330"/>
      <c r="E72" s="379"/>
      <c r="F72" s="380"/>
      <c r="G72" s="374"/>
    </row>
    <row r="73" spans="2:7" ht="22.15" customHeight="1" x14ac:dyDescent="0.25">
      <c r="B73" s="178">
        <v>15</v>
      </c>
      <c r="C73" s="382" t="s">
        <v>6</v>
      </c>
      <c r="D73" s="330"/>
      <c r="E73" s="379"/>
      <c r="F73" s="380"/>
      <c r="G73" s="374"/>
    </row>
    <row r="74" spans="2:7" ht="39" customHeight="1" x14ac:dyDescent="0.25">
      <c r="B74" s="161">
        <v>15.1</v>
      </c>
      <c r="C74" s="351" t="s">
        <v>21</v>
      </c>
      <c r="D74" s="323" t="s">
        <v>8</v>
      </c>
      <c r="E74" s="386">
        <v>1</v>
      </c>
      <c r="F74" s="381">
        <f>+APU!$H$1262</f>
        <v>357284</v>
      </c>
      <c r="G74" s="354">
        <f>+E74*F74</f>
        <v>357284</v>
      </c>
    </row>
    <row r="75" spans="2:7" ht="62.45" customHeight="1" x14ac:dyDescent="0.25">
      <c r="B75" s="161">
        <v>15.2</v>
      </c>
      <c r="C75" s="351" t="s">
        <v>280</v>
      </c>
      <c r="D75" s="323" t="s">
        <v>18</v>
      </c>
      <c r="E75" s="386">
        <v>1</v>
      </c>
      <c r="F75" s="354">
        <f>+APU!$H$2913</f>
        <v>1784588</v>
      </c>
      <c r="G75" s="354">
        <f>+E75*F75</f>
        <v>1784588</v>
      </c>
    </row>
    <row r="76" spans="2:7" ht="25.15" customHeight="1" x14ac:dyDescent="0.25">
      <c r="B76" s="161">
        <v>15.3</v>
      </c>
      <c r="C76" s="351" t="s">
        <v>470</v>
      </c>
      <c r="D76" s="323" t="s">
        <v>40</v>
      </c>
      <c r="E76" s="386">
        <v>1</v>
      </c>
      <c r="F76" s="354">
        <v>250000</v>
      </c>
      <c r="G76" s="354">
        <f>+E76*F76</f>
        <v>250000</v>
      </c>
    </row>
    <row r="77" spans="2:7" ht="30" customHeight="1" x14ac:dyDescent="0.25">
      <c r="B77" s="178">
        <v>16</v>
      </c>
      <c r="C77" s="382" t="s">
        <v>14</v>
      </c>
      <c r="D77" s="330"/>
      <c r="E77" s="379"/>
      <c r="F77" s="380"/>
      <c r="G77" s="374"/>
    </row>
    <row r="78" spans="2:7" ht="30" customHeight="1" x14ac:dyDescent="0.25">
      <c r="B78" s="177">
        <v>16.100000000000001</v>
      </c>
      <c r="C78" s="351" t="s">
        <v>314</v>
      </c>
      <c r="D78" s="318" t="s">
        <v>18</v>
      </c>
      <c r="E78" s="352">
        <v>3</v>
      </c>
      <c r="F78" s="385">
        <f>+APU!$H$1308</f>
        <v>585306</v>
      </c>
      <c r="G78" s="354">
        <f>F78*E78</f>
        <v>1755918</v>
      </c>
    </row>
    <row r="79" spans="2:7" ht="30" customHeight="1" x14ac:dyDescent="0.25">
      <c r="B79" s="177">
        <v>16.2</v>
      </c>
      <c r="C79" s="351" t="s">
        <v>61</v>
      </c>
      <c r="D79" s="318" t="s">
        <v>18</v>
      </c>
      <c r="E79" s="352">
        <v>3</v>
      </c>
      <c r="F79" s="385">
        <f>+APU!$H$1356</f>
        <v>264837</v>
      </c>
      <c r="G79" s="354">
        <f t="shared" ref="G79:G83" si="7">F79*E79</f>
        <v>794511</v>
      </c>
    </row>
    <row r="80" spans="2:7" ht="28.9" customHeight="1" x14ac:dyDescent="0.25">
      <c r="B80" s="177">
        <v>16.3</v>
      </c>
      <c r="C80" s="351" t="s">
        <v>55</v>
      </c>
      <c r="D80" s="318" t="s">
        <v>18</v>
      </c>
      <c r="E80" s="352">
        <v>2</v>
      </c>
      <c r="F80" s="385">
        <f>+APU!$H$1405</f>
        <v>58613</v>
      </c>
      <c r="G80" s="354">
        <f t="shared" si="7"/>
        <v>117226</v>
      </c>
    </row>
    <row r="81" spans="2:9" ht="22.5" x14ac:dyDescent="0.25">
      <c r="B81" s="177">
        <v>16.399999999999999</v>
      </c>
      <c r="C81" s="351" t="s">
        <v>472</v>
      </c>
      <c r="D81" s="318" t="s">
        <v>18</v>
      </c>
      <c r="E81" s="352">
        <v>2</v>
      </c>
      <c r="F81" s="387">
        <f>+APU!$H$1454</f>
        <v>694997</v>
      </c>
      <c r="G81" s="354">
        <f t="shared" si="7"/>
        <v>1389994</v>
      </c>
    </row>
    <row r="82" spans="2:9" ht="33" customHeight="1" x14ac:dyDescent="0.25">
      <c r="B82" s="177">
        <v>16.5</v>
      </c>
      <c r="C82" s="351" t="s">
        <v>56</v>
      </c>
      <c r="D82" s="318" t="s">
        <v>18</v>
      </c>
      <c r="E82" s="352">
        <v>5</v>
      </c>
      <c r="F82" s="385">
        <f>+APU!$H$1507</f>
        <v>268296</v>
      </c>
      <c r="G82" s="354">
        <f t="shared" si="7"/>
        <v>1341480</v>
      </c>
    </row>
    <row r="83" spans="2:9" ht="34.15" customHeight="1" x14ac:dyDescent="0.25">
      <c r="B83" s="177">
        <v>16.600000000000001</v>
      </c>
      <c r="C83" s="351" t="s">
        <v>473</v>
      </c>
      <c r="D83" s="318" t="s">
        <v>18</v>
      </c>
      <c r="E83" s="352">
        <v>5</v>
      </c>
      <c r="F83" s="385">
        <f>+APU!H1555</f>
        <v>194219</v>
      </c>
      <c r="G83" s="354">
        <f t="shared" si="7"/>
        <v>971095</v>
      </c>
    </row>
    <row r="84" spans="2:9" ht="18.600000000000001" customHeight="1" x14ac:dyDescent="0.25">
      <c r="B84" s="175"/>
      <c r="C84" s="382" t="s">
        <v>57</v>
      </c>
      <c r="D84" s="330"/>
      <c r="E84" s="379"/>
      <c r="F84" s="380"/>
      <c r="G84" s="374"/>
    </row>
    <row r="85" spans="2:9" ht="19.899999999999999" customHeight="1" x14ac:dyDescent="0.25">
      <c r="B85" s="178">
        <v>17</v>
      </c>
      <c r="C85" s="382" t="s">
        <v>14</v>
      </c>
      <c r="D85" s="330"/>
      <c r="E85" s="379"/>
      <c r="F85" s="380"/>
      <c r="G85" s="374"/>
    </row>
    <row r="86" spans="2:9" s="72" customFormat="1" ht="43.15" customHeight="1" x14ac:dyDescent="0.25">
      <c r="B86" s="161">
        <v>17.100000000000001</v>
      </c>
      <c r="C86" s="351" t="s">
        <v>319</v>
      </c>
      <c r="D86" s="318" t="s">
        <v>18</v>
      </c>
      <c r="E86" s="352">
        <v>2</v>
      </c>
      <c r="F86" s="381">
        <f>+APU!$H$2218</f>
        <v>427189</v>
      </c>
      <c r="G86" s="361">
        <f>+E86*F86</f>
        <v>854378</v>
      </c>
    </row>
    <row r="87" spans="2:9" ht="18.600000000000001" customHeight="1" x14ac:dyDescent="0.25">
      <c r="B87" s="175">
        <v>18</v>
      </c>
      <c r="C87" s="382" t="s">
        <v>58</v>
      </c>
      <c r="D87" s="330"/>
      <c r="E87" s="379"/>
      <c r="F87" s="380"/>
      <c r="G87" s="374"/>
    </row>
    <row r="88" spans="2:9" ht="25.9" customHeight="1" x14ac:dyDescent="0.25">
      <c r="B88" s="177">
        <v>18.100000000000001</v>
      </c>
      <c r="C88" s="388" t="s">
        <v>426</v>
      </c>
      <c r="D88" s="338" t="s">
        <v>40</v>
      </c>
      <c r="E88" s="352">
        <v>1</v>
      </c>
      <c r="F88" s="381">
        <f>+APU!$H$2271</f>
        <v>312403</v>
      </c>
      <c r="G88" s="365">
        <f t="shared" ref="G88:G91" si="8">+E88*F88</f>
        <v>312403</v>
      </c>
    </row>
    <row r="89" spans="2:9" ht="26.45" customHeight="1" x14ac:dyDescent="0.25">
      <c r="B89" s="177">
        <v>18.2</v>
      </c>
      <c r="C89" s="388" t="s">
        <v>424</v>
      </c>
      <c r="D89" s="338" t="s">
        <v>7</v>
      </c>
      <c r="E89" s="352">
        <f>(5.8*0.6)+((0.6*1)*2)</f>
        <v>4.68</v>
      </c>
      <c r="F89" s="381">
        <f>+APU!$H$2321</f>
        <v>248185</v>
      </c>
      <c r="G89" s="365">
        <f>+ROUND(E89*F89,0)</f>
        <v>1161506</v>
      </c>
    </row>
    <row r="90" spans="2:9" ht="26.45" customHeight="1" x14ac:dyDescent="0.25">
      <c r="B90" s="177">
        <v>18.3</v>
      </c>
      <c r="C90" s="388" t="s">
        <v>424</v>
      </c>
      <c r="D90" s="338" t="s">
        <v>9</v>
      </c>
      <c r="E90" s="352">
        <f>1+3.8+1</f>
        <v>5.8</v>
      </c>
      <c r="F90" s="381">
        <f>+APU!$H$2370</f>
        <v>137812</v>
      </c>
      <c r="G90" s="365">
        <f>+ROUND(E90*F90,0)</f>
        <v>799310</v>
      </c>
    </row>
    <row r="91" spans="2:9" ht="48.6" customHeight="1" x14ac:dyDescent="0.25">
      <c r="B91" s="177">
        <v>18.399999999999999</v>
      </c>
      <c r="C91" s="388" t="s">
        <v>425</v>
      </c>
      <c r="D91" s="338" t="s">
        <v>40</v>
      </c>
      <c r="E91" s="352">
        <v>1</v>
      </c>
      <c r="F91" s="381">
        <f>+APU!$H$2418</f>
        <v>2367990</v>
      </c>
      <c r="G91" s="365">
        <f t="shared" si="8"/>
        <v>2367990</v>
      </c>
    </row>
    <row r="92" spans="2:9" ht="25.9" customHeight="1" x14ac:dyDescent="0.25">
      <c r="B92" s="177">
        <v>18.5</v>
      </c>
      <c r="C92" s="370" t="s">
        <v>427</v>
      </c>
      <c r="D92" s="318" t="s">
        <v>18</v>
      </c>
      <c r="E92" s="352">
        <v>2</v>
      </c>
      <c r="F92" s="381">
        <f>+APU!$H$2467</f>
        <v>648652</v>
      </c>
      <c r="G92" s="365">
        <f>+E92*F92</f>
        <v>1297304</v>
      </c>
    </row>
    <row r="93" spans="2:9" ht="62.45" hidden="1" customHeight="1" x14ac:dyDescent="0.25">
      <c r="B93" s="177">
        <v>18.600000000000001</v>
      </c>
      <c r="C93" s="370"/>
      <c r="D93" s="318" t="s">
        <v>18</v>
      </c>
      <c r="E93" s="352"/>
      <c r="F93" s="381"/>
      <c r="G93" s="365">
        <f>+E93*F93</f>
        <v>0</v>
      </c>
    </row>
    <row r="94" spans="2:9" ht="44.45" customHeight="1" x14ac:dyDescent="0.25">
      <c r="B94" s="177">
        <v>18.7</v>
      </c>
      <c r="C94" s="351" t="s">
        <v>59</v>
      </c>
      <c r="D94" s="318" t="s">
        <v>18</v>
      </c>
      <c r="E94" s="352">
        <v>5</v>
      </c>
      <c r="F94" s="381">
        <f>+APU!$H$2020</f>
        <v>37888</v>
      </c>
      <c r="G94" s="365">
        <f t="shared" ref="G94:G123" si="9">+E94*F94</f>
        <v>189440</v>
      </c>
    </row>
    <row r="95" spans="2:9" ht="37.9" customHeight="1" x14ac:dyDescent="0.25">
      <c r="B95" s="177">
        <v>18.8</v>
      </c>
      <c r="C95" s="351" t="s">
        <v>23</v>
      </c>
      <c r="D95" s="318" t="s">
        <v>9</v>
      </c>
      <c r="E95" s="352">
        <v>5</v>
      </c>
      <c r="F95" s="381">
        <f>+APU!$H$2073</f>
        <v>206192</v>
      </c>
      <c r="G95" s="365">
        <f>+ROUND(E95*F95,0)</f>
        <v>1030960</v>
      </c>
    </row>
    <row r="96" spans="2:9" ht="67.900000000000006" customHeight="1" x14ac:dyDescent="0.25">
      <c r="B96" s="177">
        <v>18.899999999999999</v>
      </c>
      <c r="C96" s="389" t="s">
        <v>474</v>
      </c>
      <c r="D96" s="318" t="s">
        <v>18</v>
      </c>
      <c r="E96" s="352">
        <v>1</v>
      </c>
      <c r="F96" s="381">
        <f>+$F$30*31.75</f>
        <v>24177021.75</v>
      </c>
      <c r="G96" s="365">
        <f>+ROUND(E96*F96,0)</f>
        <v>24177022</v>
      </c>
      <c r="I96" s="346"/>
    </row>
    <row r="97" spans="2:7" ht="44.45" customHeight="1" x14ac:dyDescent="0.25">
      <c r="B97" s="339">
        <v>18.100000000000001</v>
      </c>
      <c r="C97" s="351" t="s">
        <v>320</v>
      </c>
      <c r="D97" s="318" t="s">
        <v>7</v>
      </c>
      <c r="E97" s="352">
        <v>7.91</v>
      </c>
      <c r="F97" s="381">
        <f>+$F$29</f>
        <v>761481</v>
      </c>
      <c r="G97" s="365">
        <f>+ROUND(E97*F97,0)</f>
        <v>6023315</v>
      </c>
    </row>
    <row r="98" spans="2:7" ht="26.45" customHeight="1" x14ac:dyDescent="0.25">
      <c r="B98" s="339">
        <v>18.11</v>
      </c>
      <c r="C98" s="351" t="s">
        <v>475</v>
      </c>
      <c r="D98" s="318" t="s">
        <v>7</v>
      </c>
      <c r="E98" s="352">
        <v>19.751399999999997</v>
      </c>
      <c r="F98" s="381">
        <f>+APU!$H$2123</f>
        <v>344263</v>
      </c>
      <c r="G98" s="365">
        <f>+ROUND(E98*F98,0)</f>
        <v>6799676</v>
      </c>
    </row>
    <row r="99" spans="2:7" x14ac:dyDescent="0.25">
      <c r="B99" s="175">
        <v>19</v>
      </c>
      <c r="C99" s="382" t="s">
        <v>12</v>
      </c>
      <c r="D99" s="330"/>
      <c r="E99" s="379"/>
      <c r="F99" s="380"/>
      <c r="G99" s="390"/>
    </row>
    <row r="100" spans="2:7" ht="23.45" customHeight="1" x14ac:dyDescent="0.25">
      <c r="B100" s="161">
        <v>19.100000000000001</v>
      </c>
      <c r="C100" s="370" t="s">
        <v>354</v>
      </c>
      <c r="D100" s="331" t="s">
        <v>7</v>
      </c>
      <c r="E100" s="391">
        <f>+E101</f>
        <v>8.24</v>
      </c>
      <c r="F100" s="381">
        <f>+APU!$H$1966</f>
        <v>55138</v>
      </c>
      <c r="G100" s="365">
        <f>+ROUND(E100*F100,0)</f>
        <v>454337</v>
      </c>
    </row>
    <row r="101" spans="2:7" ht="53.45" customHeight="1" x14ac:dyDescent="0.25">
      <c r="B101" s="161">
        <v>19.2</v>
      </c>
      <c r="C101" s="370" t="s">
        <v>321</v>
      </c>
      <c r="D101" s="331" t="s">
        <v>7</v>
      </c>
      <c r="E101" s="391">
        <f>+(1*2.5)*2+(2.7*1.2)</f>
        <v>8.24</v>
      </c>
      <c r="F101" s="381">
        <f>+APU!$H$1606</f>
        <v>288061</v>
      </c>
      <c r="G101" s="365">
        <f>+ROUND(E101*F101,0)</f>
        <v>2373623</v>
      </c>
    </row>
    <row r="102" spans="2:7" ht="33" customHeight="1" x14ac:dyDescent="0.25">
      <c r="B102" s="161">
        <v>19.3</v>
      </c>
      <c r="C102" s="370" t="s">
        <v>323</v>
      </c>
      <c r="D102" s="331" t="s">
        <v>10</v>
      </c>
      <c r="E102" s="391">
        <v>3</v>
      </c>
      <c r="F102" s="354">
        <f>+APU!$H$1703</f>
        <v>402248</v>
      </c>
      <c r="G102" s="365">
        <f t="shared" si="9"/>
        <v>1206744</v>
      </c>
    </row>
    <row r="103" spans="2:7" x14ac:dyDescent="0.25">
      <c r="B103" s="175"/>
      <c r="C103" s="382" t="s">
        <v>13</v>
      </c>
      <c r="D103" s="330"/>
      <c r="E103" s="379"/>
      <c r="F103" s="380"/>
      <c r="G103" s="390"/>
    </row>
    <row r="104" spans="2:7" x14ac:dyDescent="0.25">
      <c r="B104" s="175">
        <v>20</v>
      </c>
      <c r="C104" s="382" t="s">
        <v>14</v>
      </c>
      <c r="D104" s="330"/>
      <c r="E104" s="330"/>
      <c r="F104" s="380"/>
      <c r="G104" s="390"/>
    </row>
    <row r="105" spans="2:7" ht="23.45" customHeight="1" x14ac:dyDescent="0.25">
      <c r="B105" s="161">
        <v>20.100000000000001</v>
      </c>
      <c r="C105" s="351" t="s">
        <v>22</v>
      </c>
      <c r="D105" s="318" t="s">
        <v>10</v>
      </c>
      <c r="E105" s="352">
        <v>5</v>
      </c>
      <c r="F105" s="381">
        <f>+APU!$H$1753</f>
        <v>37079</v>
      </c>
      <c r="G105" s="365">
        <f t="shared" si="9"/>
        <v>185395</v>
      </c>
    </row>
    <row r="106" spans="2:7" ht="53.45" customHeight="1" x14ac:dyDescent="0.25">
      <c r="B106" s="161">
        <v>20.2</v>
      </c>
      <c r="C106" s="351" t="s">
        <v>343</v>
      </c>
      <c r="D106" s="318" t="s">
        <v>8</v>
      </c>
      <c r="E106" s="352">
        <v>1</v>
      </c>
      <c r="F106" s="354">
        <f>+APU!$H$1812</f>
        <v>2100745</v>
      </c>
      <c r="G106" s="365">
        <f t="shared" si="9"/>
        <v>2100745</v>
      </c>
    </row>
    <row r="107" spans="2:7" x14ac:dyDescent="0.25">
      <c r="B107" s="175">
        <v>21</v>
      </c>
      <c r="C107" s="382" t="s">
        <v>17</v>
      </c>
      <c r="D107" s="330"/>
      <c r="E107" s="330"/>
      <c r="F107" s="380"/>
      <c r="G107" s="390"/>
    </row>
    <row r="108" spans="2:7" ht="54.6" customHeight="1" x14ac:dyDescent="0.25">
      <c r="B108" s="161">
        <v>21.1</v>
      </c>
      <c r="C108" s="392" t="s">
        <v>469</v>
      </c>
      <c r="D108" s="318" t="s">
        <v>8</v>
      </c>
      <c r="E108" s="352">
        <v>1</v>
      </c>
      <c r="F108" s="354">
        <f>+APU!$H$1863</f>
        <v>5390078</v>
      </c>
      <c r="G108" s="365">
        <f t="shared" si="9"/>
        <v>5390078</v>
      </c>
    </row>
    <row r="109" spans="2:7" x14ac:dyDescent="0.25">
      <c r="B109" s="175"/>
      <c r="C109" s="382" t="s">
        <v>29</v>
      </c>
      <c r="D109" s="330"/>
      <c r="E109" s="330"/>
      <c r="F109" s="380"/>
      <c r="G109" s="390"/>
    </row>
    <row r="110" spans="2:7" x14ac:dyDescent="0.25">
      <c r="B110" s="178">
        <v>22</v>
      </c>
      <c r="C110" s="382" t="s">
        <v>62</v>
      </c>
      <c r="D110" s="330"/>
      <c r="E110" s="330"/>
      <c r="F110" s="380"/>
      <c r="G110" s="390"/>
    </row>
    <row r="111" spans="2:7" ht="87" customHeight="1" x14ac:dyDescent="0.25">
      <c r="B111" s="161">
        <v>22.1</v>
      </c>
      <c r="C111" s="351" t="s">
        <v>479</v>
      </c>
      <c r="D111" s="318" t="s">
        <v>18</v>
      </c>
      <c r="E111" s="352">
        <v>12</v>
      </c>
      <c r="F111" s="360">
        <f>+APU!$H$2515</f>
        <v>1184871</v>
      </c>
      <c r="G111" s="365">
        <f t="shared" si="9"/>
        <v>14218452</v>
      </c>
    </row>
    <row r="112" spans="2:7" ht="86.45" customHeight="1" x14ac:dyDescent="0.25">
      <c r="B112" s="161">
        <v>22.2</v>
      </c>
      <c r="C112" s="351" t="s">
        <v>480</v>
      </c>
      <c r="D112" s="318" t="s">
        <v>18</v>
      </c>
      <c r="E112" s="352">
        <v>2</v>
      </c>
      <c r="F112" s="360">
        <f>+APU!$H$2568</f>
        <v>1799499</v>
      </c>
      <c r="G112" s="365">
        <f t="shared" si="9"/>
        <v>3598998</v>
      </c>
    </row>
    <row r="113" spans="2:9" ht="55.15" customHeight="1" x14ac:dyDescent="0.25">
      <c r="B113" s="161">
        <v>22.3</v>
      </c>
      <c r="C113" s="351" t="s">
        <v>486</v>
      </c>
      <c r="D113" s="318" t="s">
        <v>18</v>
      </c>
      <c r="E113" s="352">
        <v>2</v>
      </c>
      <c r="F113" s="360">
        <f>+APU!$H$3315</f>
        <v>8661438</v>
      </c>
      <c r="G113" s="365">
        <f t="shared" si="9"/>
        <v>17322876</v>
      </c>
    </row>
    <row r="114" spans="2:9" ht="63" customHeight="1" x14ac:dyDescent="0.25">
      <c r="B114" s="161">
        <v>22.4</v>
      </c>
      <c r="C114" s="351" t="s">
        <v>481</v>
      </c>
      <c r="D114" s="318" t="s">
        <v>18</v>
      </c>
      <c r="E114" s="352">
        <v>12</v>
      </c>
      <c r="F114" s="360">
        <f>+APU!$H$2661</f>
        <v>928903</v>
      </c>
      <c r="G114" s="365">
        <f t="shared" si="9"/>
        <v>11146836</v>
      </c>
    </row>
    <row r="115" spans="2:9" ht="33.75" x14ac:dyDescent="0.25">
      <c r="B115" s="161">
        <v>22.5</v>
      </c>
      <c r="C115" s="351" t="s">
        <v>64</v>
      </c>
      <c r="D115" s="318" t="s">
        <v>40</v>
      </c>
      <c r="E115" s="352">
        <v>1</v>
      </c>
      <c r="F115" s="360">
        <f>+APU!$H$2753</f>
        <v>833537</v>
      </c>
      <c r="G115" s="365">
        <f t="shared" si="9"/>
        <v>833537</v>
      </c>
      <c r="I115" s="315">
        <f>+(1.05*1.05)+(1.65*1.05)+(1.65*1.05)+(1.65*1.05)</f>
        <v>6.3</v>
      </c>
    </row>
    <row r="116" spans="2:9" ht="21.6" customHeight="1" x14ac:dyDescent="0.25">
      <c r="B116" s="161">
        <v>22.6</v>
      </c>
      <c r="C116" s="351" t="s">
        <v>63</v>
      </c>
      <c r="D116" s="318" t="s">
        <v>18</v>
      </c>
      <c r="E116" s="352">
        <v>4</v>
      </c>
      <c r="F116" s="360">
        <f>+APU!$H$2802</f>
        <v>463847</v>
      </c>
      <c r="G116" s="365">
        <f t="shared" si="9"/>
        <v>1855388</v>
      </c>
      <c r="I116" s="315"/>
    </row>
    <row r="117" spans="2:9" ht="40.15" customHeight="1" x14ac:dyDescent="0.25">
      <c r="B117" s="161">
        <v>22.7</v>
      </c>
      <c r="C117" s="351" t="s">
        <v>324</v>
      </c>
      <c r="D117" s="318" t="s">
        <v>7</v>
      </c>
      <c r="E117" s="391">
        <f>5.7*1.2</f>
        <v>6.84</v>
      </c>
      <c r="F117" s="393">
        <f>+APU!$H$2865</f>
        <v>313324</v>
      </c>
      <c r="G117" s="365">
        <f>+ROUND(E117*F117,0)</f>
        <v>2143136</v>
      </c>
      <c r="I117" s="315"/>
    </row>
    <row r="118" spans="2:9" ht="40.15" customHeight="1" x14ac:dyDescent="0.25">
      <c r="B118" s="161">
        <v>22.8</v>
      </c>
      <c r="C118" s="351" t="s">
        <v>65</v>
      </c>
      <c r="D118" s="318" t="s">
        <v>18</v>
      </c>
      <c r="E118" s="352">
        <v>1</v>
      </c>
      <c r="F118" s="353">
        <f>+APU!$H$3266</f>
        <v>2282078</v>
      </c>
      <c r="G118" s="365">
        <f t="shared" si="9"/>
        <v>2282078</v>
      </c>
      <c r="I118" s="315">
        <f>+((1.2*3.7)/2)*4</f>
        <v>8.8800000000000008</v>
      </c>
    </row>
    <row r="119" spans="2:9" ht="89.45" customHeight="1" x14ac:dyDescent="0.25">
      <c r="B119" s="161">
        <v>22.9</v>
      </c>
      <c r="C119" s="351" t="s">
        <v>420</v>
      </c>
      <c r="D119" s="318" t="s">
        <v>18</v>
      </c>
      <c r="E119" s="352">
        <v>1</v>
      </c>
      <c r="F119" s="353">
        <f>+APU!$H$3013</f>
        <v>3155171</v>
      </c>
      <c r="G119" s="365">
        <f t="shared" si="9"/>
        <v>3155171</v>
      </c>
    </row>
    <row r="120" spans="2:9" ht="63.6" customHeight="1" x14ac:dyDescent="0.25">
      <c r="B120" s="170">
        <v>22.1</v>
      </c>
      <c r="C120" s="351" t="s">
        <v>69</v>
      </c>
      <c r="D120" s="318" t="s">
        <v>8</v>
      </c>
      <c r="E120" s="352">
        <v>2</v>
      </c>
      <c r="F120" s="353">
        <f>+APU!$H$3060</f>
        <v>1507745</v>
      </c>
      <c r="G120" s="365">
        <f t="shared" si="9"/>
        <v>3015490</v>
      </c>
    </row>
    <row r="121" spans="2:9" ht="47.45" customHeight="1" x14ac:dyDescent="0.25">
      <c r="B121" s="170">
        <v>22.11</v>
      </c>
      <c r="C121" s="351" t="s">
        <v>484</v>
      </c>
      <c r="D121" s="318" t="s">
        <v>18</v>
      </c>
      <c r="E121" s="352">
        <v>15</v>
      </c>
      <c r="F121" s="394">
        <f>+APU!$H$3107</f>
        <v>438766</v>
      </c>
      <c r="G121" s="365">
        <f t="shared" si="9"/>
        <v>6581490</v>
      </c>
    </row>
    <row r="122" spans="2:9" ht="51" customHeight="1" x14ac:dyDescent="0.25">
      <c r="B122" s="170">
        <v>22.12</v>
      </c>
      <c r="C122" s="351" t="s">
        <v>415</v>
      </c>
      <c r="D122" s="318" t="s">
        <v>18</v>
      </c>
      <c r="E122" s="352">
        <v>8</v>
      </c>
      <c r="F122" s="394">
        <f>+APU!$H$3162</f>
        <v>663766</v>
      </c>
      <c r="G122" s="365">
        <f t="shared" si="9"/>
        <v>5310128</v>
      </c>
    </row>
    <row r="123" spans="2:9" ht="51" customHeight="1" x14ac:dyDescent="0.25">
      <c r="B123" s="170">
        <v>22.13</v>
      </c>
      <c r="C123" s="351" t="s">
        <v>485</v>
      </c>
      <c r="D123" s="318" t="s">
        <v>18</v>
      </c>
      <c r="E123" s="352">
        <v>4</v>
      </c>
      <c r="F123" s="394">
        <f>+APU!$H$3209</f>
        <v>1313036</v>
      </c>
      <c r="G123" s="365">
        <f t="shared" si="9"/>
        <v>5252144</v>
      </c>
    </row>
    <row r="124" spans="2:9" x14ac:dyDescent="0.25">
      <c r="B124" s="175">
        <v>23</v>
      </c>
      <c r="C124" s="382" t="s">
        <v>70</v>
      </c>
      <c r="D124" s="330"/>
      <c r="E124" s="330"/>
      <c r="F124" s="380"/>
      <c r="G124" s="390"/>
    </row>
    <row r="125" spans="2:9" ht="40.15" customHeight="1" x14ac:dyDescent="0.25">
      <c r="B125" s="161">
        <v>23.1</v>
      </c>
      <c r="C125" s="351" t="s">
        <v>329</v>
      </c>
      <c r="D125" s="318" t="s">
        <v>18</v>
      </c>
      <c r="E125" s="352">
        <v>1</v>
      </c>
      <c r="F125" s="393">
        <f>+APU!$H$2964</f>
        <v>900010</v>
      </c>
      <c r="G125" s="365">
        <f>+F125*E125</f>
        <v>900010</v>
      </c>
    </row>
    <row r="126" spans="2:9" ht="23.45" customHeight="1" x14ac:dyDescent="0.25">
      <c r="B126" s="161">
        <v>23.2</v>
      </c>
      <c r="C126" s="351" t="s">
        <v>325</v>
      </c>
      <c r="D126" s="318" t="s">
        <v>71</v>
      </c>
      <c r="E126" s="352">
        <v>4</v>
      </c>
      <c r="F126" s="353">
        <v>850000</v>
      </c>
      <c r="G126" s="365">
        <f>+F126*E126</f>
        <v>3400000</v>
      </c>
    </row>
    <row r="127" spans="2:9" x14ac:dyDescent="0.25">
      <c r="B127" s="179"/>
      <c r="C127" s="398" t="s">
        <v>72</v>
      </c>
      <c r="D127" s="398"/>
      <c r="E127" s="398"/>
      <c r="F127" s="398"/>
      <c r="G127" s="395"/>
    </row>
    <row r="128" spans="2:9" x14ac:dyDescent="0.25">
      <c r="B128" s="399" t="s">
        <v>73</v>
      </c>
      <c r="C128" s="399"/>
      <c r="D128" s="399"/>
      <c r="E128" s="399"/>
      <c r="F128" s="399"/>
      <c r="G128" s="396">
        <f>SUM(G16:G127)</f>
        <v>297351337</v>
      </c>
    </row>
    <row r="129" spans="2:7" x14ac:dyDescent="0.25">
      <c r="B129" s="399" t="s">
        <v>77</v>
      </c>
      <c r="C129" s="399"/>
      <c r="D129" s="399"/>
      <c r="E129" s="399"/>
      <c r="F129" s="399"/>
      <c r="G129" s="396">
        <f>ROUND(+G128*22%,0)</f>
        <v>65417294</v>
      </c>
    </row>
    <row r="130" spans="2:7" x14ac:dyDescent="0.25">
      <c r="B130" s="399" t="s">
        <v>75</v>
      </c>
      <c r="C130" s="399"/>
      <c r="D130" s="399"/>
      <c r="E130" s="399"/>
      <c r="F130" s="399"/>
      <c r="G130" s="396">
        <f>ROUND(+G128*3%,0)</f>
        <v>8920540</v>
      </c>
    </row>
    <row r="131" spans="2:7" x14ac:dyDescent="0.25">
      <c r="B131" s="399" t="s">
        <v>76</v>
      </c>
      <c r="C131" s="399"/>
      <c r="D131" s="399"/>
      <c r="E131" s="399"/>
      <c r="F131" s="399"/>
      <c r="G131" s="396">
        <f>ROUND(+G128*5%,0)</f>
        <v>14867567</v>
      </c>
    </row>
    <row r="132" spans="2:7" x14ac:dyDescent="0.25">
      <c r="B132" s="397" t="s">
        <v>74</v>
      </c>
      <c r="C132" s="397"/>
      <c r="D132" s="397"/>
      <c r="E132" s="397"/>
      <c r="F132" s="397"/>
      <c r="G132" s="395">
        <f>+G128+G129+G130+G131</f>
        <v>386556738</v>
      </c>
    </row>
  </sheetData>
  <mergeCells count="18">
    <mergeCell ref="F11:F12"/>
    <mergeCell ref="B4:G4"/>
    <mergeCell ref="B5:G5"/>
    <mergeCell ref="B7:G7"/>
    <mergeCell ref="B8:G9"/>
    <mergeCell ref="G11:G12"/>
    <mergeCell ref="B11:B12"/>
    <mergeCell ref="D11:D12"/>
    <mergeCell ref="E11:E12"/>
    <mergeCell ref="C11:C12"/>
    <mergeCell ref="B10:D10"/>
    <mergeCell ref="E10:G10"/>
    <mergeCell ref="B132:F132"/>
    <mergeCell ref="C127:F127"/>
    <mergeCell ref="B128:F128"/>
    <mergeCell ref="B129:F129"/>
    <mergeCell ref="B130:F130"/>
    <mergeCell ref="B131:F131"/>
  </mergeCells>
  <phoneticPr fontId="10" type="noConversion"/>
  <dataValidations disablePrompts="1" count="1">
    <dataValidation type="whole" allowBlank="1" showErrorMessage="1" errorTitle="ERROR" error="NO SE PERMITEN DECIMALES" sqref="F16:F20 F66:F71 F78:F83 F36:G36">
      <formula1>0</formula1>
      <formula2>9.99999999999999E+22</formula2>
    </dataValidation>
  </dataValidations>
  <printOptions horizontalCentered="1"/>
  <pageMargins left="0.31496062992125984" right="0.11811023622047245" top="0.15748031496062992" bottom="0.35433070866141736" header="0.31496062992125984" footer="0.31496062992125984"/>
  <pageSetup scale="78"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Q3838"/>
  <sheetViews>
    <sheetView zoomScaleNormal="100" workbookViewId="0">
      <selection activeCell="H3846" sqref="H3846"/>
    </sheetView>
  </sheetViews>
  <sheetFormatPr baseColWidth="10" defaultRowHeight="15" x14ac:dyDescent="0.25"/>
  <cols>
    <col min="6" max="6" width="13.7109375" bestFit="1" customWidth="1"/>
    <col min="7" max="7" width="14.28515625" bestFit="1" customWidth="1"/>
    <col min="8" max="8" width="18.28515625" bestFit="1" customWidth="1"/>
    <col min="9" max="9" width="18.28515625" style="255" customWidth="1"/>
    <col min="11" max="11" width="11.7109375" bestFit="1" customWidth="1"/>
    <col min="15" max="15" width="13.7109375" bestFit="1" customWidth="1"/>
    <col min="16" max="16" width="14.28515625" bestFit="1" customWidth="1"/>
    <col min="17" max="17" width="18.28515625" bestFit="1" customWidth="1"/>
  </cols>
  <sheetData>
    <row r="6" spans="1:9" x14ac:dyDescent="0.25">
      <c r="A6" s="412" t="s">
        <v>79</v>
      </c>
      <c r="B6" s="412"/>
      <c r="C6" s="412"/>
      <c r="D6" s="412"/>
      <c r="E6" s="412"/>
      <c r="F6" s="412"/>
      <c r="G6" s="412"/>
      <c r="H6" s="412"/>
      <c r="I6" s="250"/>
    </row>
    <row r="7" spans="1:9" x14ac:dyDescent="0.25">
      <c r="A7" s="4"/>
      <c r="B7" s="4"/>
      <c r="C7" s="4"/>
      <c r="D7" s="4"/>
      <c r="E7" s="5"/>
      <c r="F7" s="5"/>
      <c r="G7" s="411" t="s">
        <v>326</v>
      </c>
      <c r="H7" s="411"/>
      <c r="I7" s="251"/>
    </row>
    <row r="8" spans="1:9" x14ac:dyDescent="0.25">
      <c r="A8" s="434" t="s">
        <v>406</v>
      </c>
      <c r="B8" s="434"/>
      <c r="C8" s="434"/>
      <c r="D8" s="434"/>
      <c r="E8" s="434"/>
      <c r="F8" s="434"/>
      <c r="G8" s="434"/>
      <c r="H8" s="434"/>
      <c r="I8" s="252"/>
    </row>
    <row r="9" spans="1:9" x14ac:dyDescent="0.25">
      <c r="A9" s="4"/>
      <c r="B9" s="4"/>
      <c r="C9" s="4"/>
      <c r="D9" s="4"/>
      <c r="E9" s="5"/>
      <c r="F9" s="5"/>
      <c r="G9" s="414" t="s">
        <v>120</v>
      </c>
      <c r="H9" s="414"/>
      <c r="I9" s="253"/>
    </row>
    <row r="10" spans="1:9" x14ac:dyDescent="0.25">
      <c r="A10" s="4" t="s">
        <v>82</v>
      </c>
      <c r="B10" s="4"/>
      <c r="C10" s="4"/>
      <c r="D10" s="4"/>
      <c r="E10" s="5"/>
      <c r="F10" s="5"/>
      <c r="G10" s="5"/>
      <c r="H10" s="5"/>
      <c r="I10" s="47"/>
    </row>
    <row r="11" spans="1:9" x14ac:dyDescent="0.25">
      <c r="A11" s="6" t="s">
        <v>0</v>
      </c>
      <c r="B11" s="7"/>
      <c r="C11" s="8" t="s">
        <v>83</v>
      </c>
      <c r="D11" s="8" t="s">
        <v>84</v>
      </c>
      <c r="E11" s="9" t="s">
        <v>85</v>
      </c>
      <c r="F11" s="9" t="s">
        <v>86</v>
      </c>
      <c r="G11" s="9" t="s">
        <v>87</v>
      </c>
      <c r="H11" s="10"/>
      <c r="I11" s="47"/>
    </row>
    <row r="12" spans="1:9" x14ac:dyDescent="0.25">
      <c r="A12" s="11" t="s">
        <v>88</v>
      </c>
      <c r="B12" s="12"/>
      <c r="C12" s="13"/>
      <c r="D12" s="13"/>
      <c r="E12" s="14"/>
      <c r="F12" s="14"/>
      <c r="G12" s="14">
        <f>ROUND(H36*0.05,0)+8-16</f>
        <v>139997</v>
      </c>
      <c r="H12" s="15"/>
      <c r="I12" s="47"/>
    </row>
    <row r="13" spans="1:9" x14ac:dyDescent="0.25">
      <c r="A13" s="11" t="s">
        <v>327</v>
      </c>
      <c r="B13" s="12"/>
      <c r="C13" s="13"/>
      <c r="D13" s="13"/>
      <c r="E13" s="14">
        <v>350000</v>
      </c>
      <c r="F13" s="14">
        <v>0.5</v>
      </c>
      <c r="G13" s="14">
        <f>ROUND(E13*F13,0)</f>
        <v>175000</v>
      </c>
      <c r="H13" s="15"/>
      <c r="I13" s="47"/>
    </row>
    <row r="14" spans="1:9" x14ac:dyDescent="0.25">
      <c r="A14" s="11" t="s">
        <v>328</v>
      </c>
      <c r="B14" s="12"/>
      <c r="C14" s="13"/>
      <c r="D14" s="13"/>
      <c r="E14" s="14">
        <v>50000</v>
      </c>
      <c r="F14" s="16">
        <v>0.1</v>
      </c>
      <c r="G14" s="14">
        <f>ROUND(E14*F14,0)</f>
        <v>5000</v>
      </c>
      <c r="H14" s="15"/>
      <c r="I14" s="47"/>
    </row>
    <row r="15" spans="1:9" x14ac:dyDescent="0.25">
      <c r="A15" s="11"/>
      <c r="B15" s="12"/>
      <c r="C15" s="13"/>
      <c r="D15" s="13"/>
      <c r="E15" s="14"/>
      <c r="F15" s="14"/>
      <c r="G15" s="14">
        <f>ROUND(E15*F15,0)</f>
        <v>0</v>
      </c>
      <c r="H15" s="17"/>
      <c r="I15" s="47"/>
    </row>
    <row r="16" spans="1:9" x14ac:dyDescent="0.25">
      <c r="A16" s="18"/>
      <c r="B16" s="19"/>
      <c r="C16" s="19"/>
      <c r="D16" s="19"/>
      <c r="E16" s="20"/>
      <c r="F16" s="21" t="s">
        <v>90</v>
      </c>
      <c r="G16" s="22"/>
      <c r="H16" s="23">
        <f>SUM(G12:G15)</f>
        <v>319997</v>
      </c>
      <c r="I16" s="220"/>
    </row>
    <row r="17" spans="1:9" x14ac:dyDescent="0.25">
      <c r="A17" s="291" t="s">
        <v>91</v>
      </c>
      <c r="B17" s="228"/>
      <c r="C17" s="228"/>
      <c r="D17" s="228"/>
      <c r="E17" s="47"/>
      <c r="F17" s="47"/>
      <c r="G17" s="47"/>
      <c r="H17" s="233"/>
      <c r="I17" s="47"/>
    </row>
    <row r="18" spans="1:9" x14ac:dyDescent="0.25">
      <c r="A18" s="24" t="s">
        <v>0</v>
      </c>
      <c r="B18" s="24"/>
      <c r="C18" s="8" t="s">
        <v>92</v>
      </c>
      <c r="D18" s="8" t="s">
        <v>93</v>
      </c>
      <c r="E18" s="9" t="s">
        <v>94</v>
      </c>
      <c r="F18" s="9" t="s">
        <v>95</v>
      </c>
      <c r="G18" s="25" t="s">
        <v>96</v>
      </c>
      <c r="H18" s="10"/>
      <c r="I18" s="47"/>
    </row>
    <row r="19" spans="1:9" x14ac:dyDescent="0.25">
      <c r="A19" s="474" t="s">
        <v>121</v>
      </c>
      <c r="B19" s="474"/>
      <c r="C19" s="56" t="s">
        <v>8</v>
      </c>
      <c r="D19" s="29"/>
      <c r="E19" s="57">
        <v>1</v>
      </c>
      <c r="F19" s="14">
        <v>100000</v>
      </c>
      <c r="G19" s="14">
        <f t="shared" ref="G19:G27" si="0">ROUND(E19*F19,0)</f>
        <v>100000</v>
      </c>
      <c r="H19" s="15"/>
      <c r="I19" s="47"/>
    </row>
    <row r="20" spans="1:9" x14ac:dyDescent="0.25">
      <c r="A20" s="474" t="s">
        <v>122</v>
      </c>
      <c r="B20" s="474"/>
      <c r="C20" s="56" t="s">
        <v>123</v>
      </c>
      <c r="D20" s="31"/>
      <c r="E20" s="57">
        <v>1</v>
      </c>
      <c r="F20" s="14">
        <v>50000</v>
      </c>
      <c r="G20" s="14">
        <f t="shared" si="0"/>
        <v>50000</v>
      </c>
      <c r="H20" s="15"/>
      <c r="I20" s="47"/>
    </row>
    <row r="21" spans="1:9" x14ac:dyDescent="0.25">
      <c r="A21" s="474" t="s">
        <v>125</v>
      </c>
      <c r="B21" s="474"/>
      <c r="C21" s="56" t="s">
        <v>8</v>
      </c>
      <c r="D21" s="29"/>
      <c r="E21" s="57">
        <v>1</v>
      </c>
      <c r="F21" s="14">
        <v>50000</v>
      </c>
      <c r="G21" s="14">
        <f t="shared" si="0"/>
        <v>50000</v>
      </c>
      <c r="H21" s="15"/>
      <c r="I21" s="47"/>
    </row>
    <row r="22" spans="1:9" x14ac:dyDescent="0.25">
      <c r="A22" s="475"/>
      <c r="B22" s="475"/>
      <c r="C22" s="28"/>
      <c r="D22" s="31"/>
      <c r="E22" s="30"/>
      <c r="F22" s="14"/>
      <c r="G22" s="14">
        <f t="shared" si="0"/>
        <v>0</v>
      </c>
      <c r="H22" s="15"/>
      <c r="I22" s="47"/>
    </row>
    <row r="23" spans="1:9" x14ac:dyDescent="0.25">
      <c r="A23" s="11"/>
      <c r="B23" s="12"/>
      <c r="C23" s="28"/>
      <c r="D23" s="34"/>
      <c r="E23" s="30"/>
      <c r="F23" s="14"/>
      <c r="G23" s="14">
        <f t="shared" si="0"/>
        <v>0</v>
      </c>
      <c r="H23" s="15"/>
      <c r="I23" s="47"/>
    </row>
    <row r="24" spans="1:9" x14ac:dyDescent="0.25">
      <c r="A24" s="11"/>
      <c r="B24" s="12"/>
      <c r="C24" s="35"/>
      <c r="D24" s="31"/>
      <c r="E24" s="30"/>
      <c r="F24" s="14"/>
      <c r="G24" s="14">
        <f t="shared" si="0"/>
        <v>0</v>
      </c>
      <c r="H24" s="15"/>
      <c r="I24" s="47"/>
    </row>
    <row r="25" spans="1:9" x14ac:dyDescent="0.25">
      <c r="A25" s="11"/>
      <c r="B25" s="12"/>
      <c r="C25" s="35"/>
      <c r="D25" s="34"/>
      <c r="E25" s="30"/>
      <c r="F25" s="14"/>
      <c r="G25" s="14">
        <f t="shared" si="0"/>
        <v>0</v>
      </c>
      <c r="H25" s="15"/>
      <c r="I25" s="47"/>
    </row>
    <row r="26" spans="1:9" x14ac:dyDescent="0.25">
      <c r="A26" s="11"/>
      <c r="B26" s="12"/>
      <c r="C26" s="35"/>
      <c r="D26" s="31"/>
      <c r="E26" s="30"/>
      <c r="F26" s="14"/>
      <c r="G26" s="14">
        <f t="shared" si="0"/>
        <v>0</v>
      </c>
      <c r="H26" s="15"/>
      <c r="I26" s="47"/>
    </row>
    <row r="27" spans="1:9" x14ac:dyDescent="0.25">
      <c r="A27" s="11"/>
      <c r="B27" s="12"/>
      <c r="C27" s="35"/>
      <c r="D27" s="31"/>
      <c r="E27" s="30"/>
      <c r="F27" s="14"/>
      <c r="G27" s="14">
        <f t="shared" si="0"/>
        <v>0</v>
      </c>
      <c r="H27" s="17"/>
      <c r="I27" s="47"/>
    </row>
    <row r="28" spans="1:9" x14ac:dyDescent="0.25">
      <c r="A28" s="291"/>
      <c r="B28" s="228"/>
      <c r="C28" s="228"/>
      <c r="D28" s="228"/>
      <c r="E28" s="36"/>
      <c r="F28" s="37" t="s">
        <v>102</v>
      </c>
      <c r="G28" s="38"/>
      <c r="H28" s="23">
        <f>SUM(G19:G27)</f>
        <v>200000</v>
      </c>
      <c r="I28" s="220"/>
    </row>
    <row r="29" spans="1:9" x14ac:dyDescent="0.25">
      <c r="A29" s="291"/>
      <c r="B29" s="228"/>
      <c r="C29" s="228"/>
      <c r="D29" s="228"/>
      <c r="E29" s="36"/>
      <c r="F29" s="39" t="s">
        <v>103</v>
      </c>
      <c r="G29" s="38"/>
      <c r="H29" s="23">
        <f>ROUND((D19*G19)+(D20*G20)+(D21*G21)+(D22*G22)+(D23*G23)+(D24*G24)+(D25*G25)+(D26*G26)+(D27*G27),0)</f>
        <v>0</v>
      </c>
      <c r="I29" s="220"/>
    </row>
    <row r="30" spans="1:9" x14ac:dyDescent="0.25">
      <c r="A30" s="291"/>
      <c r="B30" s="228"/>
      <c r="C30" s="228"/>
      <c r="D30" s="228"/>
      <c r="E30" s="36"/>
      <c r="F30" s="20" t="s">
        <v>104</v>
      </c>
      <c r="G30" s="40"/>
      <c r="H30" s="23">
        <f>SUM(H28:H29)</f>
        <v>200000</v>
      </c>
      <c r="I30" s="220"/>
    </row>
    <row r="31" spans="1:9" x14ac:dyDescent="0.25">
      <c r="A31" s="291" t="s">
        <v>105</v>
      </c>
      <c r="B31" s="228"/>
      <c r="C31" s="228"/>
      <c r="D31" s="228"/>
      <c r="E31" s="47"/>
      <c r="F31" s="47"/>
      <c r="G31" s="47"/>
      <c r="H31" s="233"/>
      <c r="I31" s="47"/>
    </row>
    <row r="32" spans="1:9" x14ac:dyDescent="0.25">
      <c r="A32" s="24" t="s">
        <v>0</v>
      </c>
      <c r="B32" s="24"/>
      <c r="C32" s="8" t="s">
        <v>106</v>
      </c>
      <c r="D32" s="8" t="s">
        <v>107</v>
      </c>
      <c r="E32" s="9" t="s">
        <v>108</v>
      </c>
      <c r="F32" s="9" t="s">
        <v>109</v>
      </c>
      <c r="G32" s="41" t="s">
        <v>96</v>
      </c>
      <c r="H32" s="10"/>
      <c r="I32" s="47"/>
    </row>
    <row r="33" spans="1:9" x14ac:dyDescent="0.25">
      <c r="A33" s="18" t="s">
        <v>110</v>
      </c>
      <c r="B33" s="42"/>
      <c r="C33" s="13">
        <f>104000+26000</f>
        <v>130000</v>
      </c>
      <c r="D33" s="13">
        <f>+C33*0.16</f>
        <v>20800</v>
      </c>
      <c r="E33" s="14">
        <f>C33+D33</f>
        <v>150800</v>
      </c>
      <c r="F33" s="30">
        <v>12</v>
      </c>
      <c r="G33" s="14">
        <f>ROUND(E33*F33,0)</f>
        <v>1809600</v>
      </c>
      <c r="H33" s="15"/>
      <c r="I33" s="47"/>
    </row>
    <row r="34" spans="1:9" x14ac:dyDescent="0.25">
      <c r="A34" s="18" t="s">
        <v>111</v>
      </c>
      <c r="B34" s="42"/>
      <c r="C34" s="13">
        <f>60400+25850</f>
        <v>86250</v>
      </c>
      <c r="D34" s="13">
        <f>+C34*0.16</f>
        <v>13800</v>
      </c>
      <c r="E34" s="14">
        <f>C34+D34</f>
        <v>100050</v>
      </c>
      <c r="F34" s="30">
        <v>9.9</v>
      </c>
      <c r="G34" s="14">
        <f>ROUND(E34*F34,0)</f>
        <v>990495</v>
      </c>
      <c r="H34" s="15"/>
      <c r="I34" s="47"/>
    </row>
    <row r="35" spans="1:9" x14ac:dyDescent="0.25">
      <c r="A35" s="18"/>
      <c r="B35" s="42"/>
      <c r="C35" s="43"/>
      <c r="D35" s="43"/>
      <c r="E35" s="44">
        <f>C35+D35</f>
        <v>0</v>
      </c>
      <c r="F35" s="45"/>
      <c r="G35" s="14">
        <f>ROUND(E35*F35,0)</f>
        <v>0</v>
      </c>
      <c r="H35" s="15"/>
      <c r="I35" s="47"/>
    </row>
    <row r="36" spans="1:9" x14ac:dyDescent="0.25">
      <c r="A36" s="291"/>
      <c r="B36" s="228"/>
      <c r="C36" s="228"/>
      <c r="D36" s="228"/>
      <c r="E36" s="277" t="s">
        <v>112</v>
      </c>
      <c r="F36" s="277"/>
      <c r="G36" s="277"/>
      <c r="H36" s="82">
        <f>SUM(G33:G35)</f>
        <v>2800095</v>
      </c>
      <c r="I36" s="221"/>
    </row>
    <row r="37" spans="1:9" x14ac:dyDescent="0.25">
      <c r="A37" s="291"/>
      <c r="B37" s="228"/>
      <c r="C37" s="228"/>
      <c r="D37" s="228"/>
      <c r="E37" s="47"/>
      <c r="F37" s="47"/>
      <c r="G37" s="47"/>
      <c r="H37" s="233"/>
      <c r="I37" s="47"/>
    </row>
    <row r="38" spans="1:9" x14ac:dyDescent="0.25">
      <c r="A38" s="18"/>
      <c r="B38" s="19"/>
      <c r="C38" s="19"/>
      <c r="D38" s="19"/>
      <c r="E38" s="48" t="s">
        <v>113</v>
      </c>
      <c r="F38" s="48"/>
      <c r="G38" s="48"/>
      <c r="H38" s="25">
        <f>H36+H30+H16</f>
        <v>3320092</v>
      </c>
      <c r="I38" s="222"/>
    </row>
    <row r="39" spans="1:9" x14ac:dyDescent="0.25">
      <c r="A39" s="291"/>
      <c r="B39" s="228"/>
      <c r="C39" s="228"/>
      <c r="D39" s="228"/>
      <c r="E39" s="47"/>
      <c r="F39" s="47"/>
      <c r="G39" s="47"/>
      <c r="H39" s="233"/>
      <c r="I39" s="47"/>
    </row>
    <row r="40" spans="1:9" x14ac:dyDescent="0.25">
      <c r="A40" s="291" t="s">
        <v>114</v>
      </c>
      <c r="B40" s="228"/>
      <c r="C40" s="228"/>
      <c r="D40" s="228"/>
      <c r="E40" s="47"/>
      <c r="F40" s="47"/>
      <c r="G40" s="47"/>
      <c r="H40" s="233"/>
      <c r="I40" s="47"/>
    </row>
    <row r="41" spans="1:9" x14ac:dyDescent="0.25">
      <c r="A41" s="6" t="s">
        <v>0</v>
      </c>
      <c r="B41" s="49"/>
      <c r="C41" s="49"/>
      <c r="D41" s="49"/>
      <c r="E41" s="50"/>
      <c r="F41" s="9" t="s">
        <v>115</v>
      </c>
      <c r="G41" s="41" t="s">
        <v>116</v>
      </c>
      <c r="H41" s="10"/>
      <c r="I41" s="47"/>
    </row>
    <row r="42" spans="1:9" x14ac:dyDescent="0.25">
      <c r="A42" s="11" t="s">
        <v>117</v>
      </c>
      <c r="B42" s="51"/>
      <c r="C42" s="51"/>
      <c r="D42" s="51"/>
      <c r="E42" s="52"/>
      <c r="F42" s="53"/>
      <c r="G42" s="14">
        <f>F42*H38</f>
        <v>0</v>
      </c>
      <c r="H42" s="15"/>
      <c r="I42" s="47"/>
    </row>
    <row r="43" spans="1:9" x14ac:dyDescent="0.25">
      <c r="A43" s="11"/>
      <c r="B43" s="51"/>
      <c r="C43" s="51"/>
      <c r="D43" s="51"/>
      <c r="E43" s="52"/>
      <c r="F43" s="53"/>
      <c r="G43" s="14">
        <f>F43*H38</f>
        <v>0</v>
      </c>
      <c r="H43" s="15"/>
      <c r="I43" s="47"/>
    </row>
    <row r="44" spans="1:9" x14ac:dyDescent="0.25">
      <c r="A44" s="11"/>
      <c r="B44" s="51"/>
      <c r="C44" s="51"/>
      <c r="D44" s="51"/>
      <c r="E44" s="52"/>
      <c r="F44" s="53"/>
      <c r="G44" s="14">
        <f>F44*H38</f>
        <v>0</v>
      </c>
      <c r="H44" s="17"/>
      <c r="I44" s="47"/>
    </row>
    <row r="45" spans="1:9" x14ac:dyDescent="0.25">
      <c r="A45" s="4"/>
      <c r="B45" s="4"/>
      <c r="C45" s="4"/>
      <c r="D45" s="4"/>
      <c r="E45" s="46" t="s">
        <v>118</v>
      </c>
      <c r="F45" s="46"/>
      <c r="G45" s="46"/>
      <c r="H45" s="36">
        <f>SUM(G42:G44)</f>
        <v>0</v>
      </c>
      <c r="I45" s="220"/>
    </row>
    <row r="46" spans="1:9" ht="15.75" thickBot="1" x14ac:dyDescent="0.3">
      <c r="A46" s="4"/>
      <c r="B46" s="4"/>
      <c r="C46" s="4"/>
      <c r="D46" s="4"/>
      <c r="E46" s="5"/>
      <c r="F46" s="5"/>
      <c r="G46" s="5"/>
      <c r="H46" s="5"/>
      <c r="I46" s="47"/>
    </row>
    <row r="47" spans="1:9" ht="15.75" thickBot="1" x14ac:dyDescent="0.3">
      <c r="A47" s="4"/>
      <c r="B47" s="4"/>
      <c r="C47" s="4"/>
      <c r="D47" s="4"/>
      <c r="E47" s="54"/>
      <c r="F47" s="54" t="s">
        <v>119</v>
      </c>
      <c r="G47" s="54"/>
      <c r="H47" s="240">
        <f>SUM(H45+H38)</f>
        <v>3320092</v>
      </c>
      <c r="I47" s="112"/>
    </row>
    <row r="51" spans="1:9" hidden="1" x14ac:dyDescent="0.25">
      <c r="A51" s="412" t="s">
        <v>79</v>
      </c>
      <c r="B51" s="412"/>
      <c r="C51" s="412"/>
      <c r="D51" s="412"/>
      <c r="E51" s="412"/>
      <c r="F51" s="412"/>
      <c r="G51" s="412"/>
      <c r="H51" s="412"/>
      <c r="I51" s="250"/>
    </row>
    <row r="52" spans="1:9" hidden="1" x14ac:dyDescent="0.25">
      <c r="A52" s="4"/>
      <c r="B52" s="4"/>
      <c r="C52" s="4"/>
      <c r="D52" s="4"/>
      <c r="E52" s="5"/>
      <c r="F52" s="5"/>
      <c r="G52" s="411" t="s">
        <v>80</v>
      </c>
      <c r="H52" s="411"/>
      <c r="I52" s="251"/>
    </row>
    <row r="53" spans="1:9" ht="42.6" hidden="1" customHeight="1" x14ac:dyDescent="0.25">
      <c r="A53" s="410" t="s">
        <v>126</v>
      </c>
      <c r="B53" s="410"/>
      <c r="C53" s="410"/>
      <c r="D53" s="410"/>
      <c r="E53" s="410"/>
      <c r="F53" s="410"/>
      <c r="G53" s="410"/>
      <c r="H53" s="410"/>
      <c r="I53" s="254"/>
    </row>
    <row r="54" spans="1:9" hidden="1" x14ac:dyDescent="0.25">
      <c r="A54" s="4"/>
      <c r="B54" s="4"/>
      <c r="C54" s="4"/>
      <c r="D54" s="4"/>
      <c r="E54" s="5"/>
      <c r="F54" s="5"/>
      <c r="G54" s="414" t="s">
        <v>130</v>
      </c>
      <c r="H54" s="414"/>
      <c r="I54" s="253"/>
    </row>
    <row r="55" spans="1:9" hidden="1" x14ac:dyDescent="0.25">
      <c r="A55" s="4" t="s">
        <v>82</v>
      </c>
      <c r="B55" s="4"/>
      <c r="C55" s="4"/>
      <c r="D55" s="4"/>
      <c r="E55" s="5"/>
      <c r="F55" s="5"/>
      <c r="G55" s="5"/>
      <c r="H55" s="5"/>
      <c r="I55" s="47"/>
    </row>
    <row r="56" spans="1:9" hidden="1" x14ac:dyDescent="0.25">
      <c r="A56" s="6" t="s">
        <v>0</v>
      </c>
      <c r="B56" s="7"/>
      <c r="C56" s="8" t="s">
        <v>83</v>
      </c>
      <c r="D56" s="8" t="s">
        <v>84</v>
      </c>
      <c r="E56" s="9" t="s">
        <v>85</v>
      </c>
      <c r="F56" s="9" t="s">
        <v>86</v>
      </c>
      <c r="G56" s="9" t="s">
        <v>87</v>
      </c>
      <c r="H56" s="235"/>
      <c r="I56" s="47"/>
    </row>
    <row r="57" spans="1:9" hidden="1" x14ac:dyDescent="0.25">
      <c r="A57" s="11" t="s">
        <v>88</v>
      </c>
      <c r="B57" s="12"/>
      <c r="C57" s="13"/>
      <c r="D57" s="13"/>
      <c r="E57" s="14"/>
      <c r="F57" s="14"/>
      <c r="G57" s="14">
        <f>ROUND(H81*0.05,0)+8-16</f>
        <v>95344</v>
      </c>
      <c r="H57" s="236"/>
      <c r="I57" s="47"/>
    </row>
    <row r="58" spans="1:9" hidden="1" x14ac:dyDescent="0.25">
      <c r="A58" s="11" t="s">
        <v>89</v>
      </c>
      <c r="B58" s="12"/>
      <c r="C58" s="13"/>
      <c r="D58" s="13"/>
      <c r="E58" s="14">
        <v>150000</v>
      </c>
      <c r="F58" s="14">
        <v>1</v>
      </c>
      <c r="G58" s="14">
        <f>ROUND(E58*F58,0)</f>
        <v>150000</v>
      </c>
      <c r="H58" s="236"/>
      <c r="I58" s="47"/>
    </row>
    <row r="59" spans="1:9" hidden="1" x14ac:dyDescent="0.25">
      <c r="A59" s="11"/>
      <c r="B59" s="12"/>
      <c r="C59" s="13"/>
      <c r="D59" s="13"/>
      <c r="E59" s="14"/>
      <c r="F59" s="16"/>
      <c r="G59" s="14">
        <f>ROUND(E59*F59,0)</f>
        <v>0</v>
      </c>
      <c r="H59" s="236"/>
      <c r="I59" s="47"/>
    </row>
    <row r="60" spans="1:9" hidden="1" x14ac:dyDescent="0.25">
      <c r="A60" s="11"/>
      <c r="B60" s="12"/>
      <c r="C60" s="13"/>
      <c r="D60" s="13"/>
      <c r="E60" s="14"/>
      <c r="F60" s="14"/>
      <c r="G60" s="14">
        <f>ROUND(E60*F60,0)</f>
        <v>0</v>
      </c>
      <c r="H60" s="237"/>
      <c r="I60" s="47"/>
    </row>
    <row r="61" spans="1:9" hidden="1" x14ac:dyDescent="0.25">
      <c r="A61" s="18"/>
      <c r="B61" s="19"/>
      <c r="C61" s="19"/>
      <c r="D61" s="19"/>
      <c r="E61" s="20"/>
      <c r="F61" s="21" t="s">
        <v>90</v>
      </c>
      <c r="G61" s="22"/>
      <c r="H61" s="36">
        <f>SUM(G57:G60)</f>
        <v>245344</v>
      </c>
      <c r="I61" s="220"/>
    </row>
    <row r="62" spans="1:9" hidden="1" x14ac:dyDescent="0.25">
      <c r="A62" s="4" t="s">
        <v>91</v>
      </c>
      <c r="B62" s="4"/>
      <c r="C62" s="4"/>
      <c r="D62" s="4"/>
      <c r="E62" s="5"/>
      <c r="F62" s="5"/>
      <c r="G62" s="5"/>
      <c r="H62" s="5"/>
      <c r="I62" s="47"/>
    </row>
    <row r="63" spans="1:9" hidden="1" x14ac:dyDescent="0.25">
      <c r="A63" s="24" t="s">
        <v>0</v>
      </c>
      <c r="B63" s="24"/>
      <c r="C63" s="8" t="s">
        <v>92</v>
      </c>
      <c r="D63" s="8" t="s">
        <v>93</v>
      </c>
      <c r="E63" s="9" t="s">
        <v>94</v>
      </c>
      <c r="F63" s="9" t="s">
        <v>95</v>
      </c>
      <c r="G63" s="25" t="s">
        <v>96</v>
      </c>
      <c r="H63" s="235"/>
      <c r="I63" s="47"/>
    </row>
    <row r="64" spans="1:9" hidden="1" x14ac:dyDescent="0.25">
      <c r="A64" s="26" t="s">
        <v>97</v>
      </c>
      <c r="B64" s="27"/>
      <c r="C64" s="28" t="s">
        <v>9</v>
      </c>
      <c r="D64" s="29">
        <v>0.05</v>
      </c>
      <c r="E64" s="30">
        <v>50</v>
      </c>
      <c r="F64" s="14">
        <v>35000</v>
      </c>
      <c r="G64" s="14">
        <f t="shared" ref="G64:G72" si="1">ROUND(E64*F64,0)</f>
        <v>1750000</v>
      </c>
      <c r="H64" s="236"/>
      <c r="I64" s="47"/>
    </row>
    <row r="65" spans="1:16" hidden="1" x14ac:dyDescent="0.25">
      <c r="A65" s="26" t="s">
        <v>98</v>
      </c>
      <c r="B65" s="27"/>
      <c r="C65" s="28" t="s">
        <v>18</v>
      </c>
      <c r="D65" s="31"/>
      <c r="E65" s="30">
        <v>4</v>
      </c>
      <c r="F65" s="14">
        <f>7200*1.6</f>
        <v>11520</v>
      </c>
      <c r="G65" s="14">
        <f t="shared" si="1"/>
        <v>46080</v>
      </c>
      <c r="H65" s="236"/>
      <c r="I65" s="47"/>
    </row>
    <row r="66" spans="1:16" hidden="1" x14ac:dyDescent="0.25">
      <c r="A66" s="32" t="s">
        <v>99</v>
      </c>
      <c r="B66" s="33"/>
      <c r="C66" s="28" t="s">
        <v>18</v>
      </c>
      <c r="D66" s="29"/>
      <c r="E66" s="30">
        <v>4</v>
      </c>
      <c r="F66" s="14">
        <f>12500*1.6</f>
        <v>20000</v>
      </c>
      <c r="G66" s="14">
        <f t="shared" si="1"/>
        <v>80000</v>
      </c>
      <c r="H66" s="236"/>
      <c r="I66" s="47"/>
    </row>
    <row r="67" spans="1:16" hidden="1" x14ac:dyDescent="0.25">
      <c r="A67" s="11" t="s">
        <v>100</v>
      </c>
      <c r="B67" s="12"/>
      <c r="C67" s="28" t="s">
        <v>8</v>
      </c>
      <c r="D67" s="31"/>
      <c r="E67" s="30">
        <v>1</v>
      </c>
      <c r="F67" s="14">
        <v>42500</v>
      </c>
      <c r="G67" s="14">
        <f t="shared" si="1"/>
        <v>42500</v>
      </c>
      <c r="H67" s="236"/>
      <c r="I67" s="47"/>
    </row>
    <row r="68" spans="1:16" hidden="1" x14ac:dyDescent="0.25">
      <c r="A68" s="11" t="s">
        <v>101</v>
      </c>
      <c r="B68" s="12"/>
      <c r="C68" s="28" t="s">
        <v>18</v>
      </c>
      <c r="D68" s="34"/>
      <c r="E68" s="30">
        <v>1</v>
      </c>
      <c r="F68" s="14">
        <v>88000</v>
      </c>
      <c r="G68" s="14">
        <f t="shared" si="1"/>
        <v>88000</v>
      </c>
      <c r="H68" s="236"/>
      <c r="I68" s="47"/>
    </row>
    <row r="69" spans="1:16" hidden="1" x14ac:dyDescent="0.25">
      <c r="A69" s="11" t="s">
        <v>127</v>
      </c>
      <c r="B69" s="12"/>
      <c r="C69" s="35" t="s">
        <v>18</v>
      </c>
      <c r="D69" s="31"/>
      <c r="E69" s="30">
        <v>5</v>
      </c>
      <c r="F69" s="14">
        <f>28500*1.5</f>
        <v>42750</v>
      </c>
      <c r="G69" s="14">
        <f t="shared" si="1"/>
        <v>213750</v>
      </c>
      <c r="H69" s="236"/>
      <c r="I69" s="47"/>
    </row>
    <row r="70" spans="1:16" hidden="1" x14ac:dyDescent="0.25">
      <c r="A70" s="11" t="s">
        <v>128</v>
      </c>
      <c r="B70" s="12"/>
      <c r="C70" s="35" t="s">
        <v>129</v>
      </c>
      <c r="D70" s="34">
        <v>0.05</v>
      </c>
      <c r="E70" s="30">
        <v>50</v>
      </c>
      <c r="F70" s="14">
        <f>18000*1.6</f>
        <v>28800</v>
      </c>
      <c r="G70" s="14">
        <f t="shared" si="1"/>
        <v>1440000</v>
      </c>
      <c r="H70" s="236"/>
      <c r="I70" s="47"/>
    </row>
    <row r="71" spans="1:16" hidden="1" x14ac:dyDescent="0.25">
      <c r="A71" s="26" t="s">
        <v>131</v>
      </c>
      <c r="B71" s="12"/>
      <c r="C71" s="35" t="s">
        <v>9</v>
      </c>
      <c r="D71" s="31">
        <v>0.05</v>
      </c>
      <c r="E71" s="30">
        <v>12</v>
      </c>
      <c r="F71" s="14">
        <v>15000</v>
      </c>
      <c r="G71" s="14">
        <f t="shared" si="1"/>
        <v>180000</v>
      </c>
      <c r="H71" s="236"/>
      <c r="I71" s="47"/>
      <c r="L71">
        <v>59000</v>
      </c>
      <c r="M71">
        <v>10000</v>
      </c>
      <c r="N71">
        <v>20000</v>
      </c>
      <c r="O71">
        <f>SUM(L71:N71)</f>
        <v>89000</v>
      </c>
      <c r="P71">
        <f>+O71/6</f>
        <v>14833.333333333334</v>
      </c>
    </row>
    <row r="72" spans="1:16" hidden="1" x14ac:dyDescent="0.25">
      <c r="A72" s="11" t="s">
        <v>132</v>
      </c>
      <c r="B72" s="12"/>
      <c r="C72" s="35" t="s">
        <v>9</v>
      </c>
      <c r="D72" s="31">
        <v>0.05</v>
      </c>
      <c r="E72" s="30">
        <v>20</v>
      </c>
      <c r="F72" s="14">
        <v>5000</v>
      </c>
      <c r="G72" s="14">
        <f t="shared" si="1"/>
        <v>100000</v>
      </c>
      <c r="H72" s="237"/>
      <c r="I72" s="47"/>
    </row>
    <row r="73" spans="1:16" hidden="1" x14ac:dyDescent="0.25">
      <c r="A73" s="4"/>
      <c r="B73" s="4"/>
      <c r="C73" s="4"/>
      <c r="D73" s="4"/>
      <c r="E73" s="36"/>
      <c r="F73" s="37" t="s">
        <v>102</v>
      </c>
      <c r="G73" s="38"/>
      <c r="H73" s="36">
        <f>SUM(G64:G72)</f>
        <v>3940330</v>
      </c>
      <c r="I73" s="220"/>
    </row>
    <row r="74" spans="1:16" hidden="1" x14ac:dyDescent="0.25">
      <c r="A74" s="4"/>
      <c r="B74" s="4"/>
      <c r="C74" s="4"/>
      <c r="D74" s="4"/>
      <c r="E74" s="36"/>
      <c r="F74" s="39" t="s">
        <v>103</v>
      </c>
      <c r="G74" s="38"/>
      <c r="H74" s="36">
        <f>ROUND((D64*G64)+(D65*G65)+(D66*G66)+(D67*G67)+(D68*G68)+(D69*G69)+(D70*G70)+(D71*G71)+(D72*G72),0)</f>
        <v>173500</v>
      </c>
      <c r="I74" s="220"/>
    </row>
    <row r="75" spans="1:16" hidden="1" x14ac:dyDescent="0.25">
      <c r="A75" s="4"/>
      <c r="B75" s="4"/>
      <c r="C75" s="4"/>
      <c r="D75" s="4"/>
      <c r="E75" s="36"/>
      <c r="F75" s="20" t="s">
        <v>104</v>
      </c>
      <c r="G75" s="40"/>
      <c r="H75" s="36">
        <f>SUM(H73:H74)</f>
        <v>4113830</v>
      </c>
      <c r="I75" s="220"/>
    </row>
    <row r="76" spans="1:16" hidden="1" x14ac:dyDescent="0.25">
      <c r="A76" s="4" t="s">
        <v>105</v>
      </c>
      <c r="B76" s="4"/>
      <c r="C76" s="4"/>
      <c r="D76" s="4"/>
      <c r="E76" s="5"/>
      <c r="F76" s="5"/>
      <c r="G76" s="5"/>
      <c r="H76" s="5"/>
      <c r="I76" s="47"/>
    </row>
    <row r="77" spans="1:16" hidden="1" x14ac:dyDescent="0.25">
      <c r="A77" s="24" t="s">
        <v>0</v>
      </c>
      <c r="B77" s="24"/>
      <c r="C77" s="8" t="s">
        <v>106</v>
      </c>
      <c r="D77" s="8" t="s">
        <v>107</v>
      </c>
      <c r="E77" s="9" t="s">
        <v>108</v>
      </c>
      <c r="F77" s="9" t="s">
        <v>109</v>
      </c>
      <c r="G77" s="41" t="s">
        <v>96</v>
      </c>
      <c r="H77" s="235"/>
      <c r="I77" s="47"/>
    </row>
    <row r="78" spans="1:16" hidden="1" x14ac:dyDescent="0.25">
      <c r="A78" s="18" t="s">
        <v>110</v>
      </c>
      <c r="B78" s="42"/>
      <c r="C78" s="13">
        <v>104000</v>
      </c>
      <c r="D78" s="13">
        <f>+C78*0.16</f>
        <v>16640</v>
      </c>
      <c r="E78" s="14">
        <f>C78+D78</f>
        <v>120640</v>
      </c>
      <c r="F78" s="30">
        <v>10</v>
      </c>
      <c r="G78" s="14">
        <f>ROUND(E78*F78,0)</f>
        <v>1206400</v>
      </c>
      <c r="H78" s="236"/>
      <c r="I78" s="47"/>
    </row>
    <row r="79" spans="1:16" hidden="1" x14ac:dyDescent="0.25">
      <c r="A79" s="18" t="s">
        <v>111</v>
      </c>
      <c r="B79" s="42"/>
      <c r="C79" s="13">
        <v>60400</v>
      </c>
      <c r="D79" s="13">
        <f>+C79*0.16</f>
        <v>9664</v>
      </c>
      <c r="E79" s="14">
        <f>C79+D79</f>
        <v>70064</v>
      </c>
      <c r="F79" s="30">
        <v>10</v>
      </c>
      <c r="G79" s="14">
        <f>ROUND(E79*F79,0)</f>
        <v>700640</v>
      </c>
      <c r="H79" s="236"/>
      <c r="I79" s="47"/>
    </row>
    <row r="80" spans="1:16" hidden="1" x14ac:dyDescent="0.25">
      <c r="A80" s="18"/>
      <c r="B80" s="42"/>
      <c r="C80" s="43"/>
      <c r="D80" s="43"/>
      <c r="E80" s="44">
        <f>C80+D80</f>
        <v>0</v>
      </c>
      <c r="F80" s="45"/>
      <c r="G80" s="14">
        <f>ROUND(E80*F80,0)</f>
        <v>0</v>
      </c>
      <c r="H80" s="236"/>
      <c r="I80" s="47"/>
    </row>
    <row r="81" spans="1:9" hidden="1" x14ac:dyDescent="0.25">
      <c r="A81" s="4"/>
      <c r="B81" s="4"/>
      <c r="C81" s="4"/>
      <c r="D81" s="4"/>
      <c r="E81" s="46" t="s">
        <v>112</v>
      </c>
      <c r="F81" s="46"/>
      <c r="G81" s="46"/>
      <c r="H81" s="241">
        <f>SUM(G78:G80)</f>
        <v>1907040</v>
      </c>
      <c r="I81" s="223"/>
    </row>
    <row r="82" spans="1:9" hidden="1" x14ac:dyDescent="0.25">
      <c r="A82" s="4"/>
      <c r="B82" s="4"/>
      <c r="C82" s="4"/>
      <c r="D82" s="4"/>
      <c r="E82" s="5"/>
      <c r="F82" s="5"/>
      <c r="G82" s="5"/>
      <c r="H82" s="47"/>
      <c r="I82" s="47"/>
    </row>
    <row r="83" spans="1:9" hidden="1" x14ac:dyDescent="0.25">
      <c r="A83" s="18"/>
      <c r="B83" s="19"/>
      <c r="C83" s="19"/>
      <c r="D83" s="19"/>
      <c r="E83" s="48" t="s">
        <v>113</v>
      </c>
      <c r="F83" s="48"/>
      <c r="G83" s="48"/>
      <c r="H83" s="239">
        <f>H81+H75+H61</f>
        <v>6266214</v>
      </c>
      <c r="I83" s="222"/>
    </row>
    <row r="84" spans="1:9" hidden="1" x14ac:dyDescent="0.25">
      <c r="A84" s="4"/>
      <c r="B84" s="4"/>
      <c r="C84" s="4"/>
      <c r="D84" s="4"/>
      <c r="E84" s="5"/>
      <c r="F84" s="5"/>
      <c r="G84" s="5"/>
      <c r="H84" s="5"/>
      <c r="I84" s="47"/>
    </row>
    <row r="85" spans="1:9" hidden="1" x14ac:dyDescent="0.25">
      <c r="A85" s="4" t="s">
        <v>114</v>
      </c>
      <c r="B85" s="4"/>
      <c r="C85" s="4"/>
      <c r="D85" s="4"/>
      <c r="E85" s="5"/>
      <c r="F85" s="5"/>
      <c r="G85" s="5"/>
      <c r="H85" s="5"/>
      <c r="I85" s="47"/>
    </row>
    <row r="86" spans="1:9" hidden="1" x14ac:dyDescent="0.25">
      <c r="A86" s="6" t="s">
        <v>0</v>
      </c>
      <c r="B86" s="49"/>
      <c r="C86" s="49"/>
      <c r="D86" s="49"/>
      <c r="E86" s="50"/>
      <c r="F86" s="9" t="s">
        <v>115</v>
      </c>
      <c r="G86" s="41" t="s">
        <v>116</v>
      </c>
      <c r="H86" s="235"/>
      <c r="I86" s="47"/>
    </row>
    <row r="87" spans="1:9" hidden="1" x14ac:dyDescent="0.25">
      <c r="A87" s="11" t="s">
        <v>117</v>
      </c>
      <c r="B87" s="51"/>
      <c r="C87" s="51"/>
      <c r="D87" s="51"/>
      <c r="E87" s="52"/>
      <c r="F87" s="53"/>
      <c r="G87" s="14">
        <f>F87*H83</f>
        <v>0</v>
      </c>
      <c r="H87" s="236"/>
      <c r="I87" s="47"/>
    </row>
    <row r="88" spans="1:9" hidden="1" x14ac:dyDescent="0.25">
      <c r="A88" s="11"/>
      <c r="B88" s="51"/>
      <c r="C88" s="51"/>
      <c r="D88" s="51"/>
      <c r="E88" s="52"/>
      <c r="F88" s="53"/>
      <c r="G88" s="14">
        <f>F88*H83</f>
        <v>0</v>
      </c>
      <c r="H88" s="236"/>
      <c r="I88" s="47"/>
    </row>
    <row r="89" spans="1:9" hidden="1" x14ac:dyDescent="0.25">
      <c r="A89" s="11"/>
      <c r="B89" s="51"/>
      <c r="C89" s="51"/>
      <c r="D89" s="51"/>
      <c r="E89" s="52"/>
      <c r="F89" s="53"/>
      <c r="G89" s="14">
        <f>F89*H83</f>
        <v>0</v>
      </c>
      <c r="H89" s="237"/>
      <c r="I89" s="47"/>
    </row>
    <row r="90" spans="1:9" hidden="1" x14ac:dyDescent="0.25">
      <c r="A90" s="4"/>
      <c r="B90" s="4"/>
      <c r="C90" s="4"/>
      <c r="D90" s="4"/>
      <c r="E90" s="46" t="s">
        <v>118</v>
      </c>
      <c r="F90" s="46"/>
      <c r="G90" s="46"/>
      <c r="H90" s="36">
        <f>SUM(G87:G89)</f>
        <v>0</v>
      </c>
      <c r="I90" s="220"/>
    </row>
    <row r="91" spans="1:9" hidden="1" x14ac:dyDescent="0.25">
      <c r="A91" s="4"/>
      <c r="B91" s="4"/>
      <c r="C91" s="4"/>
      <c r="D91" s="4"/>
      <c r="E91" s="5"/>
      <c r="F91" s="5"/>
      <c r="G91" s="5"/>
      <c r="H91" s="5"/>
      <c r="I91" s="47"/>
    </row>
    <row r="92" spans="1:9" ht="15.75" hidden="1" thickBot="1" x14ac:dyDescent="0.3">
      <c r="A92" s="4"/>
      <c r="B92" s="4"/>
      <c r="C92" s="4"/>
      <c r="D92" s="4"/>
      <c r="E92" s="54"/>
      <c r="F92" s="54" t="s">
        <v>119</v>
      </c>
      <c r="G92" s="54"/>
      <c r="H92" s="240">
        <f>SUM(H90+H83)</f>
        <v>6266214</v>
      </c>
      <c r="I92" s="112"/>
    </row>
    <row r="96" spans="1:9" x14ac:dyDescent="0.25">
      <c r="A96" s="412" t="s">
        <v>79</v>
      </c>
      <c r="B96" s="412"/>
      <c r="C96" s="412"/>
      <c r="D96" s="412"/>
      <c r="E96" s="412"/>
      <c r="F96" s="412"/>
      <c r="G96" s="412"/>
      <c r="H96" s="412"/>
      <c r="I96" s="250"/>
    </row>
    <row r="97" spans="1:9" x14ac:dyDescent="0.25">
      <c r="A97" s="4"/>
      <c r="B97" s="4"/>
      <c r="C97" s="4"/>
      <c r="D97" s="4"/>
      <c r="E97" s="5"/>
      <c r="F97" s="5"/>
      <c r="G97" s="411" t="s">
        <v>326</v>
      </c>
      <c r="H97" s="411"/>
      <c r="I97" s="251"/>
    </row>
    <row r="98" spans="1:9" ht="42.6" customHeight="1" x14ac:dyDescent="0.25">
      <c r="A98" s="410" t="s">
        <v>126</v>
      </c>
      <c r="B98" s="410"/>
      <c r="C98" s="410"/>
      <c r="D98" s="410"/>
      <c r="E98" s="410"/>
      <c r="F98" s="410"/>
      <c r="G98" s="410"/>
      <c r="H98" s="410"/>
      <c r="I98" s="254"/>
    </row>
    <row r="99" spans="1:9" x14ac:dyDescent="0.25">
      <c r="A99" s="4"/>
      <c r="B99" s="4"/>
      <c r="C99" s="4"/>
      <c r="D99" s="4"/>
      <c r="E99" s="5"/>
      <c r="F99" s="5"/>
      <c r="G99" s="414" t="s">
        <v>81</v>
      </c>
      <c r="H99" s="414"/>
      <c r="I99" s="253"/>
    </row>
    <row r="100" spans="1:9" x14ac:dyDescent="0.25">
      <c r="A100" s="4" t="s">
        <v>82</v>
      </c>
      <c r="B100" s="4"/>
      <c r="C100" s="4"/>
      <c r="D100" s="4"/>
      <c r="E100" s="5"/>
      <c r="F100" s="5"/>
      <c r="G100" s="5"/>
      <c r="H100" s="5"/>
      <c r="I100" s="47"/>
    </row>
    <row r="101" spans="1:9" x14ac:dyDescent="0.25">
      <c r="A101" s="6" t="s">
        <v>0</v>
      </c>
      <c r="B101" s="7"/>
      <c r="C101" s="8" t="s">
        <v>83</v>
      </c>
      <c r="D101" s="8" t="s">
        <v>84</v>
      </c>
      <c r="E101" s="9" t="s">
        <v>85</v>
      </c>
      <c r="F101" s="9" t="s">
        <v>86</v>
      </c>
      <c r="G101" s="9" t="s">
        <v>87</v>
      </c>
      <c r="H101" s="10"/>
      <c r="I101" s="47"/>
    </row>
    <row r="102" spans="1:9" x14ac:dyDescent="0.25">
      <c r="A102" s="11" t="s">
        <v>88</v>
      </c>
      <c r="B102" s="12"/>
      <c r="C102" s="13"/>
      <c r="D102" s="13"/>
      <c r="E102" s="14"/>
      <c r="F102" s="14"/>
      <c r="G102" s="14">
        <f>ROUND(H126*0.05,0)+8-16</f>
        <v>3255</v>
      </c>
      <c r="H102" s="15"/>
      <c r="I102" s="47"/>
    </row>
    <row r="103" spans="1:9" x14ac:dyDescent="0.25">
      <c r="A103" s="11" t="s">
        <v>327</v>
      </c>
      <c r="B103" s="12"/>
      <c r="C103" s="13"/>
      <c r="D103" s="13"/>
      <c r="E103" s="14">
        <v>350000</v>
      </c>
      <c r="F103" s="14">
        <v>0.1</v>
      </c>
      <c r="G103" s="14">
        <f>ROUND(E103*F103,0)</f>
        <v>35000</v>
      </c>
      <c r="H103" s="15"/>
      <c r="I103" s="47"/>
    </row>
    <row r="104" spans="1:9" x14ac:dyDescent="0.25">
      <c r="A104" s="11" t="s">
        <v>328</v>
      </c>
      <c r="B104" s="12"/>
      <c r="C104" s="13"/>
      <c r="D104" s="13"/>
      <c r="E104" s="14">
        <v>50000</v>
      </c>
      <c r="F104" s="16">
        <v>0.1</v>
      </c>
      <c r="G104" s="14">
        <f>ROUND(E104*F104,0)</f>
        <v>5000</v>
      </c>
      <c r="H104" s="15"/>
      <c r="I104" s="47"/>
    </row>
    <row r="105" spans="1:9" x14ac:dyDescent="0.25">
      <c r="A105" s="11"/>
      <c r="B105" s="12"/>
      <c r="C105" s="13"/>
      <c r="D105" s="13"/>
      <c r="E105" s="14"/>
      <c r="F105" s="14"/>
      <c r="G105" s="14">
        <f>ROUND(E105*F105,0)</f>
        <v>0</v>
      </c>
      <c r="H105" s="17"/>
      <c r="I105" s="47"/>
    </row>
    <row r="106" spans="1:9" x14ac:dyDescent="0.25">
      <c r="A106" s="18"/>
      <c r="B106" s="19"/>
      <c r="C106" s="19"/>
      <c r="D106" s="19"/>
      <c r="E106" s="20"/>
      <c r="F106" s="21" t="s">
        <v>90</v>
      </c>
      <c r="G106" s="22"/>
      <c r="H106" s="23">
        <f>SUM(G102:G105)</f>
        <v>43255</v>
      </c>
      <c r="I106" s="220"/>
    </row>
    <row r="107" spans="1:9" x14ac:dyDescent="0.25">
      <c r="A107" s="291" t="s">
        <v>91</v>
      </c>
      <c r="B107" s="228"/>
      <c r="C107" s="228"/>
      <c r="D107" s="228"/>
      <c r="E107" s="47"/>
      <c r="F107" s="47"/>
      <c r="G107" s="47"/>
      <c r="H107" s="233"/>
      <c r="I107" s="47"/>
    </row>
    <row r="108" spans="1:9" x14ac:dyDescent="0.25">
      <c r="A108" s="24" t="s">
        <v>0</v>
      </c>
      <c r="B108" s="24"/>
      <c r="C108" s="8" t="s">
        <v>92</v>
      </c>
      <c r="D108" s="8" t="s">
        <v>93</v>
      </c>
      <c r="E108" s="9" t="s">
        <v>94</v>
      </c>
      <c r="F108" s="9" t="s">
        <v>95</v>
      </c>
      <c r="G108" s="25" t="s">
        <v>96</v>
      </c>
      <c r="H108" s="10"/>
      <c r="I108" s="47"/>
    </row>
    <row r="109" spans="1:9" x14ac:dyDescent="0.25">
      <c r="A109" s="26" t="s">
        <v>97</v>
      </c>
      <c r="B109" s="27"/>
      <c r="C109" s="28" t="s">
        <v>9</v>
      </c>
      <c r="D109" s="29">
        <v>0.05</v>
      </c>
      <c r="E109" s="30">
        <v>2</v>
      </c>
      <c r="F109" s="14">
        <f>133000/6</f>
        <v>22166.666666666668</v>
      </c>
      <c r="G109" s="14">
        <f t="shared" ref="G109:G117" si="2">ROUND(E109*F109,0)</f>
        <v>44333</v>
      </c>
      <c r="H109" s="15"/>
      <c r="I109" s="47"/>
    </row>
    <row r="110" spans="1:9" x14ac:dyDescent="0.25">
      <c r="A110" s="26" t="s">
        <v>98</v>
      </c>
      <c r="B110" s="27"/>
      <c r="C110" s="28" t="s">
        <v>18</v>
      </c>
      <c r="D110" s="31"/>
      <c r="E110" s="30">
        <v>0.2</v>
      </c>
      <c r="F110" s="14">
        <v>7200</v>
      </c>
      <c r="G110" s="14">
        <f t="shared" si="2"/>
        <v>1440</v>
      </c>
      <c r="H110" s="15"/>
      <c r="I110" s="47"/>
    </row>
    <row r="111" spans="1:9" x14ac:dyDescent="0.25">
      <c r="A111" s="32" t="s">
        <v>99</v>
      </c>
      <c r="B111" s="33"/>
      <c r="C111" s="28" t="s">
        <v>18</v>
      </c>
      <c r="D111" s="29"/>
      <c r="E111" s="30">
        <v>0.16</v>
      </c>
      <c r="F111" s="14">
        <v>12500</v>
      </c>
      <c r="G111" s="14">
        <f t="shared" si="2"/>
        <v>2000</v>
      </c>
      <c r="H111" s="15"/>
      <c r="I111" s="47"/>
    </row>
    <row r="112" spans="1:9" x14ac:dyDescent="0.25">
      <c r="A112" s="11" t="s">
        <v>100</v>
      </c>
      <c r="B112" s="12"/>
      <c r="C112" s="28" t="s">
        <v>8</v>
      </c>
      <c r="D112" s="31"/>
      <c r="E112" s="30">
        <v>0.04</v>
      </c>
      <c r="F112" s="14">
        <v>42500</v>
      </c>
      <c r="G112" s="14">
        <f t="shared" si="2"/>
        <v>1700</v>
      </c>
      <c r="H112" s="15"/>
      <c r="I112" s="47"/>
    </row>
    <row r="113" spans="1:9" x14ac:dyDescent="0.25">
      <c r="A113" s="11" t="s">
        <v>101</v>
      </c>
      <c r="B113" s="12"/>
      <c r="C113" s="28" t="s">
        <v>18</v>
      </c>
      <c r="D113" s="34"/>
      <c r="E113" s="30">
        <v>0.04</v>
      </c>
      <c r="F113" s="14">
        <v>88000</v>
      </c>
      <c r="G113" s="14">
        <f t="shared" si="2"/>
        <v>3520</v>
      </c>
      <c r="H113" s="15"/>
      <c r="I113" s="47"/>
    </row>
    <row r="114" spans="1:9" x14ac:dyDescent="0.25">
      <c r="A114" s="11" t="s">
        <v>127</v>
      </c>
      <c r="B114" s="12"/>
      <c r="C114" s="35" t="s">
        <v>18</v>
      </c>
      <c r="D114" s="31"/>
      <c r="E114" s="30">
        <v>0.2</v>
      </c>
      <c r="F114" s="14">
        <v>28500</v>
      </c>
      <c r="G114" s="14">
        <f t="shared" si="2"/>
        <v>5700</v>
      </c>
      <c r="H114" s="15"/>
      <c r="I114" s="47"/>
    </row>
    <row r="115" spans="1:9" x14ac:dyDescent="0.25">
      <c r="A115" s="11" t="s">
        <v>128</v>
      </c>
      <c r="B115" s="12"/>
      <c r="C115" s="35" t="s">
        <v>129</v>
      </c>
      <c r="D115" s="34"/>
      <c r="E115" s="30">
        <v>1</v>
      </c>
      <c r="F115" s="14">
        <f>18000*1.6</f>
        <v>28800</v>
      </c>
      <c r="G115" s="14">
        <f t="shared" si="2"/>
        <v>28800</v>
      </c>
      <c r="H115" s="15"/>
      <c r="I115" s="47"/>
    </row>
    <row r="116" spans="1:9" x14ac:dyDescent="0.25">
      <c r="A116" s="26" t="s">
        <v>131</v>
      </c>
      <c r="B116" s="12"/>
      <c r="C116" s="35" t="s">
        <v>9</v>
      </c>
      <c r="D116" s="31">
        <v>0.05</v>
      </c>
      <c r="E116" s="30">
        <v>0.18</v>
      </c>
      <c r="F116" s="14">
        <f>64000/6</f>
        <v>10666.666666666666</v>
      </c>
      <c r="G116" s="14">
        <f t="shared" si="2"/>
        <v>1920</v>
      </c>
      <c r="H116" s="15"/>
      <c r="I116" s="47"/>
    </row>
    <row r="117" spans="1:9" x14ac:dyDescent="0.25">
      <c r="A117" s="11" t="s">
        <v>339</v>
      </c>
      <c r="B117" s="12"/>
      <c r="C117" s="35" t="s">
        <v>9</v>
      </c>
      <c r="D117" s="31">
        <v>0.05</v>
      </c>
      <c r="E117" s="30">
        <v>0.8</v>
      </c>
      <c r="F117" s="14">
        <v>5800</v>
      </c>
      <c r="G117" s="14">
        <f t="shared" si="2"/>
        <v>4640</v>
      </c>
      <c r="H117" s="17"/>
      <c r="I117" s="47"/>
    </row>
    <row r="118" spans="1:9" x14ac:dyDescent="0.25">
      <c r="A118" s="291"/>
      <c r="B118" s="228"/>
      <c r="C118" s="228"/>
      <c r="D118" s="228"/>
      <c r="E118" s="36"/>
      <c r="F118" s="37" t="s">
        <v>102</v>
      </c>
      <c r="G118" s="38"/>
      <c r="H118" s="23">
        <f>SUM(G109:G117)</f>
        <v>94053</v>
      </c>
      <c r="I118" s="220"/>
    </row>
    <row r="119" spans="1:9" x14ac:dyDescent="0.25">
      <c r="A119" s="291"/>
      <c r="B119" s="228"/>
      <c r="C119" s="228"/>
      <c r="D119" s="228"/>
      <c r="E119" s="36"/>
      <c r="F119" s="39" t="s">
        <v>103</v>
      </c>
      <c r="G119" s="38"/>
      <c r="H119" s="23">
        <f>ROUND((D109*G109)+(D110*G110)+(D111*G111)+(D112*G112)+(D113*G113)+(D114*G114)+(D115*G115)+(D116*G116)+(D117*G117),0)</f>
        <v>2545</v>
      </c>
      <c r="I119" s="220"/>
    </row>
    <row r="120" spans="1:9" x14ac:dyDescent="0.25">
      <c r="A120" s="291"/>
      <c r="B120" s="228"/>
      <c r="C120" s="228"/>
      <c r="D120" s="228"/>
      <c r="E120" s="36"/>
      <c r="F120" s="20" t="s">
        <v>104</v>
      </c>
      <c r="G120" s="40"/>
      <c r="H120" s="23">
        <f>SUM(H118:H119)</f>
        <v>96598</v>
      </c>
      <c r="I120" s="220"/>
    </row>
    <row r="121" spans="1:9" x14ac:dyDescent="0.25">
      <c r="A121" s="291" t="s">
        <v>105</v>
      </c>
      <c r="B121" s="228"/>
      <c r="C121" s="228"/>
      <c r="D121" s="228"/>
      <c r="E121" s="47"/>
      <c r="F121" s="47"/>
      <c r="G121" s="47"/>
      <c r="H121" s="233"/>
      <c r="I121" s="47"/>
    </row>
    <row r="122" spans="1:9" x14ac:dyDescent="0.25">
      <c r="A122" s="24" t="s">
        <v>0</v>
      </c>
      <c r="B122" s="24"/>
      <c r="C122" s="8" t="s">
        <v>106</v>
      </c>
      <c r="D122" s="8" t="s">
        <v>107</v>
      </c>
      <c r="E122" s="9" t="s">
        <v>108</v>
      </c>
      <c r="F122" s="9" t="s">
        <v>109</v>
      </c>
      <c r="G122" s="41" t="s">
        <v>96</v>
      </c>
      <c r="H122" s="10"/>
      <c r="I122" s="47"/>
    </row>
    <row r="123" spans="1:9" x14ac:dyDescent="0.25">
      <c r="A123" s="18" t="s">
        <v>110</v>
      </c>
      <c r="B123" s="42"/>
      <c r="C123" s="13">
        <f>104000+26000</f>
        <v>130000</v>
      </c>
      <c r="D123" s="13">
        <f>+C123*0.16</f>
        <v>20800</v>
      </c>
      <c r="E123" s="14">
        <f>C123+D123</f>
        <v>150800</v>
      </c>
      <c r="F123" s="30">
        <v>0.3</v>
      </c>
      <c r="G123" s="14">
        <f>ROUND(E123*F123,0)</f>
        <v>45240</v>
      </c>
      <c r="H123" s="15"/>
      <c r="I123" s="47"/>
    </row>
    <row r="124" spans="1:9" x14ac:dyDescent="0.25">
      <c r="A124" s="18" t="s">
        <v>111</v>
      </c>
      <c r="B124" s="42"/>
      <c r="C124" s="13">
        <f>60400+25850</f>
        <v>86250</v>
      </c>
      <c r="D124" s="13">
        <f>+C124*0.16</f>
        <v>13800</v>
      </c>
      <c r="E124" s="14">
        <f>C124+D124</f>
        <v>100050</v>
      </c>
      <c r="F124" s="30">
        <v>0.2</v>
      </c>
      <c r="G124" s="14">
        <f>ROUND(E124*F124,0)</f>
        <v>20010</v>
      </c>
      <c r="H124" s="15"/>
      <c r="I124" s="47"/>
    </row>
    <row r="125" spans="1:9" x14ac:dyDescent="0.25">
      <c r="A125" s="18"/>
      <c r="B125" s="42"/>
      <c r="C125" s="43"/>
      <c r="D125" s="43"/>
      <c r="E125" s="44">
        <f>C125+D125</f>
        <v>0</v>
      </c>
      <c r="F125" s="45"/>
      <c r="G125" s="14">
        <f>ROUND(E125*F125,0)</f>
        <v>0</v>
      </c>
      <c r="H125" s="15"/>
      <c r="I125" s="47"/>
    </row>
    <row r="126" spans="1:9" x14ac:dyDescent="0.25">
      <c r="A126" s="291"/>
      <c r="B126" s="228"/>
      <c r="C126" s="228"/>
      <c r="D126" s="228"/>
      <c r="E126" s="277" t="s">
        <v>112</v>
      </c>
      <c r="F126" s="277"/>
      <c r="G126" s="277"/>
      <c r="H126" s="82">
        <f>SUM(G123:G125)</f>
        <v>65250</v>
      </c>
      <c r="I126" s="221"/>
    </row>
    <row r="127" spans="1:9" x14ac:dyDescent="0.25">
      <c r="A127" s="291"/>
      <c r="B127" s="228"/>
      <c r="C127" s="228"/>
      <c r="D127" s="228"/>
      <c r="E127" s="47"/>
      <c r="F127" s="47"/>
      <c r="G127" s="47"/>
      <c r="H127" s="233"/>
      <c r="I127" s="47"/>
    </row>
    <row r="128" spans="1:9" x14ac:dyDescent="0.25">
      <c r="A128" s="18"/>
      <c r="B128" s="19"/>
      <c r="C128" s="19"/>
      <c r="D128" s="19"/>
      <c r="E128" s="48" t="s">
        <v>113</v>
      </c>
      <c r="F128" s="48"/>
      <c r="G128" s="48"/>
      <c r="H128" s="25">
        <f>H126+H120+H106</f>
        <v>205103</v>
      </c>
      <c r="I128" s="222"/>
    </row>
    <row r="129" spans="1:9" x14ac:dyDescent="0.25">
      <c r="A129" s="291"/>
      <c r="B129" s="228"/>
      <c r="C129" s="228"/>
      <c r="D129" s="228"/>
      <c r="E129" s="47"/>
      <c r="F129" s="47"/>
      <c r="G129" s="47"/>
      <c r="H129" s="233"/>
      <c r="I129" s="47"/>
    </row>
    <row r="130" spans="1:9" x14ac:dyDescent="0.25">
      <c r="A130" s="291" t="s">
        <v>114</v>
      </c>
      <c r="B130" s="228"/>
      <c r="C130" s="228"/>
      <c r="D130" s="228"/>
      <c r="E130" s="47"/>
      <c r="F130" s="47"/>
      <c r="G130" s="47"/>
      <c r="H130" s="233"/>
      <c r="I130" s="47"/>
    </row>
    <row r="131" spans="1:9" x14ac:dyDescent="0.25">
      <c r="A131" s="6" t="s">
        <v>0</v>
      </c>
      <c r="B131" s="49"/>
      <c r="C131" s="49"/>
      <c r="D131" s="49"/>
      <c r="E131" s="50"/>
      <c r="F131" s="9" t="s">
        <v>115</v>
      </c>
      <c r="G131" s="41" t="s">
        <v>116</v>
      </c>
      <c r="H131" s="10"/>
      <c r="I131" s="47"/>
    </row>
    <row r="132" spans="1:9" x14ac:dyDescent="0.25">
      <c r="A132" s="11" t="s">
        <v>117</v>
      </c>
      <c r="B132" s="51"/>
      <c r="C132" s="51"/>
      <c r="D132" s="51"/>
      <c r="E132" s="52"/>
      <c r="F132" s="53"/>
      <c r="G132" s="14">
        <f>F132*H128</f>
        <v>0</v>
      </c>
      <c r="H132" s="15"/>
      <c r="I132" s="47"/>
    </row>
    <row r="133" spans="1:9" x14ac:dyDescent="0.25">
      <c r="A133" s="11"/>
      <c r="B133" s="51"/>
      <c r="C133" s="51"/>
      <c r="D133" s="51"/>
      <c r="E133" s="52"/>
      <c r="F133" s="53"/>
      <c r="G133" s="14">
        <f>F133*H128</f>
        <v>0</v>
      </c>
      <c r="H133" s="15"/>
      <c r="I133" s="47"/>
    </row>
    <row r="134" spans="1:9" x14ac:dyDescent="0.25">
      <c r="A134" s="11"/>
      <c r="B134" s="51"/>
      <c r="C134" s="51"/>
      <c r="D134" s="51"/>
      <c r="E134" s="52"/>
      <c r="F134" s="53"/>
      <c r="G134" s="14">
        <f>F134*H128</f>
        <v>0</v>
      </c>
      <c r="H134" s="17"/>
      <c r="I134" s="47"/>
    </row>
    <row r="135" spans="1:9" x14ac:dyDescent="0.25">
      <c r="A135" s="4"/>
      <c r="B135" s="4"/>
      <c r="C135" s="4"/>
      <c r="D135" s="4"/>
      <c r="E135" s="46" t="s">
        <v>118</v>
      </c>
      <c r="F135" s="46"/>
      <c r="G135" s="46"/>
      <c r="H135" s="36">
        <f>SUM(G132:G134)</f>
        <v>0</v>
      </c>
      <c r="I135" s="220"/>
    </row>
    <row r="136" spans="1:9" ht="15.75" thickBot="1" x14ac:dyDescent="0.3">
      <c r="A136" s="4"/>
      <c r="B136" s="4"/>
      <c r="C136" s="4"/>
      <c r="D136" s="4"/>
      <c r="E136" s="5"/>
      <c r="F136" s="5"/>
      <c r="G136" s="5"/>
      <c r="H136" s="5"/>
      <c r="I136" s="47"/>
    </row>
    <row r="137" spans="1:9" ht="15.75" thickBot="1" x14ac:dyDescent="0.3">
      <c r="A137" s="4"/>
      <c r="B137" s="4"/>
      <c r="C137" s="4"/>
      <c r="D137" s="4"/>
      <c r="E137" s="54"/>
      <c r="F137" s="54" t="s">
        <v>119</v>
      </c>
      <c r="G137" s="54"/>
      <c r="H137" s="240">
        <f>SUM(H135+H128)</f>
        <v>205103</v>
      </c>
      <c r="I137" s="112"/>
    </row>
    <row r="138" spans="1:9" x14ac:dyDescent="0.25">
      <c r="A138" s="4"/>
      <c r="B138" s="4"/>
      <c r="C138" s="4"/>
      <c r="D138" s="4"/>
      <c r="E138" s="54"/>
      <c r="F138" s="54"/>
      <c r="G138" s="54"/>
      <c r="H138" s="112"/>
      <c r="I138" s="112"/>
    </row>
    <row r="139" spans="1:9" x14ac:dyDescent="0.25">
      <c r="A139" s="4"/>
      <c r="B139" s="4"/>
      <c r="C139" s="4"/>
      <c r="D139" s="4"/>
      <c r="E139" s="54"/>
      <c r="F139" s="54"/>
      <c r="G139" s="54"/>
      <c r="H139" s="112"/>
      <c r="I139" s="112"/>
    </row>
    <row r="140" spans="1:9" x14ac:dyDescent="0.25">
      <c r="A140" s="4"/>
      <c r="B140" s="4"/>
      <c r="C140" s="4"/>
      <c r="D140" s="4"/>
      <c r="E140" s="54"/>
      <c r="F140" s="54"/>
      <c r="G140" s="54"/>
      <c r="H140" s="112"/>
      <c r="I140" s="112"/>
    </row>
    <row r="143" spans="1:9" x14ac:dyDescent="0.25">
      <c r="A143" s="412" t="s">
        <v>79</v>
      </c>
      <c r="B143" s="412"/>
      <c r="C143" s="412"/>
      <c r="D143" s="412"/>
      <c r="E143" s="412"/>
      <c r="F143" s="412"/>
      <c r="G143" s="412"/>
      <c r="H143" s="412"/>
      <c r="I143" s="250"/>
    </row>
    <row r="144" spans="1:9" x14ac:dyDescent="0.25">
      <c r="A144" s="4"/>
      <c r="B144" s="4"/>
      <c r="C144" s="4"/>
      <c r="D144" s="4"/>
      <c r="E144" s="5"/>
      <c r="F144" s="5"/>
      <c r="G144" s="411" t="s">
        <v>326</v>
      </c>
      <c r="H144" s="411"/>
      <c r="I144" s="251"/>
    </row>
    <row r="145" spans="1:9" ht="42.6" customHeight="1" x14ac:dyDescent="0.25">
      <c r="A145" s="410" t="s">
        <v>134</v>
      </c>
      <c r="B145" s="410"/>
      <c r="C145" s="410"/>
      <c r="D145" s="410"/>
      <c r="E145" s="410"/>
      <c r="F145" s="410"/>
      <c r="G145" s="410"/>
      <c r="H145" s="410"/>
      <c r="I145" s="254"/>
    </row>
    <row r="146" spans="1:9" x14ac:dyDescent="0.25">
      <c r="A146" s="4"/>
      <c r="B146" s="4"/>
      <c r="C146" s="4"/>
      <c r="D146" s="4"/>
      <c r="E146" s="5"/>
      <c r="F146" s="5"/>
      <c r="G146" s="414" t="s">
        <v>215</v>
      </c>
      <c r="H146" s="414"/>
      <c r="I146" s="253"/>
    </row>
    <row r="147" spans="1:9" x14ac:dyDescent="0.25">
      <c r="A147" s="4" t="s">
        <v>82</v>
      </c>
      <c r="B147" s="4"/>
      <c r="C147" s="4"/>
      <c r="D147" s="4"/>
      <c r="E147" s="5"/>
      <c r="F147" s="5"/>
      <c r="G147" s="5"/>
      <c r="H147" s="5"/>
      <c r="I147" s="47"/>
    </row>
    <row r="148" spans="1:9" x14ac:dyDescent="0.25">
      <c r="A148" s="6" t="s">
        <v>0</v>
      </c>
      <c r="B148" s="7"/>
      <c r="C148" s="8" t="s">
        <v>83</v>
      </c>
      <c r="D148" s="8" t="s">
        <v>84</v>
      </c>
      <c r="E148" s="9" t="s">
        <v>85</v>
      </c>
      <c r="F148" s="9" t="s">
        <v>86</v>
      </c>
      <c r="G148" s="9" t="s">
        <v>87</v>
      </c>
      <c r="H148" s="10"/>
      <c r="I148" s="47"/>
    </row>
    <row r="149" spans="1:9" x14ac:dyDescent="0.25">
      <c r="A149" s="11" t="s">
        <v>88</v>
      </c>
      <c r="B149" s="12"/>
      <c r="C149" s="13"/>
      <c r="D149" s="13"/>
      <c r="E149" s="14"/>
      <c r="F149" s="14"/>
      <c r="G149" s="14">
        <f>ROUND(H174*0.05,0)+8-16</f>
        <v>30848</v>
      </c>
      <c r="H149" s="15"/>
      <c r="I149" s="47"/>
    </row>
    <row r="150" spans="1:9" x14ac:dyDescent="0.25">
      <c r="A150" s="11" t="s">
        <v>328</v>
      </c>
      <c r="B150" s="12"/>
      <c r="C150" s="13"/>
      <c r="D150" s="13"/>
      <c r="E150" s="14">
        <v>50000</v>
      </c>
      <c r="F150" s="14">
        <v>0.5</v>
      </c>
      <c r="G150" s="14">
        <f>+E150*F150</f>
        <v>25000</v>
      </c>
      <c r="H150" s="15"/>
      <c r="I150" s="47"/>
    </row>
    <row r="151" spans="1:9" x14ac:dyDescent="0.25">
      <c r="A151" s="11" t="s">
        <v>327</v>
      </c>
      <c r="B151" s="12"/>
      <c r="C151" s="13"/>
      <c r="D151" s="13"/>
      <c r="E151" s="14">
        <v>350000</v>
      </c>
      <c r="F151" s="14">
        <v>0.35</v>
      </c>
      <c r="G151" s="14">
        <f>ROUND(E151*F151,0)</f>
        <v>122500</v>
      </c>
      <c r="H151" s="15"/>
      <c r="I151" s="47"/>
    </row>
    <row r="152" spans="1:9" x14ac:dyDescent="0.25">
      <c r="A152" s="415" t="s">
        <v>142</v>
      </c>
      <c r="B152" s="416"/>
      <c r="C152" s="13"/>
      <c r="D152" s="13"/>
      <c r="E152" s="14">
        <v>350000</v>
      </c>
      <c r="F152" s="14">
        <v>0.5</v>
      </c>
      <c r="G152" s="14">
        <f t="shared" ref="G152:G153" si="3">ROUND(E152*F152,0)</f>
        <v>175000</v>
      </c>
      <c r="H152" s="15"/>
      <c r="I152" s="47"/>
    </row>
    <row r="153" spans="1:9" x14ac:dyDescent="0.25">
      <c r="A153" s="415" t="s">
        <v>143</v>
      </c>
      <c r="B153" s="416"/>
      <c r="C153" s="13"/>
      <c r="D153" s="13"/>
      <c r="E153" s="14">
        <v>125000</v>
      </c>
      <c r="F153" s="14">
        <v>0.5</v>
      </c>
      <c r="G153" s="14">
        <f t="shared" si="3"/>
        <v>62500</v>
      </c>
      <c r="H153" s="58"/>
      <c r="I153" s="224"/>
    </row>
    <row r="154" spans="1:9" x14ac:dyDescent="0.25">
      <c r="A154" s="18"/>
      <c r="B154" s="19"/>
      <c r="C154" s="19"/>
      <c r="D154" s="19"/>
      <c r="E154" s="20"/>
      <c r="F154" s="21" t="s">
        <v>90</v>
      </c>
      <c r="G154" s="22"/>
      <c r="H154" s="23">
        <f>SUM(G149:G153)</f>
        <v>415848</v>
      </c>
      <c r="I154" s="220"/>
    </row>
    <row r="155" spans="1:9" x14ac:dyDescent="0.25">
      <c r="A155" s="291" t="s">
        <v>91</v>
      </c>
      <c r="B155" s="228"/>
      <c r="C155" s="228"/>
      <c r="D155" s="228"/>
      <c r="E155" s="47"/>
      <c r="F155" s="47"/>
      <c r="G155" s="47"/>
      <c r="H155" s="233"/>
      <c r="I155" s="47"/>
    </row>
    <row r="156" spans="1:9" x14ac:dyDescent="0.25">
      <c r="A156" s="24" t="s">
        <v>0</v>
      </c>
      <c r="B156" s="24"/>
      <c r="C156" s="8" t="s">
        <v>92</v>
      </c>
      <c r="D156" s="8" t="s">
        <v>93</v>
      </c>
      <c r="E156" s="9" t="s">
        <v>94</v>
      </c>
      <c r="F156" s="9" t="s">
        <v>95</v>
      </c>
      <c r="G156" s="25" t="s">
        <v>96</v>
      </c>
      <c r="H156" s="10"/>
      <c r="I156" s="47"/>
    </row>
    <row r="157" spans="1:9" x14ac:dyDescent="0.25">
      <c r="A157" s="419" t="s">
        <v>135</v>
      </c>
      <c r="B157" s="419"/>
      <c r="C157" s="28" t="s">
        <v>9</v>
      </c>
      <c r="D157" s="29">
        <v>0.05</v>
      </c>
      <c r="E157" s="30">
        <v>1</v>
      </c>
      <c r="F157" s="14">
        <v>15000</v>
      </c>
      <c r="G157" s="14">
        <f t="shared" ref="G157:G165" si="4">ROUND(E157*F157,0)</f>
        <v>15000</v>
      </c>
      <c r="H157" s="15"/>
      <c r="I157" s="47"/>
    </row>
    <row r="158" spans="1:9" x14ac:dyDescent="0.25">
      <c r="A158" s="419" t="s">
        <v>136</v>
      </c>
      <c r="B158" s="419"/>
      <c r="C158" s="28" t="s">
        <v>18</v>
      </c>
      <c r="D158" s="31"/>
      <c r="E158" s="30">
        <v>1</v>
      </c>
      <c r="F158" s="14">
        <v>20000</v>
      </c>
      <c r="G158" s="14">
        <f t="shared" si="4"/>
        <v>20000</v>
      </c>
      <c r="H158" s="15"/>
      <c r="I158" s="47"/>
    </row>
    <row r="159" spans="1:9" x14ac:dyDescent="0.25">
      <c r="A159" s="419" t="s">
        <v>137</v>
      </c>
      <c r="B159" s="419"/>
      <c r="C159" s="28" t="s">
        <v>140</v>
      </c>
      <c r="D159" s="29"/>
      <c r="E159" s="30">
        <v>0.5</v>
      </c>
      <c r="F159" s="14">
        <v>127000</v>
      </c>
      <c r="G159" s="14">
        <f t="shared" si="4"/>
        <v>63500</v>
      </c>
      <c r="H159" s="15"/>
      <c r="I159" s="47"/>
    </row>
    <row r="160" spans="1:9" x14ac:dyDescent="0.25">
      <c r="A160" s="419" t="s">
        <v>141</v>
      </c>
      <c r="B160" s="419"/>
      <c r="C160" s="28" t="s">
        <v>140</v>
      </c>
      <c r="D160" s="31"/>
      <c r="E160" s="30">
        <v>0.5</v>
      </c>
      <c r="F160" s="14">
        <v>58000</v>
      </c>
      <c r="G160" s="14">
        <f t="shared" si="4"/>
        <v>29000</v>
      </c>
      <c r="H160" s="15"/>
      <c r="I160" s="47"/>
    </row>
    <row r="161" spans="1:9" x14ac:dyDescent="0.25">
      <c r="A161" s="419" t="s">
        <v>138</v>
      </c>
      <c r="B161" s="419"/>
      <c r="C161" s="28" t="s">
        <v>18</v>
      </c>
      <c r="D161" s="34"/>
      <c r="E161" s="30">
        <v>1</v>
      </c>
      <c r="F161" s="14">
        <v>1900</v>
      </c>
      <c r="G161" s="14">
        <f t="shared" si="4"/>
        <v>1900</v>
      </c>
      <c r="H161" s="15"/>
      <c r="I161" s="47"/>
    </row>
    <row r="162" spans="1:9" x14ac:dyDescent="0.25">
      <c r="A162" s="419" t="s">
        <v>139</v>
      </c>
      <c r="B162" s="419"/>
      <c r="C162" s="28" t="s">
        <v>18</v>
      </c>
      <c r="D162" s="31"/>
      <c r="E162" s="30">
        <v>1</v>
      </c>
      <c r="F162" s="14">
        <v>8500</v>
      </c>
      <c r="G162" s="14">
        <f t="shared" si="4"/>
        <v>8500</v>
      </c>
      <c r="H162" s="15"/>
      <c r="I162" s="47"/>
    </row>
    <row r="163" spans="1:9" x14ac:dyDescent="0.25">
      <c r="A163" s="11"/>
      <c r="B163" s="12"/>
      <c r="C163" s="35"/>
      <c r="D163" s="34"/>
      <c r="E163" s="30"/>
      <c r="F163" s="14"/>
      <c r="G163" s="14">
        <f t="shared" si="4"/>
        <v>0</v>
      </c>
      <c r="H163" s="15"/>
      <c r="I163" s="47"/>
    </row>
    <row r="164" spans="1:9" x14ac:dyDescent="0.25">
      <c r="A164" s="26"/>
      <c r="B164" s="12"/>
      <c r="C164" s="35"/>
      <c r="D164" s="31"/>
      <c r="E164" s="30"/>
      <c r="F164" s="14"/>
      <c r="G164" s="14">
        <f t="shared" si="4"/>
        <v>0</v>
      </c>
      <c r="H164" s="15"/>
      <c r="I164" s="47"/>
    </row>
    <row r="165" spans="1:9" x14ac:dyDescent="0.25">
      <c r="A165" s="11"/>
      <c r="B165" s="12"/>
      <c r="C165" s="35"/>
      <c r="D165" s="31"/>
      <c r="E165" s="30"/>
      <c r="F165" s="14"/>
      <c r="G165" s="14">
        <f t="shared" si="4"/>
        <v>0</v>
      </c>
      <c r="H165" s="17"/>
      <c r="I165" s="47"/>
    </row>
    <row r="166" spans="1:9" x14ac:dyDescent="0.25">
      <c r="A166" s="291"/>
      <c r="B166" s="228"/>
      <c r="C166" s="228"/>
      <c r="D166" s="228"/>
      <c r="E166" s="36"/>
      <c r="F166" s="37" t="s">
        <v>102</v>
      </c>
      <c r="G166" s="38"/>
      <c r="H166" s="23">
        <f>SUM(G157:G165)</f>
        <v>137900</v>
      </c>
      <c r="I166" s="220"/>
    </row>
    <row r="167" spans="1:9" x14ac:dyDescent="0.25">
      <c r="A167" s="291"/>
      <c r="B167" s="228"/>
      <c r="C167" s="228"/>
      <c r="D167" s="228"/>
      <c r="E167" s="36"/>
      <c r="F167" s="39" t="s">
        <v>103</v>
      </c>
      <c r="G167" s="38"/>
      <c r="H167" s="23">
        <f>ROUND((D157*G157)+(D158*G158)+(D159*G159)+(D160*G160)+(D161*G161)+(D162*G162)+(D163*G163)+(D164*G164)+(D165*G165),0)</f>
        <v>750</v>
      </c>
      <c r="I167" s="220"/>
    </row>
    <row r="168" spans="1:9" x14ac:dyDescent="0.25">
      <c r="A168" s="291"/>
      <c r="B168" s="228"/>
      <c r="C168" s="228"/>
      <c r="D168" s="228"/>
      <c r="E168" s="36"/>
      <c r="F168" s="20" t="s">
        <v>104</v>
      </c>
      <c r="G168" s="40"/>
      <c r="H168" s="23">
        <f>SUM(H166:H167)</f>
        <v>138650</v>
      </c>
      <c r="I168" s="220"/>
    </row>
    <row r="169" spans="1:9" x14ac:dyDescent="0.25">
      <c r="A169" s="291" t="s">
        <v>105</v>
      </c>
      <c r="B169" s="228"/>
      <c r="C169" s="228"/>
      <c r="D169" s="228"/>
      <c r="E169" s="47"/>
      <c r="F169" s="47"/>
      <c r="G169" s="47"/>
      <c r="H169" s="233"/>
      <c r="I169" s="47"/>
    </row>
    <row r="170" spans="1:9" x14ac:dyDescent="0.25">
      <c r="A170" s="24" t="s">
        <v>0</v>
      </c>
      <c r="B170" s="24"/>
      <c r="C170" s="8" t="s">
        <v>106</v>
      </c>
      <c r="D170" s="8" t="s">
        <v>107</v>
      </c>
      <c r="E170" s="9" t="s">
        <v>108</v>
      </c>
      <c r="F170" s="9" t="s">
        <v>109</v>
      </c>
      <c r="G170" s="41" t="s">
        <v>96</v>
      </c>
      <c r="H170" s="10"/>
      <c r="I170" s="47"/>
    </row>
    <row r="171" spans="1:9" x14ac:dyDescent="0.25">
      <c r="A171" s="18" t="s">
        <v>110</v>
      </c>
      <c r="B171" s="42"/>
      <c r="C171" s="13">
        <f>104000+26000</f>
        <v>130000</v>
      </c>
      <c r="D171" s="13">
        <f>+C171*0.16</f>
        <v>20800</v>
      </c>
      <c r="E171" s="14">
        <f>C171+D171</f>
        <v>150800</v>
      </c>
      <c r="F171" s="30">
        <v>2.5</v>
      </c>
      <c r="G171" s="14">
        <f>ROUND(E171*F171,0)</f>
        <v>377000</v>
      </c>
      <c r="H171" s="15"/>
      <c r="I171" s="47"/>
    </row>
    <row r="172" spans="1:9" x14ac:dyDescent="0.25">
      <c r="A172" s="18" t="s">
        <v>111</v>
      </c>
      <c r="B172" s="42"/>
      <c r="C172" s="13">
        <f>60400+25850</f>
        <v>86250</v>
      </c>
      <c r="D172" s="13">
        <f>+C172*0.16</f>
        <v>13800</v>
      </c>
      <c r="E172" s="14">
        <f>C172+D172</f>
        <v>100050</v>
      </c>
      <c r="F172" s="30">
        <v>2.4</v>
      </c>
      <c r="G172" s="14">
        <f>ROUND(E172*F172,0)</f>
        <v>240120</v>
      </c>
      <c r="H172" s="15"/>
      <c r="I172" s="47"/>
    </row>
    <row r="173" spans="1:9" x14ac:dyDescent="0.25">
      <c r="A173" s="18"/>
      <c r="B173" s="42"/>
      <c r="C173" s="43"/>
      <c r="D173" s="43"/>
      <c r="E173" s="44">
        <f>C173+D173</f>
        <v>0</v>
      </c>
      <c r="F173" s="45"/>
      <c r="G173" s="14">
        <f>ROUND(E173*F173,0)</f>
        <v>0</v>
      </c>
      <c r="H173" s="15"/>
      <c r="I173" s="47"/>
    </row>
    <row r="174" spans="1:9" x14ac:dyDescent="0.25">
      <c r="A174" s="291"/>
      <c r="B174" s="228"/>
      <c r="C174" s="228"/>
      <c r="D174" s="228"/>
      <c r="E174" s="277" t="s">
        <v>112</v>
      </c>
      <c r="F174" s="277"/>
      <c r="G174" s="277"/>
      <c r="H174" s="82">
        <f>SUM(G171:G173)</f>
        <v>617120</v>
      </c>
      <c r="I174" s="221"/>
    </row>
    <row r="175" spans="1:9" x14ac:dyDescent="0.25">
      <c r="A175" s="291"/>
      <c r="B175" s="228"/>
      <c r="C175" s="228"/>
      <c r="D175" s="228"/>
      <c r="E175" s="47"/>
      <c r="F175" s="47"/>
      <c r="G175" s="47"/>
      <c r="H175" s="233"/>
      <c r="I175" s="47"/>
    </row>
    <row r="176" spans="1:9" x14ac:dyDescent="0.25">
      <c r="A176" s="18"/>
      <c r="B176" s="19"/>
      <c r="C176" s="19"/>
      <c r="D176" s="19"/>
      <c r="E176" s="48" t="s">
        <v>113</v>
      </c>
      <c r="F176" s="48"/>
      <c r="G176" s="48"/>
      <c r="H176" s="25">
        <f>H174+H168+H154</f>
        <v>1171618</v>
      </c>
      <c r="I176" s="222"/>
    </row>
    <row r="177" spans="1:9" x14ac:dyDescent="0.25">
      <c r="A177" s="291"/>
      <c r="B177" s="228"/>
      <c r="C177" s="228"/>
      <c r="D177" s="228"/>
      <c r="E177" s="47"/>
      <c r="F177" s="47"/>
      <c r="G177" s="47"/>
      <c r="H177" s="233"/>
      <c r="I177" s="47"/>
    </row>
    <row r="178" spans="1:9" x14ac:dyDescent="0.25">
      <c r="A178" s="291" t="s">
        <v>114</v>
      </c>
      <c r="B178" s="228"/>
      <c r="C178" s="228"/>
      <c r="D178" s="228"/>
      <c r="E178" s="47"/>
      <c r="F178" s="47"/>
      <c r="G178" s="47"/>
      <c r="H178" s="233"/>
      <c r="I178" s="47"/>
    </row>
    <row r="179" spans="1:9" x14ac:dyDescent="0.25">
      <c r="A179" s="6" t="s">
        <v>0</v>
      </c>
      <c r="B179" s="49"/>
      <c r="C179" s="49"/>
      <c r="D179" s="49"/>
      <c r="E179" s="50"/>
      <c r="F179" s="9" t="s">
        <v>115</v>
      </c>
      <c r="G179" s="41" t="s">
        <v>116</v>
      </c>
      <c r="H179" s="10"/>
      <c r="I179" s="47"/>
    </row>
    <row r="180" spans="1:9" x14ac:dyDescent="0.25">
      <c r="A180" s="11" t="s">
        <v>117</v>
      </c>
      <c r="B180" s="51"/>
      <c r="C180" s="51"/>
      <c r="D180" s="51"/>
      <c r="E180" s="52"/>
      <c r="F180" s="53"/>
      <c r="G180" s="14">
        <f>F180*H176</f>
        <v>0</v>
      </c>
      <c r="H180" s="15"/>
      <c r="I180" s="47"/>
    </row>
    <row r="181" spans="1:9" x14ac:dyDescent="0.25">
      <c r="A181" s="11"/>
      <c r="B181" s="51"/>
      <c r="C181" s="51"/>
      <c r="D181" s="51"/>
      <c r="E181" s="52"/>
      <c r="F181" s="53"/>
      <c r="G181" s="14">
        <f>F181*H176</f>
        <v>0</v>
      </c>
      <c r="H181" s="15"/>
      <c r="I181" s="47"/>
    </row>
    <row r="182" spans="1:9" x14ac:dyDescent="0.25">
      <c r="A182" s="11"/>
      <c r="B182" s="51"/>
      <c r="C182" s="51"/>
      <c r="D182" s="51"/>
      <c r="E182" s="52"/>
      <c r="F182" s="53"/>
      <c r="G182" s="14">
        <f>F182*H176</f>
        <v>0</v>
      </c>
      <c r="H182" s="17"/>
      <c r="I182" s="47"/>
    </row>
    <row r="183" spans="1:9" x14ac:dyDescent="0.25">
      <c r="A183" s="4"/>
      <c r="B183" s="4"/>
      <c r="C183" s="4"/>
      <c r="D183" s="4"/>
      <c r="E183" s="46" t="s">
        <v>118</v>
      </c>
      <c r="F183" s="46"/>
      <c r="G183" s="46"/>
      <c r="H183" s="36">
        <f>SUM(G180:G182)</f>
        <v>0</v>
      </c>
      <c r="I183" s="220"/>
    </row>
    <row r="184" spans="1:9" ht="15.75" thickBot="1" x14ac:dyDescent="0.3">
      <c r="A184" s="4"/>
      <c r="B184" s="4"/>
      <c r="C184" s="4"/>
      <c r="D184" s="4"/>
      <c r="E184" s="5"/>
      <c r="F184" s="5"/>
      <c r="G184" s="5"/>
      <c r="H184" s="5"/>
      <c r="I184" s="47"/>
    </row>
    <row r="185" spans="1:9" ht="15.75" thickBot="1" x14ac:dyDescent="0.3">
      <c r="A185" s="4"/>
      <c r="B185" s="4"/>
      <c r="C185" s="4"/>
      <c r="D185" s="4"/>
      <c r="E185" s="54"/>
      <c r="F185" s="54" t="s">
        <v>119</v>
      </c>
      <c r="G185" s="54"/>
      <c r="H185" s="240">
        <f>SUM(H183+H176)</f>
        <v>1171618</v>
      </c>
      <c r="I185" s="112"/>
    </row>
    <row r="186" spans="1:9" x14ac:dyDescent="0.25">
      <c r="A186" s="4"/>
      <c r="B186" s="4"/>
      <c r="C186" s="4"/>
      <c r="D186" s="4"/>
      <c r="E186" s="54"/>
      <c r="F186" s="54"/>
      <c r="G186" s="54"/>
      <c r="H186" s="112"/>
      <c r="I186" s="112"/>
    </row>
    <row r="187" spans="1:9" x14ac:dyDescent="0.25">
      <c r="A187" s="4"/>
      <c r="B187" s="4"/>
      <c r="C187" s="4"/>
      <c r="D187" s="4"/>
      <c r="E187" s="54"/>
      <c r="F187" s="54"/>
      <c r="G187" s="54"/>
      <c r="H187" s="112"/>
      <c r="I187" s="112"/>
    </row>
    <row r="190" spans="1:9" x14ac:dyDescent="0.25">
      <c r="A190" s="412" t="s">
        <v>79</v>
      </c>
      <c r="B190" s="412"/>
      <c r="C190" s="412"/>
      <c r="D190" s="412"/>
      <c r="E190" s="412"/>
      <c r="F190" s="412"/>
      <c r="G190" s="412"/>
      <c r="H190" s="412"/>
      <c r="I190" s="250"/>
    </row>
    <row r="191" spans="1:9" x14ac:dyDescent="0.25">
      <c r="A191" s="4"/>
      <c r="B191" s="4"/>
      <c r="C191" s="4"/>
      <c r="D191" s="4"/>
      <c r="E191" s="5"/>
      <c r="F191" s="5"/>
      <c r="G191" s="411" t="s">
        <v>326</v>
      </c>
      <c r="H191" s="411"/>
      <c r="I191" s="251"/>
    </row>
    <row r="192" spans="1:9" ht="30" customHeight="1" x14ac:dyDescent="0.25">
      <c r="A192" s="410" t="s">
        <v>145</v>
      </c>
      <c r="B192" s="410"/>
      <c r="C192" s="410"/>
      <c r="D192" s="410"/>
      <c r="E192" s="410"/>
      <c r="F192" s="410"/>
      <c r="G192" s="410"/>
      <c r="H192" s="410"/>
      <c r="I192" s="254"/>
    </row>
    <row r="193" spans="1:9" x14ac:dyDescent="0.25">
      <c r="A193" s="4"/>
      <c r="B193" s="4"/>
      <c r="C193" s="4"/>
      <c r="D193" s="4"/>
      <c r="E193" s="5"/>
      <c r="F193" s="5"/>
      <c r="G193" s="414" t="s">
        <v>215</v>
      </c>
      <c r="H193" s="414"/>
      <c r="I193" s="253"/>
    </row>
    <row r="194" spans="1:9" x14ac:dyDescent="0.25">
      <c r="A194" s="4" t="s">
        <v>82</v>
      </c>
      <c r="B194" s="4"/>
      <c r="C194" s="4"/>
      <c r="D194" s="4"/>
      <c r="E194" s="5"/>
      <c r="F194" s="5"/>
      <c r="G194" s="5"/>
      <c r="H194" s="5"/>
      <c r="I194" s="47"/>
    </row>
    <row r="195" spans="1:9" x14ac:dyDescent="0.25">
      <c r="A195" s="6" t="s">
        <v>0</v>
      </c>
      <c r="B195" s="7"/>
      <c r="C195" s="8" t="s">
        <v>83</v>
      </c>
      <c r="D195" s="8" t="s">
        <v>84</v>
      </c>
      <c r="E195" s="9" t="s">
        <v>85</v>
      </c>
      <c r="F195" s="9" t="s">
        <v>86</v>
      </c>
      <c r="G195" s="9" t="s">
        <v>87</v>
      </c>
      <c r="H195" s="10"/>
      <c r="I195" s="47"/>
    </row>
    <row r="196" spans="1:9" x14ac:dyDescent="0.25">
      <c r="A196" s="11" t="s">
        <v>88</v>
      </c>
      <c r="B196" s="12"/>
      <c r="C196" s="13"/>
      <c r="D196" s="13"/>
      <c r="E196" s="14"/>
      <c r="F196" s="14"/>
      <c r="G196" s="14">
        <f>ROUND(H221*0.05,0)+8-16</f>
        <v>31348</v>
      </c>
      <c r="H196" s="15"/>
      <c r="I196" s="47"/>
    </row>
    <row r="197" spans="1:9" x14ac:dyDescent="0.25">
      <c r="A197" s="11" t="s">
        <v>328</v>
      </c>
      <c r="B197" s="12"/>
      <c r="C197" s="13"/>
      <c r="D197" s="13"/>
      <c r="E197" s="14">
        <v>50000</v>
      </c>
      <c r="F197" s="14">
        <v>0.3</v>
      </c>
      <c r="G197" s="14">
        <f>ROUND(E197*F197,0)</f>
        <v>15000</v>
      </c>
      <c r="H197" s="15"/>
      <c r="I197" s="47"/>
    </row>
    <row r="198" spans="1:9" x14ac:dyDescent="0.25">
      <c r="A198" s="11" t="s">
        <v>327</v>
      </c>
      <c r="B198" s="12"/>
      <c r="C198" s="13"/>
      <c r="D198" s="13"/>
      <c r="E198" s="14">
        <v>350000</v>
      </c>
      <c r="F198" s="14">
        <v>0.5</v>
      </c>
      <c r="G198" s="14">
        <f>ROUND(E198*F198,0)</f>
        <v>175000</v>
      </c>
      <c r="H198" s="15"/>
      <c r="I198" s="47"/>
    </row>
    <row r="199" spans="1:9" x14ac:dyDescent="0.25">
      <c r="A199" s="415" t="s">
        <v>142</v>
      </c>
      <c r="B199" s="416"/>
      <c r="C199" s="13"/>
      <c r="D199" s="13"/>
      <c r="E199" s="14"/>
      <c r="F199" s="14"/>
      <c r="G199" s="14">
        <f t="shared" ref="G199:G200" si="5">ROUND(E199*F199,0)</f>
        <v>0</v>
      </c>
      <c r="H199" s="15"/>
      <c r="I199" s="47"/>
    </row>
    <row r="200" spans="1:9" x14ac:dyDescent="0.25">
      <c r="A200" s="415" t="s">
        <v>143</v>
      </c>
      <c r="B200" s="416"/>
      <c r="C200" s="13"/>
      <c r="D200" s="13"/>
      <c r="E200" s="14"/>
      <c r="F200" s="14"/>
      <c r="G200" s="14">
        <f t="shared" si="5"/>
        <v>0</v>
      </c>
      <c r="H200" s="58"/>
      <c r="I200" s="224"/>
    </row>
    <row r="201" spans="1:9" x14ac:dyDescent="0.25">
      <c r="A201" s="18"/>
      <c r="B201" s="19"/>
      <c r="C201" s="19"/>
      <c r="D201" s="19"/>
      <c r="E201" s="20"/>
      <c r="F201" s="21" t="s">
        <v>90</v>
      </c>
      <c r="G201" s="22"/>
      <c r="H201" s="23">
        <f>SUM(G196:G200)</f>
        <v>221348</v>
      </c>
      <c r="I201" s="220"/>
    </row>
    <row r="202" spans="1:9" x14ac:dyDescent="0.25">
      <c r="A202" s="291" t="s">
        <v>91</v>
      </c>
      <c r="B202" s="228"/>
      <c r="C202" s="228"/>
      <c r="D202" s="228"/>
      <c r="E202" s="47"/>
      <c r="F202" s="47"/>
      <c r="G202" s="47"/>
      <c r="H202" s="233"/>
      <c r="I202" s="47"/>
    </row>
    <row r="203" spans="1:9" x14ac:dyDescent="0.25">
      <c r="A203" s="24" t="s">
        <v>0</v>
      </c>
      <c r="B203" s="24"/>
      <c r="C203" s="8" t="s">
        <v>92</v>
      </c>
      <c r="D203" s="8" t="s">
        <v>93</v>
      </c>
      <c r="E203" s="9" t="s">
        <v>94</v>
      </c>
      <c r="F203" s="9" t="s">
        <v>95</v>
      </c>
      <c r="G203" s="25" t="s">
        <v>96</v>
      </c>
      <c r="H203" s="10"/>
      <c r="I203" s="47"/>
    </row>
    <row r="204" spans="1:9" x14ac:dyDescent="0.25">
      <c r="A204" s="419" t="s">
        <v>135</v>
      </c>
      <c r="B204" s="419"/>
      <c r="C204" s="28" t="s">
        <v>18</v>
      </c>
      <c r="D204" s="29">
        <v>0.05</v>
      </c>
      <c r="E204" s="30">
        <v>1</v>
      </c>
      <c r="F204" s="14">
        <v>15000</v>
      </c>
      <c r="G204" s="14">
        <f t="shared" ref="G204:G212" si="6">ROUND(E204*F204,0)</f>
        <v>15000</v>
      </c>
      <c r="H204" s="15"/>
      <c r="I204" s="47"/>
    </row>
    <row r="205" spans="1:9" x14ac:dyDescent="0.25">
      <c r="A205" s="419" t="s">
        <v>136</v>
      </c>
      <c r="B205" s="419"/>
      <c r="C205" s="28" t="s">
        <v>18</v>
      </c>
      <c r="D205" s="31"/>
      <c r="E205" s="30">
        <v>1</v>
      </c>
      <c r="F205" s="14">
        <v>20000</v>
      </c>
      <c r="G205" s="14">
        <f t="shared" si="6"/>
        <v>20000</v>
      </c>
      <c r="H205" s="15"/>
      <c r="I205" s="47"/>
    </row>
    <row r="206" spans="1:9" x14ac:dyDescent="0.25">
      <c r="A206" s="419"/>
      <c r="B206" s="419"/>
      <c r="C206" s="28"/>
      <c r="D206" s="29"/>
      <c r="E206" s="30"/>
      <c r="F206" s="14"/>
      <c r="G206" s="14">
        <f t="shared" si="6"/>
        <v>0</v>
      </c>
      <c r="H206" s="15"/>
      <c r="I206" s="47"/>
    </row>
    <row r="207" spans="1:9" x14ac:dyDescent="0.25">
      <c r="A207" s="419"/>
      <c r="B207" s="419"/>
      <c r="C207" s="28"/>
      <c r="D207" s="31"/>
      <c r="E207" s="30"/>
      <c r="F207" s="14"/>
      <c r="G207" s="14">
        <f t="shared" si="6"/>
        <v>0</v>
      </c>
      <c r="H207" s="15"/>
      <c r="I207" s="47"/>
    </row>
    <row r="208" spans="1:9" x14ac:dyDescent="0.25">
      <c r="A208" s="419"/>
      <c r="B208" s="419"/>
      <c r="C208" s="28"/>
      <c r="D208" s="34"/>
      <c r="E208" s="30"/>
      <c r="F208" s="14"/>
      <c r="G208" s="14">
        <f t="shared" si="6"/>
        <v>0</v>
      </c>
      <c r="H208" s="15"/>
      <c r="I208" s="47"/>
    </row>
    <row r="209" spans="1:9" x14ac:dyDescent="0.25">
      <c r="A209" s="419"/>
      <c r="B209" s="419"/>
      <c r="C209" s="28"/>
      <c r="D209" s="31"/>
      <c r="E209" s="30"/>
      <c r="F209" s="14"/>
      <c r="G209" s="14">
        <f t="shared" si="6"/>
        <v>0</v>
      </c>
      <c r="H209" s="15"/>
      <c r="I209" s="47"/>
    </row>
    <row r="210" spans="1:9" x14ac:dyDescent="0.25">
      <c r="A210" s="11"/>
      <c r="B210" s="12"/>
      <c r="C210" s="35"/>
      <c r="D210" s="34"/>
      <c r="E210" s="30"/>
      <c r="F210" s="14"/>
      <c r="G210" s="14">
        <f t="shared" si="6"/>
        <v>0</v>
      </c>
      <c r="H210" s="15"/>
      <c r="I210" s="47"/>
    </row>
    <row r="211" spans="1:9" x14ac:dyDescent="0.25">
      <c r="A211" s="26"/>
      <c r="B211" s="12"/>
      <c r="C211" s="35"/>
      <c r="D211" s="31"/>
      <c r="E211" s="30"/>
      <c r="F211" s="14"/>
      <c r="G211" s="14">
        <f t="shared" si="6"/>
        <v>0</v>
      </c>
      <c r="H211" s="15"/>
      <c r="I211" s="47"/>
    </row>
    <row r="212" spans="1:9" x14ac:dyDescent="0.25">
      <c r="A212" s="11"/>
      <c r="B212" s="12"/>
      <c r="C212" s="35"/>
      <c r="D212" s="31"/>
      <c r="E212" s="30"/>
      <c r="F212" s="14"/>
      <c r="G212" s="14">
        <f t="shared" si="6"/>
        <v>0</v>
      </c>
      <c r="H212" s="17"/>
      <c r="I212" s="47"/>
    </row>
    <row r="213" spans="1:9" x14ac:dyDescent="0.25">
      <c r="A213" s="291"/>
      <c r="B213" s="228"/>
      <c r="C213" s="228"/>
      <c r="D213" s="228"/>
      <c r="E213" s="36"/>
      <c r="F213" s="37" t="s">
        <v>102</v>
      </c>
      <c r="G213" s="38"/>
      <c r="H213" s="23">
        <f>SUM(G204:G212)</f>
        <v>35000</v>
      </c>
      <c r="I213" s="220"/>
    </row>
    <row r="214" spans="1:9" x14ac:dyDescent="0.25">
      <c r="A214" s="291"/>
      <c r="B214" s="228"/>
      <c r="C214" s="228"/>
      <c r="D214" s="228"/>
      <c r="E214" s="36"/>
      <c r="F214" s="39" t="s">
        <v>103</v>
      </c>
      <c r="G214" s="38"/>
      <c r="H214" s="23">
        <f>ROUND((D204*G204)+(D205*G205)+(D206*G206)+(D207*G207)+(D208*G208)+(D209*G209)+(D210*G210)+(D211*G211)+(D212*G212),0)</f>
        <v>750</v>
      </c>
      <c r="I214" s="220"/>
    </row>
    <row r="215" spans="1:9" x14ac:dyDescent="0.25">
      <c r="A215" s="291"/>
      <c r="B215" s="228"/>
      <c r="C215" s="228"/>
      <c r="D215" s="228"/>
      <c r="E215" s="36"/>
      <c r="F215" s="20" t="s">
        <v>104</v>
      </c>
      <c r="G215" s="40"/>
      <c r="H215" s="23">
        <f>SUM(H213:H214)</f>
        <v>35750</v>
      </c>
      <c r="I215" s="220"/>
    </row>
    <row r="216" spans="1:9" x14ac:dyDescent="0.25">
      <c r="A216" s="291" t="s">
        <v>105</v>
      </c>
      <c r="B216" s="228"/>
      <c r="C216" s="228"/>
      <c r="D216" s="228"/>
      <c r="E216" s="47"/>
      <c r="F216" s="47"/>
      <c r="G216" s="47"/>
      <c r="H216" s="233"/>
      <c r="I216" s="47"/>
    </row>
    <row r="217" spans="1:9" x14ac:dyDescent="0.25">
      <c r="A217" s="24" t="s">
        <v>0</v>
      </c>
      <c r="B217" s="24"/>
      <c r="C217" s="8" t="s">
        <v>106</v>
      </c>
      <c r="D217" s="8" t="s">
        <v>107</v>
      </c>
      <c r="E217" s="9" t="s">
        <v>108</v>
      </c>
      <c r="F217" s="9" t="s">
        <v>109</v>
      </c>
      <c r="G217" s="41" t="s">
        <v>96</v>
      </c>
      <c r="H217" s="10"/>
      <c r="I217" s="47"/>
    </row>
    <row r="218" spans="1:9" x14ac:dyDescent="0.25">
      <c r="A218" s="18" t="s">
        <v>110</v>
      </c>
      <c r="B218" s="42"/>
      <c r="C218" s="13">
        <f>104000+26000</f>
        <v>130000</v>
      </c>
      <c r="D218" s="13">
        <f>+C218*0.16</f>
        <v>20800</v>
      </c>
      <c r="E218" s="14">
        <f>C218+D218</f>
        <v>150800</v>
      </c>
      <c r="F218" s="30">
        <v>2.5</v>
      </c>
      <c r="G218" s="14">
        <f>ROUND(E218*F218,0)</f>
        <v>377000</v>
      </c>
      <c r="H218" s="15"/>
      <c r="I218" s="47"/>
    </row>
    <row r="219" spans="1:9" x14ac:dyDescent="0.25">
      <c r="A219" s="18" t="s">
        <v>111</v>
      </c>
      <c r="B219" s="42"/>
      <c r="C219" s="13">
        <f>60400+25850</f>
        <v>86250</v>
      </c>
      <c r="D219" s="13">
        <f>+C219*0.16</f>
        <v>13800</v>
      </c>
      <c r="E219" s="14">
        <f>C219+D219</f>
        <v>100050</v>
      </c>
      <c r="F219" s="30">
        <v>2.5</v>
      </c>
      <c r="G219" s="14">
        <f>ROUND(E219*F219,0)</f>
        <v>250125</v>
      </c>
      <c r="H219" s="15"/>
      <c r="I219" s="47"/>
    </row>
    <row r="220" spans="1:9" x14ac:dyDescent="0.25">
      <c r="A220" s="18"/>
      <c r="B220" s="42"/>
      <c r="C220" s="43"/>
      <c r="D220" s="43"/>
      <c r="E220" s="44">
        <f>C220+D220</f>
        <v>0</v>
      </c>
      <c r="F220" s="45"/>
      <c r="G220" s="14">
        <f>ROUND(E220*F220,0)</f>
        <v>0</v>
      </c>
      <c r="H220" s="15"/>
      <c r="I220" s="47"/>
    </row>
    <row r="221" spans="1:9" x14ac:dyDescent="0.25">
      <c r="A221" s="291"/>
      <c r="B221" s="228"/>
      <c r="C221" s="228"/>
      <c r="D221" s="228"/>
      <c r="E221" s="277" t="s">
        <v>112</v>
      </c>
      <c r="F221" s="277"/>
      <c r="G221" s="277"/>
      <c r="H221" s="82">
        <f>SUM(G218:G220)</f>
        <v>627125</v>
      </c>
      <c r="I221" s="221"/>
    </row>
    <row r="222" spans="1:9" x14ac:dyDescent="0.25">
      <c r="A222" s="291"/>
      <c r="B222" s="228"/>
      <c r="C222" s="228"/>
      <c r="D222" s="228"/>
      <c r="E222" s="47"/>
      <c r="F222" s="47"/>
      <c r="G222" s="47"/>
      <c r="H222" s="233"/>
      <c r="I222" s="47"/>
    </row>
    <row r="223" spans="1:9" x14ac:dyDescent="0.25">
      <c r="A223" s="18"/>
      <c r="B223" s="19"/>
      <c r="C223" s="19"/>
      <c r="D223" s="19"/>
      <c r="E223" s="48" t="s">
        <v>113</v>
      </c>
      <c r="F223" s="48"/>
      <c r="G223" s="48"/>
      <c r="H223" s="25">
        <f>H221+H215+H201</f>
        <v>884223</v>
      </c>
      <c r="I223" s="222"/>
    </row>
    <row r="224" spans="1:9" x14ac:dyDescent="0.25">
      <c r="A224" s="291"/>
      <c r="B224" s="228"/>
      <c r="C224" s="228"/>
      <c r="D224" s="228"/>
      <c r="E224" s="47"/>
      <c r="F224" s="47"/>
      <c r="G224" s="47"/>
      <c r="H224" s="233"/>
      <c r="I224" s="47"/>
    </row>
    <row r="225" spans="1:9" x14ac:dyDescent="0.25">
      <c r="A225" s="291" t="s">
        <v>114</v>
      </c>
      <c r="B225" s="228"/>
      <c r="C225" s="228"/>
      <c r="D225" s="228"/>
      <c r="E225" s="47"/>
      <c r="F225" s="47"/>
      <c r="G225" s="47"/>
      <c r="H225" s="233"/>
      <c r="I225" s="47"/>
    </row>
    <row r="226" spans="1:9" x14ac:dyDescent="0.25">
      <c r="A226" s="6" t="s">
        <v>0</v>
      </c>
      <c r="B226" s="49"/>
      <c r="C226" s="49"/>
      <c r="D226" s="49"/>
      <c r="E226" s="50"/>
      <c r="F226" s="9" t="s">
        <v>115</v>
      </c>
      <c r="G226" s="41" t="s">
        <v>116</v>
      </c>
      <c r="H226" s="10"/>
      <c r="I226" s="47"/>
    </row>
    <row r="227" spans="1:9" x14ac:dyDescent="0.25">
      <c r="A227" s="11" t="s">
        <v>117</v>
      </c>
      <c r="B227" s="51"/>
      <c r="C227" s="51"/>
      <c r="D227" s="51"/>
      <c r="E227" s="52"/>
      <c r="F227" s="53"/>
      <c r="G227" s="14">
        <f>F227*H223</f>
        <v>0</v>
      </c>
      <c r="H227" s="15"/>
      <c r="I227" s="47"/>
    </row>
    <row r="228" spans="1:9" x14ac:dyDescent="0.25">
      <c r="A228" s="11"/>
      <c r="B228" s="51"/>
      <c r="C228" s="51"/>
      <c r="D228" s="51"/>
      <c r="E228" s="52"/>
      <c r="F228" s="53"/>
      <c r="G228" s="14">
        <f>F228*H223</f>
        <v>0</v>
      </c>
      <c r="H228" s="15"/>
      <c r="I228" s="47"/>
    </row>
    <row r="229" spans="1:9" x14ac:dyDescent="0.25">
      <c r="A229" s="11"/>
      <c r="B229" s="51"/>
      <c r="C229" s="51"/>
      <c r="D229" s="51"/>
      <c r="E229" s="52"/>
      <c r="F229" s="53"/>
      <c r="G229" s="14">
        <f>F229*H223</f>
        <v>0</v>
      </c>
      <c r="H229" s="17"/>
      <c r="I229" s="47"/>
    </row>
    <row r="230" spans="1:9" x14ac:dyDescent="0.25">
      <c r="A230" s="4"/>
      <c r="B230" s="4"/>
      <c r="C230" s="4"/>
      <c r="D230" s="4"/>
      <c r="E230" s="46" t="s">
        <v>118</v>
      </c>
      <c r="F230" s="46"/>
      <c r="G230" s="46"/>
      <c r="H230" s="36">
        <f>SUM(G227:G229)</f>
        <v>0</v>
      </c>
      <c r="I230" s="220"/>
    </row>
    <row r="231" spans="1:9" ht="15.75" thickBot="1" x14ac:dyDescent="0.3">
      <c r="A231" s="4"/>
      <c r="B231" s="4"/>
      <c r="C231" s="4"/>
      <c r="D231" s="4"/>
      <c r="E231" s="5"/>
      <c r="F231" s="5"/>
      <c r="G231" s="5"/>
      <c r="H231" s="5"/>
      <c r="I231" s="47"/>
    </row>
    <row r="232" spans="1:9" ht="15.75" thickBot="1" x14ac:dyDescent="0.3">
      <c r="A232" s="4"/>
      <c r="B232" s="4"/>
      <c r="C232" s="4"/>
      <c r="D232" s="4"/>
      <c r="E232" s="54"/>
      <c r="F232" s="54" t="s">
        <v>119</v>
      </c>
      <c r="G232" s="54"/>
      <c r="H232" s="240">
        <f>SUM(H230+H223)</f>
        <v>884223</v>
      </c>
      <c r="I232" s="112"/>
    </row>
    <row r="233" spans="1:9" x14ac:dyDescent="0.25">
      <c r="A233" s="4"/>
      <c r="B233" s="4"/>
      <c r="C233" s="4"/>
      <c r="D233" s="4"/>
      <c r="E233" s="54"/>
      <c r="F233" s="54"/>
      <c r="G233" s="54"/>
      <c r="H233" s="112"/>
      <c r="I233" s="112"/>
    </row>
    <row r="234" spans="1:9" x14ac:dyDescent="0.25">
      <c r="A234" s="4"/>
      <c r="B234" s="4"/>
      <c r="C234" s="4"/>
      <c r="D234" s="4"/>
      <c r="E234" s="54"/>
      <c r="F234" s="54"/>
      <c r="G234" s="54"/>
      <c r="H234" s="112"/>
      <c r="I234" s="112"/>
    </row>
    <row r="235" spans="1:9" x14ac:dyDescent="0.25">
      <c r="A235" s="4"/>
      <c r="B235" s="4"/>
      <c r="C235" s="4"/>
      <c r="D235" s="4"/>
      <c r="E235" s="54"/>
      <c r="F235" s="54"/>
      <c r="G235" s="54"/>
      <c r="H235" s="112"/>
      <c r="I235" s="112"/>
    </row>
    <row r="236" spans="1:9" x14ac:dyDescent="0.25">
      <c r="A236" s="4"/>
      <c r="B236" s="4"/>
      <c r="C236" s="4"/>
      <c r="D236" s="4"/>
      <c r="E236" s="54"/>
      <c r="F236" s="54"/>
      <c r="G236" s="54"/>
      <c r="H236" s="112"/>
      <c r="I236" s="112"/>
    </row>
    <row r="239" spans="1:9" x14ac:dyDescent="0.25">
      <c r="A239" s="412" t="s">
        <v>79</v>
      </c>
      <c r="B239" s="412"/>
      <c r="C239" s="412"/>
      <c r="D239" s="412"/>
      <c r="E239" s="412"/>
      <c r="F239" s="412"/>
      <c r="G239" s="412"/>
      <c r="H239" s="412"/>
      <c r="I239" s="250"/>
    </row>
    <row r="240" spans="1:9" x14ac:dyDescent="0.25">
      <c r="A240" s="4"/>
      <c r="B240" s="4"/>
      <c r="C240" s="4"/>
      <c r="D240" s="4"/>
      <c r="E240" s="5"/>
      <c r="F240" s="5"/>
      <c r="G240" s="411" t="s">
        <v>326</v>
      </c>
      <c r="H240" s="411"/>
      <c r="I240" s="251"/>
    </row>
    <row r="241" spans="1:9" ht="30" customHeight="1" x14ac:dyDescent="0.25">
      <c r="A241" s="410" t="s">
        <v>146</v>
      </c>
      <c r="B241" s="410"/>
      <c r="C241" s="410"/>
      <c r="D241" s="410"/>
      <c r="E241" s="410"/>
      <c r="F241" s="410"/>
      <c r="G241" s="410"/>
      <c r="H241" s="410"/>
      <c r="I241" s="254"/>
    </row>
    <row r="242" spans="1:9" x14ac:dyDescent="0.25">
      <c r="A242" s="4"/>
      <c r="B242" s="4"/>
      <c r="C242" s="4"/>
      <c r="D242" s="4"/>
      <c r="E242" s="5"/>
      <c r="F242" s="5"/>
      <c r="G242" s="414" t="s">
        <v>130</v>
      </c>
      <c r="H242" s="414"/>
      <c r="I242" s="253"/>
    </row>
    <row r="243" spans="1:9" x14ac:dyDescent="0.25">
      <c r="A243" s="4" t="s">
        <v>82</v>
      </c>
      <c r="B243" s="4"/>
      <c r="C243" s="4"/>
      <c r="D243" s="4"/>
      <c r="E243" s="5"/>
      <c r="F243" s="5"/>
      <c r="G243" s="5"/>
      <c r="H243" s="5"/>
      <c r="I243" s="47"/>
    </row>
    <row r="244" spans="1:9" x14ac:dyDescent="0.25">
      <c r="A244" s="6" t="s">
        <v>0</v>
      </c>
      <c r="B244" s="7"/>
      <c r="C244" s="8" t="s">
        <v>83</v>
      </c>
      <c r="D244" s="8" t="s">
        <v>84</v>
      </c>
      <c r="E244" s="9" t="s">
        <v>85</v>
      </c>
      <c r="F244" s="9" t="s">
        <v>86</v>
      </c>
      <c r="G244" s="9" t="s">
        <v>87</v>
      </c>
      <c r="H244" s="10"/>
      <c r="I244" s="47"/>
    </row>
    <row r="245" spans="1:9" x14ac:dyDescent="0.25">
      <c r="A245" s="11" t="s">
        <v>88</v>
      </c>
      <c r="B245" s="12"/>
      <c r="C245" s="13"/>
      <c r="D245" s="13"/>
      <c r="E245" s="14"/>
      <c r="F245" s="14"/>
      <c r="G245" s="14">
        <f>ROUND(H269*0.05,0)+8-16</f>
        <v>16798</v>
      </c>
      <c r="H245" s="15"/>
      <c r="I245" s="47"/>
    </row>
    <row r="246" spans="1:9" x14ac:dyDescent="0.25">
      <c r="A246" s="11" t="s">
        <v>327</v>
      </c>
      <c r="B246" s="12"/>
      <c r="C246" s="13"/>
      <c r="D246" s="13"/>
      <c r="E246" s="14">
        <v>350000</v>
      </c>
      <c r="F246" s="14">
        <v>0.3</v>
      </c>
      <c r="G246" s="14">
        <f>ROUND(E246*F246,0)</f>
        <v>105000</v>
      </c>
      <c r="H246" s="15"/>
      <c r="I246" s="47"/>
    </row>
    <row r="247" spans="1:9" x14ac:dyDescent="0.25">
      <c r="A247" s="415" t="s">
        <v>328</v>
      </c>
      <c r="B247" s="416"/>
      <c r="C247" s="13"/>
      <c r="D247" s="13"/>
      <c r="E247" s="14">
        <v>50000</v>
      </c>
      <c r="F247" s="14">
        <v>0.1</v>
      </c>
      <c r="G247" s="14">
        <f t="shared" ref="G247:G248" si="7">ROUND(E247*F247,0)</f>
        <v>5000</v>
      </c>
      <c r="H247" s="15"/>
      <c r="I247" s="47"/>
    </row>
    <row r="248" spans="1:9" x14ac:dyDescent="0.25">
      <c r="A248" s="415"/>
      <c r="B248" s="416"/>
      <c r="C248" s="13"/>
      <c r="D248" s="13"/>
      <c r="E248" s="14"/>
      <c r="F248" s="14"/>
      <c r="G248" s="14">
        <f t="shared" si="7"/>
        <v>0</v>
      </c>
      <c r="H248" s="58"/>
      <c r="I248" s="224"/>
    </row>
    <row r="249" spans="1:9" x14ac:dyDescent="0.25">
      <c r="A249" s="18"/>
      <c r="B249" s="19"/>
      <c r="C249" s="19"/>
      <c r="D249" s="19"/>
      <c r="E249" s="20"/>
      <c r="F249" s="21" t="s">
        <v>90</v>
      </c>
      <c r="G249" s="22"/>
      <c r="H249" s="23">
        <f>SUM(G245:G248)</f>
        <v>126798</v>
      </c>
      <c r="I249" s="220"/>
    </row>
    <row r="250" spans="1:9" x14ac:dyDescent="0.25">
      <c r="A250" s="291" t="s">
        <v>91</v>
      </c>
      <c r="B250" s="228"/>
      <c r="C250" s="228"/>
      <c r="D250" s="228"/>
      <c r="E250" s="47"/>
      <c r="F250" s="47"/>
      <c r="G250" s="47"/>
      <c r="H250" s="233"/>
      <c r="I250" s="47"/>
    </row>
    <row r="251" spans="1:9" x14ac:dyDescent="0.25">
      <c r="A251" s="24" t="s">
        <v>0</v>
      </c>
      <c r="B251" s="24"/>
      <c r="C251" s="8" t="s">
        <v>92</v>
      </c>
      <c r="D251" s="8" t="s">
        <v>93</v>
      </c>
      <c r="E251" s="9" t="s">
        <v>94</v>
      </c>
      <c r="F251" s="9" t="s">
        <v>95</v>
      </c>
      <c r="G251" s="25" t="s">
        <v>96</v>
      </c>
      <c r="H251" s="10"/>
      <c r="I251" s="47"/>
    </row>
    <row r="252" spans="1:9" x14ac:dyDescent="0.25">
      <c r="A252" s="419" t="s">
        <v>147</v>
      </c>
      <c r="B252" s="419"/>
      <c r="C252" s="28" t="s">
        <v>148</v>
      </c>
      <c r="D252" s="29">
        <v>0.05</v>
      </c>
      <c r="E252" s="30">
        <v>1</v>
      </c>
      <c r="F252" s="14">
        <v>19000</v>
      </c>
      <c r="G252" s="14">
        <f t="shared" ref="G252:G260" si="8">ROUND(E252*F252,0)</f>
        <v>19000</v>
      </c>
      <c r="H252" s="15"/>
      <c r="I252" s="47"/>
    </row>
    <row r="253" spans="1:9" x14ac:dyDescent="0.25">
      <c r="A253" s="419"/>
      <c r="B253" s="419"/>
      <c r="C253" s="28"/>
      <c r="D253" s="31"/>
      <c r="E253" s="30"/>
      <c r="F253" s="14"/>
      <c r="G253" s="14">
        <f t="shared" si="8"/>
        <v>0</v>
      </c>
      <c r="H253" s="15"/>
      <c r="I253" s="47"/>
    </row>
    <row r="254" spans="1:9" x14ac:dyDescent="0.25">
      <c r="A254" s="419"/>
      <c r="B254" s="419"/>
      <c r="C254" s="28"/>
      <c r="D254" s="29"/>
      <c r="E254" s="30"/>
      <c r="F254" s="14"/>
      <c r="G254" s="14">
        <f t="shared" si="8"/>
        <v>0</v>
      </c>
      <c r="H254" s="15"/>
      <c r="I254" s="47"/>
    </row>
    <row r="255" spans="1:9" x14ac:dyDescent="0.25">
      <c r="A255" s="419"/>
      <c r="B255" s="419"/>
      <c r="C255" s="28"/>
      <c r="D255" s="31"/>
      <c r="E255" s="30"/>
      <c r="F255" s="14"/>
      <c r="G255" s="14">
        <f t="shared" si="8"/>
        <v>0</v>
      </c>
      <c r="H255" s="15"/>
      <c r="I255" s="47"/>
    </row>
    <row r="256" spans="1:9" x14ac:dyDescent="0.25">
      <c r="A256" s="419"/>
      <c r="B256" s="419"/>
      <c r="C256" s="28"/>
      <c r="D256" s="34"/>
      <c r="E256" s="30"/>
      <c r="F256" s="14"/>
      <c r="G256" s="14">
        <f t="shared" si="8"/>
        <v>0</v>
      </c>
      <c r="H256" s="15"/>
      <c r="I256" s="47"/>
    </row>
    <row r="257" spans="1:9" x14ac:dyDescent="0.25">
      <c r="A257" s="419"/>
      <c r="B257" s="419"/>
      <c r="C257" s="28"/>
      <c r="D257" s="31"/>
      <c r="E257" s="30"/>
      <c r="F257" s="14"/>
      <c r="G257" s="14">
        <f t="shared" si="8"/>
        <v>0</v>
      </c>
      <c r="H257" s="15"/>
      <c r="I257" s="47"/>
    </row>
    <row r="258" spans="1:9" x14ac:dyDescent="0.25">
      <c r="A258" s="11"/>
      <c r="B258" s="12"/>
      <c r="C258" s="35"/>
      <c r="D258" s="34"/>
      <c r="E258" s="30"/>
      <c r="F258" s="14"/>
      <c r="G258" s="14">
        <f t="shared" si="8"/>
        <v>0</v>
      </c>
      <c r="H258" s="15"/>
      <c r="I258" s="47"/>
    </row>
    <row r="259" spans="1:9" x14ac:dyDescent="0.25">
      <c r="A259" s="26"/>
      <c r="B259" s="12"/>
      <c r="C259" s="35"/>
      <c r="D259" s="31"/>
      <c r="E259" s="30"/>
      <c r="F259" s="14"/>
      <c r="G259" s="14">
        <f t="shared" si="8"/>
        <v>0</v>
      </c>
      <c r="H259" s="15"/>
      <c r="I259" s="47"/>
    </row>
    <row r="260" spans="1:9" x14ac:dyDescent="0.25">
      <c r="A260" s="11"/>
      <c r="B260" s="12"/>
      <c r="C260" s="35"/>
      <c r="D260" s="31"/>
      <c r="E260" s="30"/>
      <c r="F260" s="14"/>
      <c r="G260" s="14">
        <f t="shared" si="8"/>
        <v>0</v>
      </c>
      <c r="H260" s="17"/>
      <c r="I260" s="47"/>
    </row>
    <row r="261" spans="1:9" x14ac:dyDescent="0.25">
      <c r="A261" s="291"/>
      <c r="B261" s="228"/>
      <c r="C261" s="228"/>
      <c r="D261" s="228"/>
      <c r="E261" s="36"/>
      <c r="F261" s="37" t="s">
        <v>102</v>
      </c>
      <c r="G261" s="38"/>
      <c r="H261" s="23">
        <f>SUM(G252:G260)</f>
        <v>19000</v>
      </c>
      <c r="I261" s="220"/>
    </row>
    <row r="262" spans="1:9" x14ac:dyDescent="0.25">
      <c r="A262" s="291"/>
      <c r="B262" s="228"/>
      <c r="C262" s="228"/>
      <c r="D262" s="228"/>
      <c r="E262" s="36"/>
      <c r="F262" s="39" t="s">
        <v>103</v>
      </c>
      <c r="G262" s="38"/>
      <c r="H262" s="23">
        <f>ROUND((D252*G252)+(D253*G253)+(D254*G254)+(D255*G255)+(D256*G256)+(D257*G257)+(D258*G258)+(D259*G259)+(D260*G260),0)</f>
        <v>950</v>
      </c>
      <c r="I262" s="220"/>
    </row>
    <row r="263" spans="1:9" x14ac:dyDescent="0.25">
      <c r="A263" s="291"/>
      <c r="B263" s="228"/>
      <c r="C263" s="228"/>
      <c r="D263" s="228"/>
      <c r="E263" s="36"/>
      <c r="F263" s="20" t="s">
        <v>104</v>
      </c>
      <c r="G263" s="40"/>
      <c r="H263" s="23">
        <f>SUM(H261:H262)</f>
        <v>19950</v>
      </c>
      <c r="I263" s="220"/>
    </row>
    <row r="264" spans="1:9" x14ac:dyDescent="0.25">
      <c r="A264" s="291" t="s">
        <v>105</v>
      </c>
      <c r="B264" s="228"/>
      <c r="C264" s="228"/>
      <c r="D264" s="228"/>
      <c r="E264" s="47"/>
      <c r="F264" s="47"/>
      <c r="G264" s="47"/>
      <c r="H264" s="233"/>
      <c r="I264" s="47"/>
    </row>
    <row r="265" spans="1:9" x14ac:dyDescent="0.25">
      <c r="A265" s="24" t="s">
        <v>0</v>
      </c>
      <c r="B265" s="24"/>
      <c r="C265" s="8" t="s">
        <v>106</v>
      </c>
      <c r="D265" s="8" t="s">
        <v>107</v>
      </c>
      <c r="E265" s="9" t="s">
        <v>108</v>
      </c>
      <c r="F265" s="9" t="s">
        <v>109</v>
      </c>
      <c r="G265" s="41" t="s">
        <v>96</v>
      </c>
      <c r="H265" s="10"/>
      <c r="I265" s="47"/>
    </row>
    <row r="266" spans="1:9" x14ac:dyDescent="0.25">
      <c r="A266" s="18" t="s">
        <v>110</v>
      </c>
      <c r="B266" s="42"/>
      <c r="C266" s="13">
        <f>104000+26000</f>
        <v>130000</v>
      </c>
      <c r="D266" s="13">
        <f>+C266*0.16</f>
        <v>20800</v>
      </c>
      <c r="E266" s="14">
        <f>C266+D266</f>
        <v>150800</v>
      </c>
      <c r="F266" s="30">
        <v>1.3</v>
      </c>
      <c r="G266" s="14">
        <f>ROUND(E266*F266,0)</f>
        <v>196040</v>
      </c>
      <c r="H266" s="15"/>
      <c r="I266" s="47"/>
    </row>
    <row r="267" spans="1:9" x14ac:dyDescent="0.25">
      <c r="A267" s="18" t="s">
        <v>111</v>
      </c>
      <c r="B267" s="42"/>
      <c r="C267" s="13">
        <f>60400+25850</f>
        <v>86250</v>
      </c>
      <c r="D267" s="13">
        <f>+C267*0.16</f>
        <v>13800</v>
      </c>
      <c r="E267" s="14">
        <f>C267+D267</f>
        <v>100050</v>
      </c>
      <c r="F267" s="30">
        <v>1.4</v>
      </c>
      <c r="G267" s="14">
        <f>ROUND(E267*F267,0)</f>
        <v>140070</v>
      </c>
      <c r="H267" s="15"/>
      <c r="I267" s="47"/>
    </row>
    <row r="268" spans="1:9" x14ac:dyDescent="0.25">
      <c r="A268" s="18"/>
      <c r="B268" s="42"/>
      <c r="C268" s="43"/>
      <c r="D268" s="43"/>
      <c r="E268" s="44">
        <f>C268+D268</f>
        <v>0</v>
      </c>
      <c r="F268" s="45"/>
      <c r="G268" s="14">
        <f>ROUND(E268*F268,0)</f>
        <v>0</v>
      </c>
      <c r="H268" s="15"/>
      <c r="I268" s="47"/>
    </row>
    <row r="269" spans="1:9" x14ac:dyDescent="0.25">
      <c r="A269" s="291"/>
      <c r="B269" s="228"/>
      <c r="C269" s="228"/>
      <c r="D269" s="228"/>
      <c r="E269" s="277" t="s">
        <v>112</v>
      </c>
      <c r="F269" s="277"/>
      <c r="G269" s="277"/>
      <c r="H269" s="82">
        <f>SUM(G266:G268)</f>
        <v>336110</v>
      </c>
      <c r="I269" s="221"/>
    </row>
    <row r="270" spans="1:9" x14ac:dyDescent="0.25">
      <c r="A270" s="291"/>
      <c r="B270" s="228"/>
      <c r="C270" s="228"/>
      <c r="D270" s="228"/>
      <c r="E270" s="47"/>
      <c r="F270" s="47"/>
      <c r="G270" s="47"/>
      <c r="H270" s="233"/>
      <c r="I270" s="47"/>
    </row>
    <row r="271" spans="1:9" x14ac:dyDescent="0.25">
      <c r="A271" s="18"/>
      <c r="B271" s="19"/>
      <c r="C271" s="19"/>
      <c r="D271" s="19"/>
      <c r="E271" s="48" t="s">
        <v>113</v>
      </c>
      <c r="F271" s="48"/>
      <c r="G271" s="48"/>
      <c r="H271" s="25">
        <f>H269+H263+H249</f>
        <v>482858</v>
      </c>
      <c r="I271" s="222"/>
    </row>
    <row r="272" spans="1:9" x14ac:dyDescent="0.25">
      <c r="A272" s="291"/>
      <c r="B272" s="228"/>
      <c r="C272" s="228"/>
      <c r="D272" s="228"/>
      <c r="E272" s="47"/>
      <c r="F272" s="47"/>
      <c r="G272" s="47"/>
      <c r="H272" s="233"/>
      <c r="I272" s="47"/>
    </row>
    <row r="273" spans="1:9" x14ac:dyDescent="0.25">
      <c r="A273" s="291" t="s">
        <v>114</v>
      </c>
      <c r="B273" s="228"/>
      <c r="C273" s="228"/>
      <c r="D273" s="228"/>
      <c r="E273" s="47"/>
      <c r="F273" s="47"/>
      <c r="G273" s="47"/>
      <c r="H273" s="233"/>
      <c r="I273" s="47"/>
    </row>
    <row r="274" spans="1:9" x14ac:dyDescent="0.25">
      <c r="A274" s="6" t="s">
        <v>0</v>
      </c>
      <c r="B274" s="49"/>
      <c r="C274" s="49"/>
      <c r="D274" s="49"/>
      <c r="E274" s="50"/>
      <c r="F274" s="9" t="s">
        <v>115</v>
      </c>
      <c r="G274" s="41" t="s">
        <v>116</v>
      </c>
      <c r="H274" s="10"/>
      <c r="I274" s="47"/>
    </row>
    <row r="275" spans="1:9" x14ac:dyDescent="0.25">
      <c r="A275" s="11" t="s">
        <v>117</v>
      </c>
      <c r="B275" s="51"/>
      <c r="C275" s="51"/>
      <c r="D275" s="51"/>
      <c r="E275" s="52"/>
      <c r="F275" s="53"/>
      <c r="G275" s="14">
        <f>F275*H271</f>
        <v>0</v>
      </c>
      <c r="H275" s="15"/>
      <c r="I275" s="47"/>
    </row>
    <row r="276" spans="1:9" x14ac:dyDescent="0.25">
      <c r="A276" s="11"/>
      <c r="B276" s="51"/>
      <c r="C276" s="51"/>
      <c r="D276" s="51"/>
      <c r="E276" s="52"/>
      <c r="F276" s="53"/>
      <c r="G276" s="14">
        <f>F276*H271</f>
        <v>0</v>
      </c>
      <c r="H276" s="15"/>
      <c r="I276" s="47"/>
    </row>
    <row r="277" spans="1:9" x14ac:dyDescent="0.25">
      <c r="A277" s="11"/>
      <c r="B277" s="51"/>
      <c r="C277" s="51"/>
      <c r="D277" s="51"/>
      <c r="E277" s="52"/>
      <c r="F277" s="53"/>
      <c r="G277" s="14">
        <f>F277*H271</f>
        <v>0</v>
      </c>
      <c r="H277" s="17"/>
      <c r="I277" s="47"/>
    </row>
    <row r="278" spans="1:9" x14ac:dyDescent="0.25">
      <c r="A278" s="4"/>
      <c r="B278" s="4"/>
      <c r="C278" s="4"/>
      <c r="D278" s="4"/>
      <c r="E278" s="46" t="s">
        <v>118</v>
      </c>
      <c r="F278" s="46"/>
      <c r="G278" s="46"/>
      <c r="H278" s="36">
        <f>SUM(G275:G277)</f>
        <v>0</v>
      </c>
      <c r="I278" s="220"/>
    </row>
    <row r="279" spans="1:9" ht="15.75" thickBot="1" x14ac:dyDescent="0.3">
      <c r="A279" s="4"/>
      <c r="B279" s="4"/>
      <c r="C279" s="4"/>
      <c r="D279" s="4"/>
      <c r="E279" s="5"/>
      <c r="F279" s="5"/>
      <c r="G279" s="5"/>
      <c r="H279" s="5"/>
      <c r="I279" s="47"/>
    </row>
    <row r="280" spans="1:9" ht="15.75" thickBot="1" x14ac:dyDescent="0.3">
      <c r="A280" s="4"/>
      <c r="B280" s="4"/>
      <c r="C280" s="4"/>
      <c r="D280" s="4"/>
      <c r="E280" s="54"/>
      <c r="F280" s="54" t="s">
        <v>119</v>
      </c>
      <c r="G280" s="54"/>
      <c r="H280" s="240">
        <f>SUM(H278+H271)</f>
        <v>482858</v>
      </c>
      <c r="I280" s="112"/>
    </row>
    <row r="281" spans="1:9" x14ac:dyDescent="0.25">
      <c r="A281" s="4"/>
      <c r="B281" s="4"/>
      <c r="C281" s="4"/>
      <c r="D281" s="4"/>
      <c r="E281" s="54"/>
      <c r="F281" s="54"/>
      <c r="G281" s="54"/>
      <c r="H281" s="112"/>
      <c r="I281" s="112"/>
    </row>
    <row r="282" spans="1:9" x14ac:dyDescent="0.25">
      <c r="A282" s="4"/>
      <c r="B282" s="4"/>
      <c r="C282" s="4"/>
      <c r="D282" s="4"/>
      <c r="E282" s="54"/>
      <c r="F282" s="54"/>
      <c r="G282" s="54"/>
      <c r="H282" s="112"/>
      <c r="I282" s="112"/>
    </row>
    <row r="283" spans="1:9" x14ac:dyDescent="0.25">
      <c r="A283" s="4"/>
      <c r="B283" s="4"/>
      <c r="C283" s="4"/>
      <c r="D283" s="4"/>
      <c r="E283" s="54"/>
      <c r="F283" s="54"/>
      <c r="G283" s="54"/>
      <c r="H283" s="112"/>
      <c r="I283" s="112"/>
    </row>
    <row r="287" spans="1:9" x14ac:dyDescent="0.25">
      <c r="A287" s="412" t="s">
        <v>79</v>
      </c>
      <c r="B287" s="412"/>
      <c r="C287" s="412"/>
      <c r="D287" s="412"/>
      <c r="E287" s="412"/>
      <c r="F287" s="412"/>
      <c r="G287" s="412"/>
      <c r="H287" s="412"/>
      <c r="I287" s="250"/>
    </row>
    <row r="288" spans="1:9" x14ac:dyDescent="0.25">
      <c r="A288" s="4"/>
      <c r="B288" s="4"/>
      <c r="C288" s="4"/>
      <c r="D288" s="4"/>
      <c r="E288" s="5"/>
      <c r="F288" s="5"/>
      <c r="G288" s="411" t="s">
        <v>326</v>
      </c>
      <c r="H288" s="411"/>
      <c r="I288" s="251"/>
    </row>
    <row r="289" spans="1:9" ht="30" customHeight="1" x14ac:dyDescent="0.25">
      <c r="A289" s="410" t="s">
        <v>451</v>
      </c>
      <c r="B289" s="410"/>
      <c r="C289" s="410"/>
      <c r="D289" s="410"/>
      <c r="E289" s="410"/>
      <c r="F289" s="410"/>
      <c r="G289" s="410"/>
      <c r="H289" s="410"/>
      <c r="I289" s="254"/>
    </row>
    <row r="290" spans="1:9" x14ac:dyDescent="0.25">
      <c r="A290" s="4"/>
      <c r="B290" s="4"/>
      <c r="C290" s="4"/>
      <c r="D290" s="4"/>
      <c r="E290" s="5"/>
      <c r="F290" s="5"/>
      <c r="G290" s="414" t="s">
        <v>160</v>
      </c>
      <c r="H290" s="414"/>
      <c r="I290" s="253"/>
    </row>
    <row r="291" spans="1:9" x14ac:dyDescent="0.25">
      <c r="A291" s="4" t="s">
        <v>82</v>
      </c>
      <c r="B291" s="4"/>
      <c r="C291" s="4"/>
      <c r="D291" s="4"/>
      <c r="E291" s="5"/>
      <c r="F291" s="5"/>
      <c r="G291" s="5"/>
      <c r="H291" s="5"/>
      <c r="I291" s="47"/>
    </row>
    <row r="292" spans="1:9" x14ac:dyDescent="0.25">
      <c r="A292" s="6" t="s">
        <v>0</v>
      </c>
      <c r="B292" s="7"/>
      <c r="C292" s="8" t="s">
        <v>83</v>
      </c>
      <c r="D292" s="8" t="s">
        <v>84</v>
      </c>
      <c r="E292" s="9" t="s">
        <v>85</v>
      </c>
      <c r="F292" s="9" t="s">
        <v>86</v>
      </c>
      <c r="G292" s="9" t="s">
        <v>87</v>
      </c>
      <c r="H292" s="10"/>
      <c r="I292" s="47"/>
    </row>
    <row r="293" spans="1:9" x14ac:dyDescent="0.25">
      <c r="A293" s="11" t="s">
        <v>88</v>
      </c>
      <c r="B293" s="12"/>
      <c r="C293" s="13"/>
      <c r="D293" s="13"/>
      <c r="E293" s="14"/>
      <c r="F293" s="14"/>
      <c r="G293" s="14">
        <f>ROUND(H317*0.05,0)</f>
        <v>1556</v>
      </c>
      <c r="H293" s="15"/>
      <c r="I293" s="47"/>
    </row>
    <row r="294" spans="1:9" x14ac:dyDescent="0.25">
      <c r="A294" s="11" t="s">
        <v>327</v>
      </c>
      <c r="B294" s="12"/>
      <c r="C294" s="13"/>
      <c r="D294" s="13"/>
      <c r="E294" s="14">
        <v>350000</v>
      </c>
      <c r="F294" s="14">
        <v>0</v>
      </c>
      <c r="G294" s="14">
        <f>ROUND(E294*F294,0)</f>
        <v>0</v>
      </c>
      <c r="H294" s="15"/>
      <c r="I294" s="47"/>
    </row>
    <row r="295" spans="1:9" x14ac:dyDescent="0.25">
      <c r="A295" s="11" t="s">
        <v>328</v>
      </c>
      <c r="B295" s="11"/>
      <c r="C295" s="13"/>
      <c r="D295" s="13"/>
      <c r="E295" s="14">
        <v>50000</v>
      </c>
      <c r="F295" s="14">
        <v>0</v>
      </c>
      <c r="G295" s="14">
        <f t="shared" ref="G295:G296" si="9">ROUND(E295*F295,0)</f>
        <v>0</v>
      </c>
      <c r="H295" s="15"/>
      <c r="I295" s="47"/>
    </row>
    <row r="296" spans="1:9" x14ac:dyDescent="0.25">
      <c r="A296" s="415"/>
      <c r="B296" s="416"/>
      <c r="C296" s="13"/>
      <c r="D296" s="13"/>
      <c r="E296" s="14"/>
      <c r="F296" s="14"/>
      <c r="G296" s="14">
        <f t="shared" si="9"/>
        <v>0</v>
      </c>
      <c r="H296" s="58"/>
      <c r="I296" s="224"/>
    </row>
    <row r="297" spans="1:9" x14ac:dyDescent="0.25">
      <c r="A297" s="18"/>
      <c r="B297" s="19"/>
      <c r="C297" s="19"/>
      <c r="D297" s="19"/>
      <c r="E297" s="20"/>
      <c r="F297" s="21" t="s">
        <v>90</v>
      </c>
      <c r="G297" s="22"/>
      <c r="H297" s="23">
        <f>SUM(G293:G296)</f>
        <v>1556</v>
      </c>
      <c r="I297" s="220"/>
    </row>
    <row r="298" spans="1:9" x14ac:dyDescent="0.25">
      <c r="A298" s="291" t="s">
        <v>91</v>
      </c>
      <c r="B298" s="228"/>
      <c r="C298" s="228"/>
      <c r="D298" s="228"/>
      <c r="E298" s="47"/>
      <c r="F298" s="47"/>
      <c r="G298" s="47"/>
      <c r="H298" s="233"/>
      <c r="I298" s="47"/>
    </row>
    <row r="299" spans="1:9" x14ac:dyDescent="0.25">
      <c r="A299" s="24" t="s">
        <v>0</v>
      </c>
      <c r="B299" s="24"/>
      <c r="C299" s="8" t="s">
        <v>92</v>
      </c>
      <c r="D299" s="8" t="s">
        <v>93</v>
      </c>
      <c r="E299" s="9" t="s">
        <v>94</v>
      </c>
      <c r="F299" s="9" t="s">
        <v>95</v>
      </c>
      <c r="G299" s="25" t="s">
        <v>96</v>
      </c>
      <c r="H299" s="10"/>
      <c r="I299" s="47"/>
    </row>
    <row r="300" spans="1:9" x14ac:dyDescent="0.25">
      <c r="A300" s="419" t="s">
        <v>149</v>
      </c>
      <c r="B300" s="419"/>
      <c r="C300" s="28" t="s">
        <v>92</v>
      </c>
      <c r="D300" s="29">
        <v>0.05</v>
      </c>
      <c r="E300" s="30">
        <v>3</v>
      </c>
      <c r="F300" s="14">
        <v>2000</v>
      </c>
      <c r="G300" s="14">
        <f t="shared" ref="G300:G308" si="10">ROUND(E300*F300,0)</f>
        <v>6000</v>
      </c>
      <c r="H300" s="15"/>
      <c r="I300" s="47"/>
    </row>
    <row r="301" spans="1:9" x14ac:dyDescent="0.25">
      <c r="A301" s="419"/>
      <c r="B301" s="419"/>
      <c r="C301" s="28"/>
      <c r="D301" s="31"/>
      <c r="E301" s="30"/>
      <c r="F301" s="14"/>
      <c r="G301" s="14">
        <f t="shared" si="10"/>
        <v>0</v>
      </c>
      <c r="H301" s="15"/>
      <c r="I301" s="47"/>
    </row>
    <row r="302" spans="1:9" x14ac:dyDescent="0.25">
      <c r="A302" s="419"/>
      <c r="B302" s="419"/>
      <c r="C302" s="28"/>
      <c r="D302" s="29"/>
      <c r="E302" s="30"/>
      <c r="F302" s="14"/>
      <c r="G302" s="14">
        <f t="shared" si="10"/>
        <v>0</v>
      </c>
      <c r="H302" s="15"/>
      <c r="I302" s="47"/>
    </row>
    <row r="303" spans="1:9" x14ac:dyDescent="0.25">
      <c r="A303" s="419"/>
      <c r="B303" s="419"/>
      <c r="C303" s="28"/>
      <c r="D303" s="31"/>
      <c r="E303" s="30"/>
      <c r="F303" s="14"/>
      <c r="G303" s="14">
        <f t="shared" si="10"/>
        <v>0</v>
      </c>
      <c r="H303" s="15"/>
      <c r="I303" s="47"/>
    </row>
    <row r="304" spans="1:9" x14ac:dyDescent="0.25">
      <c r="A304" s="419"/>
      <c r="B304" s="419"/>
      <c r="C304" s="28"/>
      <c r="D304" s="34"/>
      <c r="E304" s="30"/>
      <c r="F304" s="14"/>
      <c r="G304" s="14">
        <f t="shared" si="10"/>
        <v>0</v>
      </c>
      <c r="H304" s="15"/>
      <c r="I304" s="47"/>
    </row>
    <row r="305" spans="1:9" x14ac:dyDescent="0.25">
      <c r="A305" s="419"/>
      <c r="B305" s="419"/>
      <c r="C305" s="28"/>
      <c r="D305" s="31"/>
      <c r="E305" s="30"/>
      <c r="F305" s="14"/>
      <c r="G305" s="14">
        <f t="shared" si="10"/>
        <v>0</v>
      </c>
      <c r="H305" s="15"/>
      <c r="I305" s="47"/>
    </row>
    <row r="306" spans="1:9" x14ac:dyDescent="0.25">
      <c r="A306" s="11"/>
      <c r="B306" s="12"/>
      <c r="C306" s="35"/>
      <c r="D306" s="34"/>
      <c r="E306" s="30"/>
      <c r="F306" s="14"/>
      <c r="G306" s="14">
        <f t="shared" si="10"/>
        <v>0</v>
      </c>
      <c r="H306" s="15"/>
      <c r="I306" s="47"/>
    </row>
    <row r="307" spans="1:9" x14ac:dyDescent="0.25">
      <c r="A307" s="26"/>
      <c r="B307" s="12"/>
      <c r="C307" s="35"/>
      <c r="D307" s="31"/>
      <c r="E307" s="30"/>
      <c r="F307" s="14"/>
      <c r="G307" s="14">
        <f t="shared" si="10"/>
        <v>0</v>
      </c>
      <c r="H307" s="15"/>
      <c r="I307" s="47"/>
    </row>
    <row r="308" spans="1:9" x14ac:dyDescent="0.25">
      <c r="A308" s="11"/>
      <c r="B308" s="12"/>
      <c r="C308" s="35"/>
      <c r="D308" s="31"/>
      <c r="E308" s="30"/>
      <c r="F308" s="14"/>
      <c r="G308" s="14">
        <f t="shared" si="10"/>
        <v>0</v>
      </c>
      <c r="H308" s="17"/>
      <c r="I308" s="47"/>
    </row>
    <row r="309" spans="1:9" x14ac:dyDescent="0.25">
      <c r="A309" s="291"/>
      <c r="B309" s="228"/>
      <c r="C309" s="228"/>
      <c r="D309" s="228"/>
      <c r="E309" s="36"/>
      <c r="F309" s="37" t="s">
        <v>102</v>
      </c>
      <c r="G309" s="38"/>
      <c r="H309" s="23">
        <f>SUM(G300:G308)</f>
        <v>6000</v>
      </c>
      <c r="I309" s="220"/>
    </row>
    <row r="310" spans="1:9" x14ac:dyDescent="0.25">
      <c r="A310" s="291"/>
      <c r="B310" s="228"/>
      <c r="C310" s="228"/>
      <c r="D310" s="228"/>
      <c r="E310" s="36"/>
      <c r="F310" s="39" t="s">
        <v>103</v>
      </c>
      <c r="G310" s="38"/>
      <c r="H310" s="23">
        <f>ROUND((D300*G300)+(D301*G301)+(D302*G302)+(D303*G303)+(D304*G304)+(D305*G305)+(D306*G306)+(D307*G307)+(D308*G308),0)</f>
        <v>300</v>
      </c>
      <c r="I310" s="220"/>
    </row>
    <row r="311" spans="1:9" x14ac:dyDescent="0.25">
      <c r="A311" s="291"/>
      <c r="B311" s="228"/>
      <c r="C311" s="228"/>
      <c r="D311" s="228"/>
      <c r="E311" s="36"/>
      <c r="F311" s="20" t="s">
        <v>104</v>
      </c>
      <c r="G311" s="40"/>
      <c r="H311" s="23">
        <f>SUM(H309:H310)</f>
        <v>6300</v>
      </c>
      <c r="I311" s="220"/>
    </row>
    <row r="312" spans="1:9" x14ac:dyDescent="0.25">
      <c r="A312" s="291" t="s">
        <v>105</v>
      </c>
      <c r="B312" s="228"/>
      <c r="C312" s="228"/>
      <c r="D312" s="228"/>
      <c r="E312" s="47"/>
      <c r="F312" s="47"/>
      <c r="G312" s="47"/>
      <c r="H312" s="233"/>
      <c r="I312" s="47"/>
    </row>
    <row r="313" spans="1:9" x14ac:dyDescent="0.25">
      <c r="A313" s="24" t="s">
        <v>0</v>
      </c>
      <c r="B313" s="24"/>
      <c r="C313" s="8" t="s">
        <v>106</v>
      </c>
      <c r="D313" s="8" t="s">
        <v>107</v>
      </c>
      <c r="E313" s="9" t="s">
        <v>108</v>
      </c>
      <c r="F313" s="9" t="s">
        <v>109</v>
      </c>
      <c r="G313" s="41" t="s">
        <v>96</v>
      </c>
      <c r="H313" s="10"/>
      <c r="I313" s="47"/>
    </row>
    <row r="314" spans="1:9" x14ac:dyDescent="0.25">
      <c r="A314" s="18" t="s">
        <v>110</v>
      </c>
      <c r="B314" s="42"/>
      <c r="C314" s="13">
        <f>104000+26000</f>
        <v>130000</v>
      </c>
      <c r="D314" s="13">
        <f>+C314*0.16</f>
        <v>20800</v>
      </c>
      <c r="E314" s="14">
        <f>C314+D314</f>
        <v>150800</v>
      </c>
      <c r="F314" s="30">
        <v>0.14000000000000001</v>
      </c>
      <c r="G314" s="14">
        <f>ROUND(E314*F314,0)</f>
        <v>21112</v>
      </c>
      <c r="H314" s="15"/>
      <c r="I314" s="47"/>
    </row>
    <row r="315" spans="1:9" x14ac:dyDescent="0.25">
      <c r="A315" s="18" t="s">
        <v>111</v>
      </c>
      <c r="B315" s="42"/>
      <c r="C315" s="13">
        <f>60400+25850</f>
        <v>86250</v>
      </c>
      <c r="D315" s="13">
        <f>+C315*0.16</f>
        <v>13800</v>
      </c>
      <c r="E315" s="14">
        <f>C315+D315</f>
        <v>100050</v>
      </c>
      <c r="F315" s="30">
        <v>0.1</v>
      </c>
      <c r="G315" s="14">
        <f>ROUND(E315*F315,0)</f>
        <v>10005</v>
      </c>
      <c r="H315" s="15"/>
      <c r="I315" s="47"/>
    </row>
    <row r="316" spans="1:9" x14ac:dyDescent="0.25">
      <c r="A316" s="18"/>
      <c r="B316" s="42"/>
      <c r="C316" s="43"/>
      <c r="D316" s="43"/>
      <c r="E316" s="44">
        <f>C316+D316</f>
        <v>0</v>
      </c>
      <c r="F316" s="45"/>
      <c r="G316" s="14">
        <f>ROUND(E316*F316,0)</f>
        <v>0</v>
      </c>
      <c r="H316" s="15"/>
      <c r="I316" s="47"/>
    </row>
    <row r="317" spans="1:9" x14ac:dyDescent="0.25">
      <c r="A317" s="291"/>
      <c r="B317" s="228"/>
      <c r="C317" s="228"/>
      <c r="D317" s="228"/>
      <c r="E317" s="277" t="s">
        <v>112</v>
      </c>
      <c r="F317" s="277"/>
      <c r="G317" s="277"/>
      <c r="H317" s="82">
        <f>SUM(G314:G316)</f>
        <v>31117</v>
      </c>
      <c r="I317" s="221"/>
    </row>
    <row r="318" spans="1:9" x14ac:dyDescent="0.25">
      <c r="A318" s="291"/>
      <c r="B318" s="228"/>
      <c r="C318" s="228"/>
      <c r="D318" s="228"/>
      <c r="E318" s="47"/>
      <c r="F318" s="47"/>
      <c r="G318" s="47"/>
      <c r="H318" s="233"/>
      <c r="I318" s="47"/>
    </row>
    <row r="319" spans="1:9" x14ac:dyDescent="0.25">
      <c r="A319" s="18"/>
      <c r="B319" s="19"/>
      <c r="C319" s="19"/>
      <c r="D319" s="19"/>
      <c r="E319" s="48" t="s">
        <v>113</v>
      </c>
      <c r="F319" s="48"/>
      <c r="G319" s="48"/>
      <c r="H319" s="25">
        <f>H317+H311+H297</f>
        <v>38973</v>
      </c>
      <c r="I319" s="222"/>
    </row>
    <row r="320" spans="1:9" x14ac:dyDescent="0.25">
      <c r="A320" s="291"/>
      <c r="B320" s="228"/>
      <c r="C320" s="228"/>
      <c r="D320" s="228"/>
      <c r="E320" s="47"/>
      <c r="F320" s="47"/>
      <c r="G320" s="47"/>
      <c r="H320" s="233"/>
      <c r="I320" s="47"/>
    </row>
    <row r="321" spans="1:9" x14ac:dyDescent="0.25">
      <c r="A321" s="291" t="s">
        <v>114</v>
      </c>
      <c r="B321" s="228"/>
      <c r="C321" s="228"/>
      <c r="D321" s="228"/>
      <c r="E321" s="47"/>
      <c r="F321" s="47"/>
      <c r="G321" s="47"/>
      <c r="H321" s="233"/>
      <c r="I321" s="47"/>
    </row>
    <row r="322" spans="1:9" x14ac:dyDescent="0.25">
      <c r="A322" s="6" t="s">
        <v>0</v>
      </c>
      <c r="B322" s="49"/>
      <c r="C322" s="49"/>
      <c r="D322" s="49"/>
      <c r="E322" s="50"/>
      <c r="F322" s="9" t="s">
        <v>115</v>
      </c>
      <c r="G322" s="41" t="s">
        <v>116</v>
      </c>
      <c r="H322" s="10"/>
      <c r="I322" s="47"/>
    </row>
    <row r="323" spans="1:9" x14ac:dyDescent="0.25">
      <c r="A323" s="11" t="s">
        <v>117</v>
      </c>
      <c r="B323" s="51"/>
      <c r="C323" s="51"/>
      <c r="D323" s="51"/>
      <c r="E323" s="52"/>
      <c r="F323" s="53"/>
      <c r="G323" s="14">
        <f>F323*H319</f>
        <v>0</v>
      </c>
      <c r="H323" s="15"/>
      <c r="I323" s="47"/>
    </row>
    <row r="324" spans="1:9" x14ac:dyDescent="0.25">
      <c r="A324" s="11"/>
      <c r="B324" s="51"/>
      <c r="C324" s="51"/>
      <c r="D324" s="51"/>
      <c r="E324" s="52"/>
      <c r="F324" s="53"/>
      <c r="G324" s="14">
        <f>F324*H319</f>
        <v>0</v>
      </c>
      <c r="H324" s="15"/>
      <c r="I324" s="47"/>
    </row>
    <row r="325" spans="1:9" x14ac:dyDescent="0.25">
      <c r="A325" s="11"/>
      <c r="B325" s="51"/>
      <c r="C325" s="51"/>
      <c r="D325" s="51"/>
      <c r="E325" s="52"/>
      <c r="F325" s="53"/>
      <c r="G325" s="14">
        <f>F325*H319</f>
        <v>0</v>
      </c>
      <c r="H325" s="17"/>
      <c r="I325" s="47"/>
    </row>
    <row r="326" spans="1:9" x14ac:dyDescent="0.25">
      <c r="A326" s="4"/>
      <c r="B326" s="4"/>
      <c r="C326" s="4"/>
      <c r="D326" s="4"/>
      <c r="E326" s="46" t="s">
        <v>118</v>
      </c>
      <c r="F326" s="46"/>
      <c r="G326" s="46"/>
      <c r="H326" s="36">
        <f>SUM(G323:G325)</f>
        <v>0</v>
      </c>
      <c r="I326" s="220"/>
    </row>
    <row r="327" spans="1:9" ht="15.75" thickBot="1" x14ac:dyDescent="0.3">
      <c r="A327" s="4"/>
      <c r="B327" s="4"/>
      <c r="C327" s="4"/>
      <c r="D327" s="4"/>
      <c r="E327" s="5"/>
      <c r="F327" s="5"/>
      <c r="G327" s="5"/>
      <c r="H327" s="5"/>
      <c r="I327" s="47"/>
    </row>
    <row r="328" spans="1:9" ht="15.75" thickBot="1" x14ac:dyDescent="0.3">
      <c r="A328" s="4"/>
      <c r="B328" s="4"/>
      <c r="C328" s="4"/>
      <c r="D328" s="4"/>
      <c r="E328" s="54"/>
      <c r="F328" s="54" t="s">
        <v>119</v>
      </c>
      <c r="G328" s="54"/>
      <c r="H328" s="240">
        <f>SUM(H326+H319)</f>
        <v>38973</v>
      </c>
      <c r="I328" s="112"/>
    </row>
    <row r="334" spans="1:9" x14ac:dyDescent="0.25">
      <c r="A334" s="412" t="s">
        <v>79</v>
      </c>
      <c r="B334" s="412"/>
      <c r="C334" s="412"/>
      <c r="D334" s="412"/>
      <c r="E334" s="412"/>
      <c r="F334" s="412"/>
      <c r="G334" s="412"/>
      <c r="H334" s="412"/>
      <c r="I334" s="250"/>
    </row>
    <row r="335" spans="1:9" x14ac:dyDescent="0.25">
      <c r="A335" s="4"/>
      <c r="B335" s="4"/>
      <c r="C335" s="4"/>
      <c r="D335" s="4"/>
      <c r="E335" s="5"/>
      <c r="F335" s="5"/>
      <c r="G335" s="411" t="s">
        <v>326</v>
      </c>
      <c r="H335" s="411"/>
      <c r="I335" s="251"/>
    </row>
    <row r="336" spans="1:9" ht="45" customHeight="1" x14ac:dyDescent="0.25">
      <c r="A336" s="410" t="s">
        <v>150</v>
      </c>
      <c r="B336" s="410"/>
      <c r="C336" s="410"/>
      <c r="D336" s="410"/>
      <c r="E336" s="410"/>
      <c r="F336" s="410"/>
      <c r="G336" s="410"/>
      <c r="H336" s="410"/>
      <c r="I336" s="254"/>
    </row>
    <row r="337" spans="1:17" x14ac:dyDescent="0.25">
      <c r="A337" s="4"/>
      <c r="B337" s="4"/>
      <c r="C337" s="4"/>
      <c r="D337" s="4"/>
      <c r="E337" s="5"/>
      <c r="F337" s="5"/>
      <c r="G337" s="414" t="s">
        <v>81</v>
      </c>
      <c r="H337" s="414"/>
      <c r="I337" s="253"/>
    </row>
    <row r="338" spans="1:17" x14ac:dyDescent="0.25">
      <c r="A338" s="4" t="s">
        <v>82</v>
      </c>
      <c r="B338" s="4"/>
      <c r="C338" s="4"/>
      <c r="D338" s="4"/>
      <c r="E338" s="5"/>
      <c r="F338" s="5"/>
      <c r="G338" s="5"/>
      <c r="H338" s="5"/>
      <c r="I338" s="47"/>
    </row>
    <row r="339" spans="1:17" x14ac:dyDescent="0.25">
      <c r="A339" s="6" t="s">
        <v>0</v>
      </c>
      <c r="B339" s="7"/>
      <c r="C339" s="8" t="s">
        <v>83</v>
      </c>
      <c r="D339" s="8" t="s">
        <v>84</v>
      </c>
      <c r="E339" s="9" t="s">
        <v>85</v>
      </c>
      <c r="F339" s="9" t="s">
        <v>86</v>
      </c>
      <c r="G339" s="9" t="s">
        <v>87</v>
      </c>
      <c r="H339" s="10"/>
      <c r="I339" s="47"/>
    </row>
    <row r="340" spans="1:17" x14ac:dyDescent="0.25">
      <c r="A340" s="11" t="s">
        <v>88</v>
      </c>
      <c r="B340" s="12"/>
      <c r="C340" s="13"/>
      <c r="D340" s="13"/>
      <c r="E340" s="14"/>
      <c r="F340" s="14"/>
      <c r="G340" s="14">
        <f>ROUND(H364*0.05,0)+8-16</f>
        <v>4759</v>
      </c>
      <c r="H340" s="15"/>
      <c r="I340" s="47"/>
    </row>
    <row r="341" spans="1:17" x14ac:dyDescent="0.25">
      <c r="A341" s="11" t="s">
        <v>327</v>
      </c>
      <c r="B341" s="12"/>
      <c r="C341" s="13"/>
      <c r="D341" s="13"/>
      <c r="E341" s="14">
        <v>350000</v>
      </c>
      <c r="F341" s="14">
        <v>0.25</v>
      </c>
      <c r="G341" s="14">
        <f>ROUND(E341*F341,0)</f>
        <v>87500</v>
      </c>
      <c r="H341" s="15"/>
      <c r="I341" s="47"/>
    </row>
    <row r="342" spans="1:17" x14ac:dyDescent="0.25">
      <c r="A342" s="11" t="s">
        <v>328</v>
      </c>
      <c r="B342" s="11"/>
      <c r="C342" s="13"/>
      <c r="D342" s="13"/>
      <c r="E342" s="14">
        <v>50000</v>
      </c>
      <c r="F342" s="74">
        <v>0.3</v>
      </c>
      <c r="G342" s="14">
        <f t="shared" ref="G342:G343" si="11">ROUND(E342*F342,0)</f>
        <v>15000</v>
      </c>
      <c r="H342" s="15"/>
      <c r="I342" s="47"/>
    </row>
    <row r="343" spans="1:17" hidden="1" x14ac:dyDescent="0.25">
      <c r="A343" s="415"/>
      <c r="B343" s="416"/>
      <c r="C343" s="13"/>
      <c r="D343" s="13"/>
      <c r="E343" s="14"/>
      <c r="F343" s="14"/>
      <c r="G343" s="14">
        <f t="shared" si="11"/>
        <v>0</v>
      </c>
      <c r="H343" s="58"/>
      <c r="I343" s="224"/>
    </row>
    <row r="344" spans="1:17" x14ac:dyDescent="0.25">
      <c r="A344" s="18"/>
      <c r="B344" s="19"/>
      <c r="C344" s="19"/>
      <c r="D344" s="19"/>
      <c r="E344" s="20" t="s">
        <v>330</v>
      </c>
      <c r="F344" s="21" t="s">
        <v>90</v>
      </c>
      <c r="G344" s="22"/>
      <c r="H344" s="23">
        <f>SUM(G340:G343)</f>
        <v>107259</v>
      </c>
      <c r="I344" s="220"/>
    </row>
    <row r="345" spans="1:17" x14ac:dyDescent="0.25">
      <c r="A345" s="291" t="s">
        <v>91</v>
      </c>
      <c r="B345" s="228"/>
      <c r="C345" s="228"/>
      <c r="D345" s="228"/>
      <c r="E345" s="47"/>
      <c r="F345" s="47"/>
      <c r="G345" s="47"/>
      <c r="H345" s="233"/>
      <c r="I345" s="47"/>
    </row>
    <row r="346" spans="1:17" x14ac:dyDescent="0.25">
      <c r="A346" s="24" t="s">
        <v>0</v>
      </c>
      <c r="B346" s="24"/>
      <c r="C346" s="8" t="s">
        <v>92</v>
      </c>
      <c r="D346" s="8" t="s">
        <v>93</v>
      </c>
      <c r="E346" s="9" t="s">
        <v>94</v>
      </c>
      <c r="F346" s="9" t="s">
        <v>95</v>
      </c>
      <c r="G346" s="25" t="s">
        <v>96</v>
      </c>
      <c r="H346" s="10"/>
      <c r="I346" s="47"/>
    </row>
    <row r="347" spans="1:17" ht="9.6" customHeight="1" x14ac:dyDescent="0.25">
      <c r="A347" s="419"/>
      <c r="B347" s="419"/>
      <c r="C347" s="59"/>
      <c r="D347" s="60"/>
      <c r="E347" s="61"/>
      <c r="F347" s="62"/>
      <c r="G347" s="62">
        <f t="shared" ref="G347:G355" si="12">ROUND(E347*F347,0)</f>
        <v>0</v>
      </c>
      <c r="H347" s="15"/>
      <c r="I347" s="47"/>
      <c r="K347" t="s">
        <v>151</v>
      </c>
      <c r="L347" s="63">
        <v>296800</v>
      </c>
      <c r="M347" s="63">
        <v>15000</v>
      </c>
      <c r="N347" s="63">
        <f>+L347+M347</f>
        <v>311800</v>
      </c>
      <c r="O347">
        <v>30000</v>
      </c>
      <c r="P347" s="64">
        <f>+N347+O347</f>
        <v>341800</v>
      </c>
      <c r="Q347">
        <f>+P347/6/10</f>
        <v>5696.6666666666661</v>
      </c>
    </row>
    <row r="348" spans="1:17" ht="28.9" customHeight="1" x14ac:dyDescent="0.25">
      <c r="A348" s="419" t="s">
        <v>153</v>
      </c>
      <c r="B348" s="419"/>
      <c r="C348" s="59" t="s">
        <v>154</v>
      </c>
      <c r="D348" s="65">
        <v>0.05</v>
      </c>
      <c r="E348" s="61">
        <v>0.15</v>
      </c>
      <c r="F348" s="62">
        <f>146000/3</f>
        <v>48666.666666666664</v>
      </c>
      <c r="G348" s="62">
        <f t="shared" si="12"/>
        <v>7300</v>
      </c>
      <c r="H348" s="15"/>
      <c r="I348" s="47"/>
      <c r="K348" t="s">
        <v>152</v>
      </c>
      <c r="Q348">
        <f>+Q347*8*6</f>
        <v>273440</v>
      </c>
    </row>
    <row r="349" spans="1:17" s="69" customFormat="1" ht="43.9" customHeight="1" x14ac:dyDescent="0.25">
      <c r="A349" s="419" t="s">
        <v>332</v>
      </c>
      <c r="B349" s="419"/>
      <c r="C349" s="59" t="s">
        <v>140</v>
      </c>
      <c r="D349" s="60">
        <v>0.05</v>
      </c>
      <c r="E349" s="66">
        <v>0.25</v>
      </c>
      <c r="F349" s="67">
        <f>201500</f>
        <v>201500</v>
      </c>
      <c r="G349" s="67">
        <f t="shared" si="12"/>
        <v>50375</v>
      </c>
      <c r="H349" s="68"/>
      <c r="I349" s="225"/>
      <c r="Q349" s="69">
        <f>+Q348/6</f>
        <v>45573.333333333336</v>
      </c>
    </row>
    <row r="350" spans="1:17" x14ac:dyDescent="0.25">
      <c r="A350" s="419" t="s">
        <v>218</v>
      </c>
      <c r="B350" s="419"/>
      <c r="C350" s="28" t="s">
        <v>140</v>
      </c>
      <c r="D350" s="31">
        <v>0.05</v>
      </c>
      <c r="E350" s="30">
        <v>0.1</v>
      </c>
      <c r="F350" s="14">
        <v>58000</v>
      </c>
      <c r="G350" s="14">
        <f t="shared" si="12"/>
        <v>5800</v>
      </c>
      <c r="H350" s="15"/>
      <c r="I350" s="47"/>
    </row>
    <row r="351" spans="1:17" x14ac:dyDescent="0.25">
      <c r="A351" s="419" t="s">
        <v>201</v>
      </c>
      <c r="B351" s="419"/>
      <c r="C351" s="28" t="s">
        <v>18</v>
      </c>
      <c r="D351" s="34"/>
      <c r="E351" s="30">
        <v>1</v>
      </c>
      <c r="F351" s="14">
        <v>1900</v>
      </c>
      <c r="G351" s="14">
        <f t="shared" si="12"/>
        <v>1900</v>
      </c>
      <c r="H351" s="15"/>
      <c r="I351" s="47"/>
    </row>
    <row r="352" spans="1:17" x14ac:dyDescent="0.25">
      <c r="A352" s="419" t="s">
        <v>200</v>
      </c>
      <c r="B352" s="419"/>
      <c r="C352" s="28" t="s">
        <v>18</v>
      </c>
      <c r="D352" s="31"/>
      <c r="E352" s="30">
        <v>0.1</v>
      </c>
      <c r="F352" s="14">
        <v>8500</v>
      </c>
      <c r="G352" s="14">
        <f t="shared" si="12"/>
        <v>850</v>
      </c>
      <c r="H352" s="15"/>
      <c r="I352" s="47"/>
    </row>
    <row r="353" spans="1:11" s="72" customFormat="1" ht="28.9" customHeight="1" x14ac:dyDescent="0.25">
      <c r="A353" s="417" t="s">
        <v>333</v>
      </c>
      <c r="B353" s="418"/>
      <c r="C353" s="59" t="s">
        <v>140</v>
      </c>
      <c r="D353" s="70">
        <v>0.05</v>
      </c>
      <c r="E353" s="61">
        <v>0.15</v>
      </c>
      <c r="F353" s="62">
        <v>109000</v>
      </c>
      <c r="G353" s="62">
        <f t="shared" si="12"/>
        <v>16350</v>
      </c>
      <c r="H353" s="71"/>
      <c r="I353" s="226"/>
    </row>
    <row r="354" spans="1:11" x14ac:dyDescent="0.25">
      <c r="A354" s="26"/>
      <c r="B354" s="12"/>
      <c r="C354" s="35"/>
      <c r="D354" s="31"/>
      <c r="E354" s="30"/>
      <c r="F354" s="14"/>
      <c r="G354" s="14">
        <f t="shared" si="12"/>
        <v>0</v>
      </c>
      <c r="H354" s="15"/>
      <c r="I354" s="47"/>
      <c r="K354" s="156">
        <f>140000*30/2</f>
        <v>2100000</v>
      </c>
    </row>
    <row r="355" spans="1:11" x14ac:dyDescent="0.25">
      <c r="A355" s="11"/>
      <c r="B355" s="12"/>
      <c r="C355" s="35"/>
      <c r="D355" s="31"/>
      <c r="E355" s="30"/>
      <c r="F355" s="14"/>
      <c r="G355" s="14">
        <f t="shared" si="12"/>
        <v>0</v>
      </c>
      <c r="H355" s="17"/>
      <c r="I355" s="47"/>
    </row>
    <row r="356" spans="1:11" x14ac:dyDescent="0.25">
      <c r="A356" s="291"/>
      <c r="B356" s="228"/>
      <c r="C356" s="228"/>
      <c r="D356" s="228"/>
      <c r="E356" s="36"/>
      <c r="F356" s="37" t="s">
        <v>102</v>
      </c>
      <c r="G356" s="38"/>
      <c r="H356" s="23">
        <f>SUM(G347:G355)</f>
        <v>82575</v>
      </c>
      <c r="I356" s="220"/>
    </row>
    <row r="357" spans="1:11" x14ac:dyDescent="0.25">
      <c r="A357" s="291"/>
      <c r="B357" s="228"/>
      <c r="C357" s="228"/>
      <c r="D357" s="228"/>
      <c r="E357" s="36"/>
      <c r="F357" s="39" t="s">
        <v>103</v>
      </c>
      <c r="G357" s="38"/>
      <c r="H357" s="23">
        <f>ROUND((D347*G347)+(D348*G348)+(D349*G349)+(D350*G350)+(D351*G351)+(D352*G352)+(D353*G353)+(D354*G354)+(D355*G355),0)</f>
        <v>3991</v>
      </c>
      <c r="I357" s="220"/>
    </row>
    <row r="358" spans="1:11" x14ac:dyDescent="0.25">
      <c r="A358" s="291"/>
      <c r="B358" s="228"/>
      <c r="C358" s="228"/>
      <c r="D358" s="228"/>
      <c r="E358" s="36"/>
      <c r="F358" s="20" t="s">
        <v>104</v>
      </c>
      <c r="G358" s="40"/>
      <c r="H358" s="23">
        <f>SUM(H356:H357)</f>
        <v>86566</v>
      </c>
      <c r="I358" s="220"/>
    </row>
    <row r="359" spans="1:11" x14ac:dyDescent="0.25">
      <c r="A359" s="291" t="s">
        <v>105</v>
      </c>
      <c r="B359" s="228"/>
      <c r="C359" s="228"/>
      <c r="D359" s="228"/>
      <c r="E359" s="47"/>
      <c r="F359" s="47"/>
      <c r="G359" s="47"/>
      <c r="H359" s="233"/>
      <c r="I359" s="47"/>
    </row>
    <row r="360" spans="1:11" x14ac:dyDescent="0.25">
      <c r="A360" s="24" t="s">
        <v>0</v>
      </c>
      <c r="B360" s="24"/>
      <c r="C360" s="8" t="s">
        <v>106</v>
      </c>
      <c r="D360" s="8" t="s">
        <v>107</v>
      </c>
      <c r="E360" s="9" t="s">
        <v>108</v>
      </c>
      <c r="F360" s="9" t="s">
        <v>109</v>
      </c>
      <c r="G360" s="41" t="s">
        <v>96</v>
      </c>
      <c r="H360" s="10"/>
      <c r="I360" s="47"/>
    </row>
    <row r="361" spans="1:11" x14ac:dyDescent="0.25">
      <c r="A361" s="18" t="s">
        <v>110</v>
      </c>
      <c r="B361" s="42"/>
      <c r="C361" s="13">
        <f>104000+26000</f>
        <v>130000</v>
      </c>
      <c r="D361" s="13">
        <f>+C361*0.16</f>
        <v>20800</v>
      </c>
      <c r="E361" s="14">
        <f>C361+D361</f>
        <v>150800</v>
      </c>
      <c r="F361" s="30">
        <v>0.4</v>
      </c>
      <c r="G361" s="14">
        <f>ROUND(E361*F361,0)</f>
        <v>60320</v>
      </c>
      <c r="H361" s="15"/>
      <c r="I361" s="47"/>
    </row>
    <row r="362" spans="1:11" x14ac:dyDescent="0.25">
      <c r="A362" s="18" t="s">
        <v>111</v>
      </c>
      <c r="B362" s="42"/>
      <c r="C362" s="13">
        <f>60400+25850</f>
        <v>86250</v>
      </c>
      <c r="D362" s="13">
        <f>+C362*0.16</f>
        <v>13800</v>
      </c>
      <c r="E362" s="14">
        <f>C362+D362</f>
        <v>100050</v>
      </c>
      <c r="F362" s="30">
        <v>0.35</v>
      </c>
      <c r="G362" s="14">
        <f>ROUND(E362*F362,0)</f>
        <v>35018</v>
      </c>
      <c r="H362" s="15"/>
      <c r="I362" s="47"/>
    </row>
    <row r="363" spans="1:11" hidden="1" x14ac:dyDescent="0.25">
      <c r="A363" s="18"/>
      <c r="B363" s="42"/>
      <c r="C363" s="43"/>
      <c r="D363" s="43"/>
      <c r="E363" s="44">
        <f>C363+D363</f>
        <v>0</v>
      </c>
      <c r="F363" s="45"/>
      <c r="G363" s="14">
        <f>ROUND(E363*F363,0)</f>
        <v>0</v>
      </c>
      <c r="H363" s="15"/>
      <c r="I363" s="47"/>
    </row>
    <row r="364" spans="1:11" x14ac:dyDescent="0.25">
      <c r="A364" s="291"/>
      <c r="B364" s="228"/>
      <c r="C364" s="228"/>
      <c r="D364" s="228"/>
      <c r="E364" s="277" t="s">
        <v>112</v>
      </c>
      <c r="F364" s="277"/>
      <c r="G364" s="277"/>
      <c r="H364" s="82">
        <f>SUM(G361:G363)</f>
        <v>95338</v>
      </c>
      <c r="I364" s="221"/>
    </row>
    <row r="365" spans="1:11" x14ac:dyDescent="0.25">
      <c r="A365" s="291"/>
      <c r="B365" s="228"/>
      <c r="C365" s="228"/>
      <c r="D365" s="228"/>
      <c r="E365" s="47"/>
      <c r="F365" s="47"/>
      <c r="G365" s="47"/>
      <c r="H365" s="233"/>
      <c r="I365" s="47"/>
    </row>
    <row r="366" spans="1:11" x14ac:dyDescent="0.25">
      <c r="A366" s="18"/>
      <c r="B366" s="19"/>
      <c r="C366" s="19"/>
      <c r="D366" s="19"/>
      <c r="E366" s="48" t="s">
        <v>113</v>
      </c>
      <c r="F366" s="48"/>
      <c r="G366" s="48"/>
      <c r="H366" s="25">
        <f>H364+H358+H344</f>
        <v>289163</v>
      </c>
      <c r="I366" s="222"/>
    </row>
    <row r="367" spans="1:11" x14ac:dyDescent="0.25">
      <c r="A367" s="291"/>
      <c r="B367" s="228"/>
      <c r="C367" s="228"/>
      <c r="D367" s="228"/>
      <c r="E367" s="47"/>
      <c r="F367" s="47"/>
      <c r="G367" s="47"/>
      <c r="H367" s="233"/>
      <c r="I367" s="47"/>
    </row>
    <row r="368" spans="1:11" x14ac:dyDescent="0.25">
      <c r="A368" s="291" t="s">
        <v>114</v>
      </c>
      <c r="B368" s="228"/>
      <c r="C368" s="228"/>
      <c r="D368" s="228"/>
      <c r="E368" s="47"/>
      <c r="F368" s="47"/>
      <c r="G368" s="47"/>
      <c r="H368" s="233"/>
      <c r="I368" s="47"/>
    </row>
    <row r="369" spans="1:9" x14ac:dyDescent="0.25">
      <c r="A369" s="6" t="s">
        <v>0</v>
      </c>
      <c r="B369" s="49"/>
      <c r="C369" s="49"/>
      <c r="D369" s="49"/>
      <c r="E369" s="50"/>
      <c r="F369" s="9" t="s">
        <v>115</v>
      </c>
      <c r="G369" s="41" t="s">
        <v>116</v>
      </c>
      <c r="H369" s="10"/>
      <c r="I369" s="47"/>
    </row>
    <row r="370" spans="1:9" x14ac:dyDescent="0.25">
      <c r="A370" s="11" t="s">
        <v>117</v>
      </c>
      <c r="B370" s="51"/>
      <c r="C370" s="51"/>
      <c r="D370" s="51"/>
      <c r="E370" s="52"/>
      <c r="F370" s="53"/>
      <c r="G370" s="14">
        <f>F370*H366</f>
        <v>0</v>
      </c>
      <c r="H370" s="17"/>
      <c r="I370" s="47"/>
    </row>
    <row r="371" spans="1:9" hidden="1" x14ac:dyDescent="0.25">
      <c r="A371" s="81"/>
      <c r="B371" s="301"/>
      <c r="C371" s="301"/>
      <c r="D371" s="301"/>
      <c r="E371" s="302"/>
      <c r="F371" s="303"/>
      <c r="G371" s="304">
        <f>F371*H366</f>
        <v>0</v>
      </c>
      <c r="H371" s="236"/>
      <c r="I371" s="47"/>
    </row>
    <row r="372" spans="1:9" hidden="1" x14ac:dyDescent="0.25">
      <c r="A372" s="11"/>
      <c r="B372" s="51"/>
      <c r="C372" s="51"/>
      <c r="D372" s="51"/>
      <c r="E372" s="52"/>
      <c r="F372" s="53"/>
      <c r="G372" s="14">
        <f>F372*H366</f>
        <v>0</v>
      </c>
      <c r="H372" s="237"/>
      <c r="I372" s="47"/>
    </row>
    <row r="373" spans="1:9" x14ac:dyDescent="0.25">
      <c r="A373" s="4"/>
      <c r="B373" s="4"/>
      <c r="C373" s="4"/>
      <c r="D373" s="4"/>
      <c r="E373" s="46" t="s">
        <v>118</v>
      </c>
      <c r="F373" s="46"/>
      <c r="G373" s="46"/>
      <c r="H373" s="36">
        <f>SUM(G370:G372)</f>
        <v>0</v>
      </c>
      <c r="I373" s="220"/>
    </row>
    <row r="374" spans="1:9" ht="15.75" thickBot="1" x14ac:dyDescent="0.3">
      <c r="A374" s="4"/>
      <c r="B374" s="4"/>
      <c r="C374" s="4"/>
      <c r="D374" s="4"/>
      <c r="E374" s="5"/>
      <c r="F374" s="5"/>
      <c r="G374" s="5"/>
      <c r="H374" s="5"/>
      <c r="I374" s="47"/>
    </row>
    <row r="375" spans="1:9" ht="15.75" thickBot="1" x14ac:dyDescent="0.3">
      <c r="A375" s="4"/>
      <c r="B375" s="4"/>
      <c r="C375" s="4"/>
      <c r="D375" s="4"/>
      <c r="E375" s="54"/>
      <c r="F375" s="54" t="s">
        <v>119</v>
      </c>
      <c r="G375" s="54"/>
      <c r="H375" s="240">
        <f>SUM(H373+H366)</f>
        <v>289163</v>
      </c>
      <c r="I375" s="112"/>
    </row>
    <row r="376" spans="1:9" x14ac:dyDescent="0.25">
      <c r="A376" s="4"/>
      <c r="B376" s="4"/>
      <c r="C376" s="4"/>
      <c r="D376" s="4"/>
      <c r="E376" s="54"/>
      <c r="F376" s="54"/>
      <c r="G376" s="54"/>
      <c r="H376" s="112"/>
      <c r="I376" s="112"/>
    </row>
    <row r="377" spans="1:9" x14ac:dyDescent="0.25">
      <c r="A377" s="4"/>
      <c r="B377" s="4"/>
      <c r="C377" s="4"/>
      <c r="D377" s="4"/>
      <c r="E377" s="54"/>
      <c r="F377" s="54"/>
      <c r="G377" s="54"/>
      <c r="H377" s="112"/>
      <c r="I377" s="112"/>
    </row>
    <row r="378" spans="1:9" x14ac:dyDescent="0.25">
      <c r="A378" s="4"/>
      <c r="B378" s="4"/>
      <c r="C378" s="4"/>
      <c r="D378" s="4"/>
      <c r="E378" s="54"/>
      <c r="F378" s="54"/>
      <c r="G378" s="54"/>
      <c r="H378" s="112"/>
      <c r="I378" s="112"/>
    </row>
    <row r="381" spans="1:9" hidden="1" x14ac:dyDescent="0.25"/>
    <row r="382" spans="1:9" x14ac:dyDescent="0.25">
      <c r="A382" s="412" t="s">
        <v>79</v>
      </c>
      <c r="B382" s="412"/>
      <c r="C382" s="412"/>
      <c r="D382" s="412"/>
      <c r="E382" s="412"/>
      <c r="F382" s="412"/>
      <c r="G382" s="412"/>
      <c r="H382" s="412"/>
      <c r="I382" s="250"/>
    </row>
    <row r="383" spans="1:9" x14ac:dyDescent="0.25">
      <c r="A383" s="4"/>
      <c r="B383" s="4"/>
      <c r="C383" s="4"/>
      <c r="D383" s="4"/>
      <c r="E383" s="5"/>
      <c r="F383" s="5"/>
      <c r="G383" s="411" t="s">
        <v>326</v>
      </c>
      <c r="H383" s="411"/>
      <c r="I383" s="251"/>
    </row>
    <row r="384" spans="1:9" ht="37.9" customHeight="1" x14ac:dyDescent="0.25">
      <c r="A384" s="410" t="s">
        <v>157</v>
      </c>
      <c r="B384" s="410"/>
      <c r="C384" s="410"/>
      <c r="D384" s="410"/>
      <c r="E384" s="410"/>
      <c r="F384" s="410"/>
      <c r="G384" s="410"/>
      <c r="H384" s="410"/>
      <c r="I384" s="254"/>
    </row>
    <row r="385" spans="1:16" x14ac:dyDescent="0.25">
      <c r="A385" s="4"/>
      <c r="B385" s="4"/>
      <c r="C385" s="4"/>
      <c r="D385" s="4"/>
      <c r="E385" s="5"/>
      <c r="F385" s="5"/>
      <c r="G385" s="414" t="s">
        <v>81</v>
      </c>
      <c r="H385" s="414"/>
      <c r="I385" s="253"/>
    </row>
    <row r="386" spans="1:16" x14ac:dyDescent="0.25">
      <c r="A386" s="4" t="s">
        <v>82</v>
      </c>
      <c r="B386" s="4"/>
      <c r="C386" s="4"/>
      <c r="D386" s="4"/>
      <c r="E386" s="5"/>
      <c r="F386" s="5"/>
      <c r="G386" s="5"/>
      <c r="H386" s="5"/>
      <c r="I386" s="47"/>
    </row>
    <row r="387" spans="1:16" x14ac:dyDescent="0.25">
      <c r="A387" s="6" t="s">
        <v>0</v>
      </c>
      <c r="B387" s="7"/>
      <c r="C387" s="8" t="s">
        <v>83</v>
      </c>
      <c r="D387" s="8" t="s">
        <v>84</v>
      </c>
      <c r="E387" s="9" t="s">
        <v>85</v>
      </c>
      <c r="F387" s="9" t="s">
        <v>86</v>
      </c>
      <c r="G387" s="9" t="s">
        <v>87</v>
      </c>
      <c r="H387" s="10"/>
      <c r="I387" s="47"/>
    </row>
    <row r="388" spans="1:16" x14ac:dyDescent="0.25">
      <c r="A388" s="11" t="s">
        <v>88</v>
      </c>
      <c r="B388" s="12"/>
      <c r="C388" s="13"/>
      <c r="D388" s="13"/>
      <c r="E388" s="14"/>
      <c r="F388" s="14"/>
      <c r="G388" s="14">
        <f>ROUND(H412*0.05,0)+8-16</f>
        <v>12535</v>
      </c>
      <c r="H388" s="15"/>
      <c r="I388" s="47"/>
    </row>
    <row r="389" spans="1:16" x14ac:dyDescent="0.25">
      <c r="A389" s="11" t="s">
        <v>327</v>
      </c>
      <c r="B389" s="12"/>
      <c r="C389" s="13"/>
      <c r="D389" s="13"/>
      <c r="E389" s="14">
        <v>350000</v>
      </c>
      <c r="F389" s="14">
        <v>0.25</v>
      </c>
      <c r="G389" s="14">
        <f>ROUND(E389*F389,0)</f>
        <v>87500</v>
      </c>
      <c r="H389" s="15"/>
      <c r="I389" s="47"/>
    </row>
    <row r="390" spans="1:16" x14ac:dyDescent="0.25">
      <c r="A390" s="11" t="s">
        <v>328</v>
      </c>
      <c r="B390" s="11"/>
      <c r="C390" s="13"/>
      <c r="D390" s="13"/>
      <c r="E390" s="14">
        <v>50000</v>
      </c>
      <c r="F390" s="14">
        <v>0.3</v>
      </c>
      <c r="G390" s="14">
        <f t="shared" ref="G390:G391" si="13">ROUND(E390*F390,0)</f>
        <v>15000</v>
      </c>
      <c r="H390" s="15"/>
      <c r="I390" s="47"/>
    </row>
    <row r="391" spans="1:16" hidden="1" x14ac:dyDescent="0.25">
      <c r="A391" s="415"/>
      <c r="B391" s="416"/>
      <c r="C391" s="13"/>
      <c r="D391" s="13"/>
      <c r="E391" s="14"/>
      <c r="F391" s="14"/>
      <c r="G391" s="14">
        <f t="shared" si="13"/>
        <v>0</v>
      </c>
      <c r="H391" s="58"/>
      <c r="I391" s="224"/>
    </row>
    <row r="392" spans="1:16" x14ac:dyDescent="0.25">
      <c r="A392" s="18"/>
      <c r="B392" s="19"/>
      <c r="C392" s="19"/>
      <c r="D392" s="19"/>
      <c r="E392" s="20"/>
      <c r="F392" s="21" t="s">
        <v>90</v>
      </c>
      <c r="G392" s="22"/>
      <c r="H392" s="23">
        <f>SUM(G388:G391)</f>
        <v>115035</v>
      </c>
      <c r="I392" s="220"/>
    </row>
    <row r="393" spans="1:16" x14ac:dyDescent="0.25">
      <c r="A393" s="291" t="s">
        <v>91</v>
      </c>
      <c r="B393" s="228"/>
      <c r="C393" s="228"/>
      <c r="D393" s="228"/>
      <c r="E393" s="47"/>
      <c r="F393" s="47"/>
      <c r="G393" s="47"/>
      <c r="H393" s="233"/>
      <c r="I393" s="47"/>
    </row>
    <row r="394" spans="1:16" x14ac:dyDescent="0.25">
      <c r="A394" s="24" t="s">
        <v>0</v>
      </c>
      <c r="B394" s="24"/>
      <c r="C394" s="8" t="s">
        <v>92</v>
      </c>
      <c r="D394" s="8" t="s">
        <v>93</v>
      </c>
      <c r="E394" s="9" t="s">
        <v>94</v>
      </c>
      <c r="F394" s="9" t="s">
        <v>95</v>
      </c>
      <c r="G394" s="25" t="s">
        <v>96</v>
      </c>
      <c r="H394" s="10"/>
      <c r="I394" s="47"/>
    </row>
    <row r="395" spans="1:16" ht="12" customHeight="1" x14ac:dyDescent="0.25">
      <c r="A395" s="419"/>
      <c r="B395" s="419"/>
      <c r="C395" s="59"/>
      <c r="D395" s="60"/>
      <c r="E395" s="61"/>
      <c r="F395" s="62"/>
      <c r="G395" s="62"/>
      <c r="H395" s="15"/>
      <c r="I395" s="47"/>
      <c r="K395" t="s">
        <v>151</v>
      </c>
      <c r="L395" s="63">
        <v>296800</v>
      </c>
      <c r="M395" s="63">
        <v>15000</v>
      </c>
      <c r="N395" s="63">
        <v>40000</v>
      </c>
      <c r="O395" s="63">
        <f>SUM(L395:N395)</f>
        <v>351800</v>
      </c>
      <c r="P395" s="63">
        <f>+O395/6</f>
        <v>58633.333333333336</v>
      </c>
    </row>
    <row r="396" spans="1:16" ht="33" customHeight="1" x14ac:dyDescent="0.25">
      <c r="A396" s="419" t="s">
        <v>336</v>
      </c>
      <c r="B396" s="419"/>
      <c r="C396" s="59" t="s">
        <v>154</v>
      </c>
      <c r="D396" s="65">
        <v>0.05</v>
      </c>
      <c r="E396" s="61">
        <v>0.15</v>
      </c>
      <c r="F396" s="62">
        <f>146000/3</f>
        <v>48666.666666666664</v>
      </c>
      <c r="G396" s="62">
        <f t="shared" ref="G396:G403" si="14">ROUND(E396*F396,0)</f>
        <v>7300</v>
      </c>
      <c r="H396" s="15"/>
      <c r="I396" s="47"/>
      <c r="P396">
        <f>+P395/10*8</f>
        <v>46906.666666666672</v>
      </c>
    </row>
    <row r="397" spans="1:16" ht="49.9" customHeight="1" x14ac:dyDescent="0.25">
      <c r="A397" s="419" t="s">
        <v>332</v>
      </c>
      <c r="B397" s="419"/>
      <c r="C397" s="59" t="s">
        <v>140</v>
      </c>
      <c r="D397" s="60">
        <v>0.05</v>
      </c>
      <c r="E397" s="66">
        <v>0.25</v>
      </c>
      <c r="F397" s="67">
        <f>201500</f>
        <v>201500</v>
      </c>
      <c r="G397" s="67">
        <f t="shared" si="14"/>
        <v>50375</v>
      </c>
      <c r="H397" s="68"/>
      <c r="I397" s="225"/>
    </row>
    <row r="398" spans="1:16" x14ac:dyDescent="0.25">
      <c r="A398" s="419" t="s">
        <v>218</v>
      </c>
      <c r="B398" s="419"/>
      <c r="C398" s="28" t="s">
        <v>140</v>
      </c>
      <c r="D398" s="31">
        <v>0.05</v>
      </c>
      <c r="E398" s="30">
        <v>0.1</v>
      </c>
      <c r="F398" s="14">
        <v>58000</v>
      </c>
      <c r="G398" s="14">
        <f t="shared" si="14"/>
        <v>5800</v>
      </c>
      <c r="H398" s="15"/>
      <c r="I398" s="47"/>
    </row>
    <row r="399" spans="1:16" x14ac:dyDescent="0.25">
      <c r="A399" s="419" t="s">
        <v>201</v>
      </c>
      <c r="B399" s="419"/>
      <c r="C399" s="28" t="s">
        <v>18</v>
      </c>
      <c r="D399" s="34"/>
      <c r="E399" s="30">
        <v>1</v>
      </c>
      <c r="F399" s="14">
        <v>1900</v>
      </c>
      <c r="G399" s="14">
        <f t="shared" si="14"/>
        <v>1900</v>
      </c>
      <c r="H399" s="15"/>
      <c r="I399" s="47"/>
    </row>
    <row r="400" spans="1:16" x14ac:dyDescent="0.25">
      <c r="A400" s="419" t="s">
        <v>200</v>
      </c>
      <c r="B400" s="419"/>
      <c r="C400" s="28" t="s">
        <v>18</v>
      </c>
      <c r="D400" s="31"/>
      <c r="E400" s="30">
        <v>0.1</v>
      </c>
      <c r="F400" s="14">
        <v>8500</v>
      </c>
      <c r="G400" s="14">
        <f t="shared" si="14"/>
        <v>850</v>
      </c>
      <c r="H400" s="15"/>
      <c r="I400" s="47"/>
    </row>
    <row r="401" spans="1:9" ht="27.6" customHeight="1" x14ac:dyDescent="0.25">
      <c r="A401" s="417" t="s">
        <v>337</v>
      </c>
      <c r="B401" s="418"/>
      <c r="C401" s="59" t="s">
        <v>140</v>
      </c>
      <c r="D401" s="70">
        <v>0.05</v>
      </c>
      <c r="E401" s="61">
        <v>0.15</v>
      </c>
      <c r="F401" s="62">
        <v>109000</v>
      </c>
      <c r="G401" s="62">
        <f t="shared" si="14"/>
        <v>16350</v>
      </c>
      <c r="H401" s="71"/>
      <c r="I401" s="226"/>
    </row>
    <row r="402" spans="1:9" x14ac:dyDescent="0.25">
      <c r="A402" s="417" t="s">
        <v>334</v>
      </c>
      <c r="B402" s="418"/>
      <c r="C402" s="35" t="s">
        <v>158</v>
      </c>
      <c r="D402" s="31"/>
      <c r="E402" s="30">
        <v>0.15</v>
      </c>
      <c r="F402" s="14">
        <v>250000</v>
      </c>
      <c r="G402" s="14">
        <f t="shared" si="14"/>
        <v>37500</v>
      </c>
      <c r="H402" s="15"/>
      <c r="I402" s="47"/>
    </row>
    <row r="403" spans="1:9" ht="18.600000000000001" customHeight="1" x14ac:dyDescent="0.25">
      <c r="A403" s="11" t="s">
        <v>335</v>
      </c>
      <c r="B403" s="12"/>
      <c r="C403" s="35" t="s">
        <v>158</v>
      </c>
      <c r="D403" s="31"/>
      <c r="E403" s="30">
        <v>1</v>
      </c>
      <c r="F403" s="14">
        <v>5000</v>
      </c>
      <c r="G403" s="14">
        <f t="shared" si="14"/>
        <v>5000</v>
      </c>
      <c r="H403" s="17"/>
      <c r="I403" s="47"/>
    </row>
    <row r="404" spans="1:9" x14ac:dyDescent="0.25">
      <c r="A404" s="291"/>
      <c r="B404" s="228"/>
      <c r="C404" s="228"/>
      <c r="D404" s="228"/>
      <c r="E404" s="36"/>
      <c r="F404" s="37" t="s">
        <v>102</v>
      </c>
      <c r="G404" s="38"/>
      <c r="H404" s="23">
        <f>SUM(G395:G403)</f>
        <v>125075</v>
      </c>
      <c r="I404" s="220"/>
    </row>
    <row r="405" spans="1:9" x14ac:dyDescent="0.25">
      <c r="A405" s="291"/>
      <c r="B405" s="228"/>
      <c r="C405" s="228"/>
      <c r="D405" s="228"/>
      <c r="E405" s="36"/>
      <c r="F405" s="39" t="s">
        <v>103</v>
      </c>
      <c r="G405" s="38"/>
      <c r="H405" s="23">
        <f>ROUND((D395*G395)+(D396*G396)+(D397*G397)+(D398*G398)+(D399*G399)+(D400*G400)+(D401*G401)+(D402*G402)+(D403*G403),0)</f>
        <v>3991</v>
      </c>
      <c r="I405" s="220"/>
    </row>
    <row r="406" spans="1:9" x14ac:dyDescent="0.25">
      <c r="A406" s="291"/>
      <c r="B406" s="228"/>
      <c r="C406" s="228"/>
      <c r="D406" s="228"/>
      <c r="E406" s="36"/>
      <c r="F406" s="20" t="s">
        <v>104</v>
      </c>
      <c r="G406" s="40"/>
      <c r="H406" s="23">
        <f>SUM(H404:H405)</f>
        <v>129066</v>
      </c>
      <c r="I406" s="220"/>
    </row>
    <row r="407" spans="1:9" x14ac:dyDescent="0.25">
      <c r="A407" s="291" t="s">
        <v>105</v>
      </c>
      <c r="B407" s="228"/>
      <c r="C407" s="228"/>
      <c r="D407" s="228"/>
      <c r="E407" s="47"/>
      <c r="F407" s="47"/>
      <c r="G407" s="47"/>
      <c r="H407" s="233"/>
      <c r="I407" s="47"/>
    </row>
    <row r="408" spans="1:9" x14ac:dyDescent="0.25">
      <c r="A408" s="24" t="s">
        <v>0</v>
      </c>
      <c r="B408" s="24"/>
      <c r="C408" s="8" t="s">
        <v>106</v>
      </c>
      <c r="D408" s="8" t="s">
        <v>107</v>
      </c>
      <c r="E408" s="9" t="s">
        <v>108</v>
      </c>
      <c r="F408" s="9" t="s">
        <v>109</v>
      </c>
      <c r="G408" s="41" t="s">
        <v>96</v>
      </c>
      <c r="H408" s="10"/>
      <c r="I408" s="47"/>
    </row>
    <row r="409" spans="1:9" x14ac:dyDescent="0.25">
      <c r="A409" s="18" t="s">
        <v>110</v>
      </c>
      <c r="B409" s="42"/>
      <c r="C409" s="13">
        <f>104000+26000</f>
        <v>130000</v>
      </c>
      <c r="D409" s="13">
        <f>+C409*0.16</f>
        <v>20800</v>
      </c>
      <c r="E409" s="14">
        <f>C409+D409</f>
        <v>150800</v>
      </c>
      <c r="F409" s="30">
        <v>1</v>
      </c>
      <c r="G409" s="14">
        <f>ROUND(E409*F409,0)</f>
        <v>150800</v>
      </c>
      <c r="H409" s="15"/>
      <c r="I409" s="47"/>
    </row>
    <row r="410" spans="1:9" x14ac:dyDescent="0.25">
      <c r="A410" s="18" t="s">
        <v>111</v>
      </c>
      <c r="B410" s="42"/>
      <c r="C410" s="13">
        <f>60400+25850</f>
        <v>86250</v>
      </c>
      <c r="D410" s="13">
        <f>+C410*0.16</f>
        <v>13800</v>
      </c>
      <c r="E410" s="14">
        <f>C410+D410</f>
        <v>100050</v>
      </c>
      <c r="F410" s="30">
        <v>1</v>
      </c>
      <c r="G410" s="14">
        <f>ROUND(E410*F410,0)</f>
        <v>100050</v>
      </c>
      <c r="H410" s="15"/>
      <c r="I410" s="47"/>
    </row>
    <row r="411" spans="1:9" hidden="1" x14ac:dyDescent="0.25">
      <c r="A411" s="18"/>
      <c r="B411" s="42"/>
      <c r="C411" s="43"/>
      <c r="D411" s="43"/>
      <c r="E411" s="44">
        <f>C411+D411</f>
        <v>0</v>
      </c>
      <c r="F411" s="45"/>
      <c r="G411" s="14">
        <f>ROUND(E411*F411,0)</f>
        <v>0</v>
      </c>
      <c r="H411" s="15"/>
      <c r="I411" s="47"/>
    </row>
    <row r="412" spans="1:9" x14ac:dyDescent="0.25">
      <c r="A412" s="291"/>
      <c r="B412" s="228"/>
      <c r="C412" s="228"/>
      <c r="D412" s="228"/>
      <c r="E412" s="277" t="s">
        <v>112</v>
      </c>
      <c r="F412" s="277"/>
      <c r="G412" s="277"/>
      <c r="H412" s="82">
        <f>SUM(G409:G411)</f>
        <v>250850</v>
      </c>
      <c r="I412" s="221"/>
    </row>
    <row r="413" spans="1:9" x14ac:dyDescent="0.25">
      <c r="A413" s="291"/>
      <c r="B413" s="228"/>
      <c r="C413" s="228"/>
      <c r="D413" s="228"/>
      <c r="E413" s="47"/>
      <c r="F413" s="47"/>
      <c r="G413" s="47"/>
      <c r="H413" s="233"/>
      <c r="I413" s="47"/>
    </row>
    <row r="414" spans="1:9" x14ac:dyDescent="0.25">
      <c r="A414" s="18"/>
      <c r="B414" s="19"/>
      <c r="C414" s="19"/>
      <c r="D414" s="19"/>
      <c r="E414" s="48" t="s">
        <v>113</v>
      </c>
      <c r="F414" s="48"/>
      <c r="G414" s="48"/>
      <c r="H414" s="25">
        <f>H412+H406+H392</f>
        <v>494951</v>
      </c>
      <c r="I414" s="222"/>
    </row>
    <row r="415" spans="1:9" x14ac:dyDescent="0.25">
      <c r="A415" s="291"/>
      <c r="B415" s="228"/>
      <c r="C415" s="228"/>
      <c r="D415" s="228"/>
      <c r="E415" s="47"/>
      <c r="F415" s="47"/>
      <c r="G415" s="47"/>
      <c r="H415" s="233"/>
      <c r="I415" s="47"/>
    </row>
    <row r="416" spans="1:9" x14ac:dyDescent="0.25">
      <c r="A416" s="291" t="s">
        <v>114</v>
      </c>
      <c r="B416" s="228"/>
      <c r="C416" s="228"/>
      <c r="D416" s="228"/>
      <c r="E416" s="47"/>
      <c r="F416" s="47"/>
      <c r="G416" s="47"/>
      <c r="H416" s="233"/>
      <c r="I416" s="47"/>
    </row>
    <row r="417" spans="1:9" x14ac:dyDescent="0.25">
      <c r="A417" s="6" t="s">
        <v>0</v>
      </c>
      <c r="B417" s="49"/>
      <c r="C417" s="49"/>
      <c r="D417" s="49"/>
      <c r="E417" s="50"/>
      <c r="F417" s="9" t="s">
        <v>115</v>
      </c>
      <c r="G417" s="41" t="s">
        <v>116</v>
      </c>
      <c r="H417" s="10"/>
      <c r="I417" s="47"/>
    </row>
    <row r="418" spans="1:9" x14ac:dyDescent="0.25">
      <c r="A418" s="11" t="s">
        <v>117</v>
      </c>
      <c r="B418" s="51"/>
      <c r="C418" s="51"/>
      <c r="D418" s="51"/>
      <c r="E418" s="52"/>
      <c r="F418" s="53"/>
      <c r="G418" s="14">
        <f>F418*H414</f>
        <v>0</v>
      </c>
      <c r="H418" s="17"/>
      <c r="I418" s="47"/>
    </row>
    <row r="419" spans="1:9" hidden="1" x14ac:dyDescent="0.25">
      <c r="A419" s="81"/>
      <c r="B419" s="301"/>
      <c r="C419" s="301"/>
      <c r="D419" s="301"/>
      <c r="E419" s="302"/>
      <c r="F419" s="303"/>
      <c r="G419" s="304">
        <f>F419*H414</f>
        <v>0</v>
      </c>
      <c r="H419" s="236"/>
      <c r="I419" s="47"/>
    </row>
    <row r="420" spans="1:9" hidden="1" x14ac:dyDescent="0.25">
      <c r="A420" s="11"/>
      <c r="B420" s="51"/>
      <c r="C420" s="51"/>
      <c r="D420" s="51"/>
      <c r="E420" s="52"/>
      <c r="F420" s="53"/>
      <c r="G420" s="14">
        <f>F420*H414</f>
        <v>0</v>
      </c>
      <c r="H420" s="237"/>
      <c r="I420" s="47"/>
    </row>
    <row r="421" spans="1:9" x14ac:dyDescent="0.25">
      <c r="A421" s="4"/>
      <c r="B421" s="4"/>
      <c r="C421" s="4"/>
      <c r="D421" s="4"/>
      <c r="E421" s="46" t="s">
        <v>118</v>
      </c>
      <c r="F421" s="46"/>
      <c r="G421" s="46"/>
      <c r="H421" s="36">
        <f>SUM(G418:G420)</f>
        <v>0</v>
      </c>
      <c r="I421" s="220"/>
    </row>
    <row r="422" spans="1:9" ht="15.75" thickBot="1" x14ac:dyDescent="0.3">
      <c r="A422" s="4"/>
      <c r="B422" s="4"/>
      <c r="C422" s="4"/>
      <c r="D422" s="4"/>
      <c r="E422" s="5"/>
      <c r="F422" s="5"/>
      <c r="G422" s="5"/>
      <c r="H422" s="5"/>
      <c r="I422" s="47"/>
    </row>
    <row r="423" spans="1:9" ht="15.75" thickBot="1" x14ac:dyDescent="0.3">
      <c r="A423" s="4"/>
      <c r="B423" s="4"/>
      <c r="C423" s="4"/>
      <c r="D423" s="4"/>
      <c r="E423" s="54"/>
      <c r="F423" s="54" t="s">
        <v>119</v>
      </c>
      <c r="G423" s="54"/>
      <c r="H423" s="240">
        <f>SUM(H421+H414)</f>
        <v>494951</v>
      </c>
      <c r="I423" s="112"/>
    </row>
    <row r="424" spans="1:9" x14ac:dyDescent="0.25">
      <c r="A424" s="4"/>
      <c r="B424" s="4"/>
      <c r="C424" s="4"/>
      <c r="D424" s="4"/>
      <c r="E424" s="54"/>
      <c r="F424" s="54"/>
      <c r="G424" s="54"/>
      <c r="H424" s="112"/>
      <c r="I424" s="112"/>
    </row>
    <row r="425" spans="1:9" x14ac:dyDescent="0.25">
      <c r="A425" s="4"/>
      <c r="B425" s="4"/>
      <c r="C425" s="4"/>
      <c r="D425" s="4"/>
      <c r="E425" s="54"/>
      <c r="F425" s="54"/>
      <c r="G425" s="54"/>
      <c r="H425" s="112"/>
      <c r="I425" s="112"/>
    </row>
    <row r="426" spans="1:9" x14ac:dyDescent="0.25">
      <c r="A426" s="4"/>
      <c r="B426" s="4"/>
      <c r="C426" s="4"/>
      <c r="D426" s="4"/>
      <c r="E426" s="54"/>
      <c r="F426" s="54"/>
      <c r="G426" s="54"/>
      <c r="H426" s="112"/>
      <c r="I426" s="112"/>
    </row>
    <row r="430" spans="1:9" x14ac:dyDescent="0.25">
      <c r="A430" s="412" t="s">
        <v>79</v>
      </c>
      <c r="B430" s="412"/>
      <c r="C430" s="412"/>
      <c r="D430" s="412"/>
      <c r="E430" s="412"/>
      <c r="F430" s="412"/>
      <c r="G430" s="412"/>
      <c r="H430" s="412"/>
      <c r="I430" s="250"/>
    </row>
    <row r="431" spans="1:9" x14ac:dyDescent="0.25">
      <c r="A431" s="4"/>
      <c r="B431" s="4"/>
      <c r="C431" s="4"/>
      <c r="D431" s="4"/>
      <c r="E431" s="5"/>
      <c r="F431" s="5"/>
      <c r="G431" s="411" t="s">
        <v>326</v>
      </c>
      <c r="H431" s="411"/>
      <c r="I431" s="251"/>
    </row>
    <row r="432" spans="1:9" ht="30.75" customHeight="1" x14ac:dyDescent="0.25">
      <c r="A432" s="410" t="s">
        <v>171</v>
      </c>
      <c r="B432" s="410"/>
      <c r="C432" s="410"/>
      <c r="D432" s="410"/>
      <c r="E432" s="410"/>
      <c r="F432" s="410"/>
      <c r="G432" s="410"/>
      <c r="H432" s="410"/>
      <c r="I432" s="254"/>
    </row>
    <row r="433" spans="1:12" x14ac:dyDescent="0.25">
      <c r="A433" s="4"/>
      <c r="B433" s="4"/>
      <c r="C433" s="4"/>
      <c r="D433" s="4"/>
      <c r="E433" s="5"/>
      <c r="F433" s="5"/>
      <c r="G433" s="414" t="s">
        <v>160</v>
      </c>
      <c r="H433" s="414"/>
      <c r="I433" s="253"/>
      <c r="L433">
        <f>100800/4.2</f>
        <v>24000</v>
      </c>
    </row>
    <row r="434" spans="1:12" x14ac:dyDescent="0.25">
      <c r="A434" s="4" t="s">
        <v>82</v>
      </c>
      <c r="B434" s="4"/>
      <c r="C434" s="4"/>
      <c r="D434" s="4"/>
      <c r="E434" s="5"/>
      <c r="F434" s="5"/>
      <c r="G434" s="5"/>
      <c r="H434" s="5"/>
      <c r="I434" s="47"/>
    </row>
    <row r="435" spans="1:12" x14ac:dyDescent="0.25">
      <c r="A435" s="6" t="s">
        <v>0</v>
      </c>
      <c r="B435" s="7"/>
      <c r="C435" s="8" t="s">
        <v>83</v>
      </c>
      <c r="D435" s="8" t="s">
        <v>84</v>
      </c>
      <c r="E435" s="9" t="s">
        <v>85</v>
      </c>
      <c r="F435" s="9" t="s">
        <v>86</v>
      </c>
      <c r="G435" s="9" t="s">
        <v>87</v>
      </c>
      <c r="H435" s="10"/>
      <c r="I435" s="47"/>
    </row>
    <row r="436" spans="1:12" x14ac:dyDescent="0.25">
      <c r="A436" s="11" t="s">
        <v>88</v>
      </c>
      <c r="B436" s="12"/>
      <c r="C436" s="13"/>
      <c r="D436" s="13"/>
      <c r="E436" s="14"/>
      <c r="F436" s="14"/>
      <c r="G436" s="14">
        <f>ROUND(H461*0.05,0)+8-16</f>
        <v>5636</v>
      </c>
      <c r="H436" s="15"/>
      <c r="I436" s="47"/>
      <c r="K436" s="83"/>
    </row>
    <row r="437" spans="1:12" x14ac:dyDescent="0.25">
      <c r="A437" s="11" t="s">
        <v>352</v>
      </c>
      <c r="B437" s="12"/>
      <c r="C437" s="13"/>
      <c r="D437" s="13"/>
      <c r="E437" s="14">
        <v>15000</v>
      </c>
      <c r="F437" s="14">
        <v>0.5</v>
      </c>
      <c r="G437" s="14">
        <f>ROUND(E437*F437,0)</f>
        <v>7500</v>
      </c>
      <c r="H437" s="15"/>
      <c r="I437" s="47"/>
    </row>
    <row r="438" spans="1:12" x14ac:dyDescent="0.25">
      <c r="A438" s="11" t="s">
        <v>327</v>
      </c>
      <c r="B438" s="12"/>
      <c r="C438" s="13"/>
      <c r="D438" s="13"/>
      <c r="E438" s="14">
        <v>350000</v>
      </c>
      <c r="F438" s="16">
        <v>0.3</v>
      </c>
      <c r="G438" s="14">
        <f>ROUND(E438*F438,0)</f>
        <v>105000</v>
      </c>
      <c r="H438" s="15"/>
      <c r="I438" s="47"/>
    </row>
    <row r="439" spans="1:12" x14ac:dyDescent="0.25">
      <c r="A439" s="11" t="s">
        <v>328</v>
      </c>
      <c r="B439" s="12"/>
      <c r="C439" s="13"/>
      <c r="D439" s="13"/>
      <c r="E439" s="14">
        <v>50000</v>
      </c>
      <c r="F439" s="16">
        <v>1.5</v>
      </c>
      <c r="G439" s="14">
        <f>ROUND(E439*F439,0)</f>
        <v>75000</v>
      </c>
      <c r="H439" s="15"/>
      <c r="I439" s="47"/>
    </row>
    <row r="440" spans="1:12" x14ac:dyDescent="0.25">
      <c r="A440" s="11"/>
      <c r="B440" s="12"/>
      <c r="C440" s="13"/>
      <c r="D440" s="13"/>
      <c r="E440" s="14"/>
      <c r="F440" s="14"/>
      <c r="G440" s="14">
        <f>ROUND(E440*F440,0)</f>
        <v>0</v>
      </c>
      <c r="H440" s="17"/>
      <c r="I440" s="47"/>
    </row>
    <row r="441" spans="1:12" x14ac:dyDescent="0.25">
      <c r="A441" s="18"/>
      <c r="B441" s="19"/>
      <c r="C441" s="19"/>
      <c r="D441" s="19"/>
      <c r="E441" s="20"/>
      <c r="F441" s="21" t="s">
        <v>90</v>
      </c>
      <c r="G441" s="22"/>
      <c r="H441" s="23">
        <f>SUM(G436:G440)</f>
        <v>193136</v>
      </c>
      <c r="I441" s="220"/>
    </row>
    <row r="442" spans="1:12" x14ac:dyDescent="0.25">
      <c r="A442" s="291" t="s">
        <v>91</v>
      </c>
      <c r="B442" s="228"/>
      <c r="C442" s="228"/>
      <c r="D442" s="228"/>
      <c r="E442" s="47"/>
      <c r="F442" s="47"/>
      <c r="G442" s="47"/>
      <c r="H442" s="233"/>
      <c r="I442" s="47"/>
    </row>
    <row r="443" spans="1:12" x14ac:dyDescent="0.25">
      <c r="A443" s="24" t="s">
        <v>0</v>
      </c>
      <c r="B443" s="24"/>
      <c r="C443" s="8" t="s">
        <v>92</v>
      </c>
      <c r="D443" s="8" t="s">
        <v>93</v>
      </c>
      <c r="E443" s="9" t="s">
        <v>94</v>
      </c>
      <c r="F443" s="9" t="s">
        <v>95</v>
      </c>
      <c r="G443" s="25" t="s">
        <v>96</v>
      </c>
      <c r="H443" s="10"/>
      <c r="I443" s="47"/>
    </row>
    <row r="444" spans="1:12" x14ac:dyDescent="0.25">
      <c r="A444" s="26" t="s">
        <v>162</v>
      </c>
      <c r="B444" s="27"/>
      <c r="C444" s="28" t="s">
        <v>9</v>
      </c>
      <c r="D444" s="31">
        <v>0.05</v>
      </c>
      <c r="E444" s="73">
        <v>2.5</v>
      </c>
      <c r="F444" s="14">
        <f>168000/6</f>
        <v>28000</v>
      </c>
      <c r="G444" s="14">
        <f t="shared" ref="G444:G452" si="15">ROUND(E444*F444,0)</f>
        <v>70000</v>
      </c>
      <c r="H444" s="15"/>
      <c r="I444" s="47"/>
    </row>
    <row r="445" spans="1:12" x14ac:dyDescent="0.25">
      <c r="A445" s="26" t="s">
        <v>351</v>
      </c>
      <c r="B445" s="27"/>
      <c r="C445" s="28" t="s">
        <v>7</v>
      </c>
      <c r="D445" s="29">
        <v>0.05</v>
      </c>
      <c r="E445" s="73">
        <v>1</v>
      </c>
      <c r="F445" s="74">
        <f>+ROUND(302000/(1.22*2.44),0)</f>
        <v>101451</v>
      </c>
      <c r="G445" s="14">
        <f t="shared" si="15"/>
        <v>101451</v>
      </c>
      <c r="H445" s="15"/>
      <c r="I445" s="47"/>
    </row>
    <row r="446" spans="1:12" ht="26.45" customHeight="1" x14ac:dyDescent="0.25">
      <c r="A446" s="420" t="s">
        <v>338</v>
      </c>
      <c r="B446" s="421"/>
      <c r="C446" s="59" t="s">
        <v>7</v>
      </c>
      <c r="D446" s="60">
        <v>0.05</v>
      </c>
      <c r="E446" s="75">
        <v>1</v>
      </c>
      <c r="F446" s="62">
        <f>210000/6</f>
        <v>35000</v>
      </c>
      <c r="G446" s="62">
        <f t="shared" si="15"/>
        <v>35000</v>
      </c>
      <c r="H446" s="15"/>
      <c r="I446" s="47"/>
    </row>
    <row r="447" spans="1:12" ht="25.15" customHeight="1" x14ac:dyDescent="0.25">
      <c r="A447" s="420" t="s">
        <v>163</v>
      </c>
      <c r="B447" s="421"/>
      <c r="C447" s="59" t="s">
        <v>18</v>
      </c>
      <c r="D447" s="60">
        <v>0.05</v>
      </c>
      <c r="E447" s="75">
        <v>5</v>
      </c>
      <c r="F447" s="62">
        <v>1500</v>
      </c>
      <c r="G447" s="62">
        <f t="shared" si="15"/>
        <v>7500</v>
      </c>
      <c r="H447" s="15"/>
      <c r="I447" s="47"/>
    </row>
    <row r="448" spans="1:12" x14ac:dyDescent="0.25">
      <c r="A448" s="26" t="s">
        <v>164</v>
      </c>
      <c r="B448" s="27"/>
      <c r="C448" s="28" t="s">
        <v>165</v>
      </c>
      <c r="D448" s="29">
        <v>0.05</v>
      </c>
      <c r="E448" s="73">
        <v>0.3</v>
      </c>
      <c r="F448" s="14">
        <v>7500</v>
      </c>
      <c r="G448" s="14">
        <f t="shared" si="15"/>
        <v>2250</v>
      </c>
      <c r="H448" s="15"/>
      <c r="I448" s="47"/>
    </row>
    <row r="449" spans="1:9" x14ac:dyDescent="0.25">
      <c r="A449" s="26" t="s">
        <v>166</v>
      </c>
      <c r="B449" s="27"/>
      <c r="C449" s="28" t="s">
        <v>18</v>
      </c>
      <c r="D449" s="29">
        <v>0.05</v>
      </c>
      <c r="E449" s="73">
        <v>0.1</v>
      </c>
      <c r="F449" s="74"/>
      <c r="G449" s="14">
        <f t="shared" si="15"/>
        <v>0</v>
      </c>
      <c r="H449" s="15"/>
      <c r="I449" s="47"/>
    </row>
    <row r="450" spans="1:9" x14ac:dyDescent="0.25">
      <c r="A450" s="26" t="s">
        <v>167</v>
      </c>
      <c r="B450" s="27"/>
      <c r="C450" s="28" t="s">
        <v>9</v>
      </c>
      <c r="D450" s="29">
        <v>0.05</v>
      </c>
      <c r="E450" s="73">
        <v>0.3</v>
      </c>
      <c r="F450" s="14">
        <f>ROUND(112000/6,0)</f>
        <v>18667</v>
      </c>
      <c r="G450" s="14">
        <f t="shared" si="15"/>
        <v>5600</v>
      </c>
      <c r="H450" s="15"/>
      <c r="I450" s="47"/>
    </row>
    <row r="451" spans="1:9" x14ac:dyDescent="0.25">
      <c r="A451" s="26" t="s">
        <v>168</v>
      </c>
      <c r="B451" s="27"/>
      <c r="C451" s="28" t="s">
        <v>7</v>
      </c>
      <c r="D451" s="29">
        <v>0.05</v>
      </c>
      <c r="E451" s="73">
        <v>1</v>
      </c>
      <c r="F451" s="14">
        <f>190000/10</f>
        <v>19000</v>
      </c>
      <c r="G451" s="14">
        <f t="shared" si="15"/>
        <v>19000</v>
      </c>
      <c r="H451" s="15"/>
      <c r="I451" s="47"/>
    </row>
    <row r="452" spans="1:9" x14ac:dyDescent="0.25">
      <c r="A452" s="11" t="s">
        <v>169</v>
      </c>
      <c r="B452" s="12"/>
      <c r="C452" s="35" t="s">
        <v>170</v>
      </c>
      <c r="D452" s="31">
        <v>0.05</v>
      </c>
      <c r="E452" s="30">
        <v>2.5000000000000001E-2</v>
      </c>
      <c r="F452" s="14">
        <v>275000</v>
      </c>
      <c r="G452" s="14">
        <f t="shared" si="15"/>
        <v>6875</v>
      </c>
      <c r="H452" s="17"/>
      <c r="I452" s="47"/>
    </row>
    <row r="453" spans="1:9" x14ac:dyDescent="0.25">
      <c r="A453" s="291"/>
      <c r="B453" s="228"/>
      <c r="C453" s="228"/>
      <c r="D453" s="228"/>
      <c r="E453" s="36"/>
      <c r="F453" s="37" t="s">
        <v>102</v>
      </c>
      <c r="G453" s="38"/>
      <c r="H453" s="23">
        <f>SUM(G444:G452)</f>
        <v>247676</v>
      </c>
      <c r="I453" s="220"/>
    </row>
    <row r="454" spans="1:9" x14ac:dyDescent="0.25">
      <c r="A454" s="291"/>
      <c r="B454" s="228"/>
      <c r="C454" s="228"/>
      <c r="D454" s="228"/>
      <c r="E454" s="36"/>
      <c r="F454" s="39" t="s">
        <v>103</v>
      </c>
      <c r="G454" s="38"/>
      <c r="H454" s="23">
        <f>ROUND((D444*G444)+(D445*G445)+(D446*G446)+(D447*G447)+(D448*G448)+(D449*G449)+(D450*G450)+(D452*G452),0)</f>
        <v>11434</v>
      </c>
      <c r="I454" s="220"/>
    </row>
    <row r="455" spans="1:9" x14ac:dyDescent="0.25">
      <c r="A455" s="291"/>
      <c r="B455" s="228"/>
      <c r="C455" s="228"/>
      <c r="D455" s="228"/>
      <c r="E455" s="36"/>
      <c r="F455" s="20" t="s">
        <v>104</v>
      </c>
      <c r="G455" s="40"/>
      <c r="H455" s="23">
        <f>SUM(H453:H454)</f>
        <v>259110</v>
      </c>
      <c r="I455" s="220"/>
    </row>
    <row r="456" spans="1:9" x14ac:dyDescent="0.25">
      <c r="A456" s="291" t="s">
        <v>105</v>
      </c>
      <c r="B456" s="228"/>
      <c r="C456" s="228"/>
      <c r="D456" s="228"/>
      <c r="E456" s="47"/>
      <c r="F456" s="47"/>
      <c r="G456" s="47"/>
      <c r="H456" s="233"/>
      <c r="I456" s="47"/>
    </row>
    <row r="457" spans="1:9" x14ac:dyDescent="0.25">
      <c r="A457" s="24" t="s">
        <v>0</v>
      </c>
      <c r="B457" s="24"/>
      <c r="C457" s="8" t="s">
        <v>106</v>
      </c>
      <c r="D457" s="8" t="s">
        <v>107</v>
      </c>
      <c r="E457" s="9" t="s">
        <v>108</v>
      </c>
      <c r="F457" s="9" t="s">
        <v>109</v>
      </c>
      <c r="G457" s="41" t="s">
        <v>96</v>
      </c>
      <c r="H457" s="10"/>
      <c r="I457" s="47"/>
    </row>
    <row r="458" spans="1:9" x14ac:dyDescent="0.25">
      <c r="A458" s="76" t="s">
        <v>110</v>
      </c>
      <c r="B458" s="42"/>
      <c r="C458" s="13">
        <f>104000+26000</f>
        <v>130000</v>
      </c>
      <c r="D458" s="13">
        <f>+C458*0.16</f>
        <v>20800</v>
      </c>
      <c r="E458" s="14">
        <f>C458+D458</f>
        <v>150800</v>
      </c>
      <c r="F458" s="30">
        <v>0.45</v>
      </c>
      <c r="G458" s="14">
        <f>ROUND(E458*F458,0)</f>
        <v>67860</v>
      </c>
      <c r="H458" s="15"/>
      <c r="I458" s="47"/>
    </row>
    <row r="459" spans="1:9" x14ac:dyDescent="0.25">
      <c r="A459" s="76" t="s">
        <v>111</v>
      </c>
      <c r="B459" s="42"/>
      <c r="C459" s="13">
        <f>60400+25850</f>
        <v>86250</v>
      </c>
      <c r="D459" s="13">
        <f>+C459*0.16</f>
        <v>13800</v>
      </c>
      <c r="E459" s="14">
        <f>C459+D459</f>
        <v>100050</v>
      </c>
      <c r="F459" s="30">
        <v>0.45</v>
      </c>
      <c r="G459" s="14">
        <f>ROUND(E459*F459,0)</f>
        <v>45023</v>
      </c>
      <c r="H459" s="15"/>
      <c r="I459" s="47"/>
    </row>
    <row r="460" spans="1:9" x14ac:dyDescent="0.25">
      <c r="A460" s="18"/>
      <c r="B460" s="42"/>
      <c r="C460" s="43"/>
      <c r="D460" s="43"/>
      <c r="E460" s="44">
        <f>C460+D460</f>
        <v>0</v>
      </c>
      <c r="F460" s="45"/>
      <c r="G460" s="14">
        <f>ROUND(E460*F460,0)</f>
        <v>0</v>
      </c>
      <c r="H460" s="15"/>
      <c r="I460" s="47"/>
    </row>
    <row r="461" spans="1:9" x14ac:dyDescent="0.25">
      <c r="A461" s="291"/>
      <c r="B461" s="228"/>
      <c r="C461" s="228"/>
      <c r="D461" s="228"/>
      <c r="E461" s="277" t="s">
        <v>112</v>
      </c>
      <c r="F461" s="277"/>
      <c r="G461" s="277"/>
      <c r="H461" s="23">
        <f>SUM(G458:G460)</f>
        <v>112883</v>
      </c>
      <c r="I461" s="220"/>
    </row>
    <row r="462" spans="1:9" x14ac:dyDescent="0.25">
      <c r="A462" s="291"/>
      <c r="B462" s="228"/>
      <c r="C462" s="228"/>
      <c r="D462" s="228"/>
      <c r="E462" s="47"/>
      <c r="F462" s="47"/>
      <c r="G462" s="47"/>
      <c r="H462" s="233"/>
      <c r="I462" s="47"/>
    </row>
    <row r="463" spans="1:9" x14ac:dyDescent="0.25">
      <c r="A463" s="18"/>
      <c r="B463" s="19"/>
      <c r="C463" s="19"/>
      <c r="D463" s="19"/>
      <c r="E463" s="48" t="s">
        <v>113</v>
      </c>
      <c r="F463" s="48"/>
      <c r="G463" s="48"/>
      <c r="H463" s="25">
        <f>H461+H455+H441</f>
        <v>565129</v>
      </c>
      <c r="I463" s="222"/>
    </row>
    <row r="464" spans="1:9" x14ac:dyDescent="0.25">
      <c r="A464" s="291"/>
      <c r="B464" s="228"/>
      <c r="C464" s="228"/>
      <c r="D464" s="228"/>
      <c r="E464" s="47"/>
      <c r="F464" s="47"/>
      <c r="G464" s="47"/>
      <c r="H464" s="233"/>
      <c r="I464" s="47"/>
    </row>
    <row r="465" spans="1:9" x14ac:dyDescent="0.25">
      <c r="A465" s="291" t="s">
        <v>114</v>
      </c>
      <c r="B465" s="228"/>
      <c r="C465" s="228"/>
      <c r="D465" s="228"/>
      <c r="E465" s="47"/>
      <c r="F465" s="47"/>
      <c r="G465" s="47"/>
      <c r="H465" s="233"/>
      <c r="I465" s="47"/>
    </row>
    <row r="466" spans="1:9" x14ac:dyDescent="0.25">
      <c r="A466" s="6" t="s">
        <v>0</v>
      </c>
      <c r="B466" s="49"/>
      <c r="C466" s="49"/>
      <c r="D466" s="49"/>
      <c r="E466" s="50"/>
      <c r="F466" s="9" t="s">
        <v>115</v>
      </c>
      <c r="G466" s="41" t="s">
        <v>116</v>
      </c>
      <c r="H466" s="10"/>
      <c r="I466" s="47"/>
    </row>
    <row r="467" spans="1:9" x14ac:dyDescent="0.25">
      <c r="A467" s="11" t="s">
        <v>117</v>
      </c>
      <c r="B467" s="51"/>
      <c r="C467" s="51"/>
      <c r="D467" s="51"/>
      <c r="E467" s="52"/>
      <c r="F467" s="53"/>
      <c r="G467" s="14">
        <f>F467*H463</f>
        <v>0</v>
      </c>
      <c r="H467" s="17"/>
      <c r="I467" s="47"/>
    </row>
    <row r="468" spans="1:9" hidden="1" x14ac:dyDescent="0.25">
      <c r="A468" s="81"/>
      <c r="B468" s="301"/>
      <c r="C468" s="301"/>
      <c r="D468" s="301"/>
      <c r="E468" s="302"/>
      <c r="F468" s="303"/>
      <c r="G468" s="304">
        <f>F468*H463</f>
        <v>0</v>
      </c>
      <c r="H468" s="236"/>
      <c r="I468" s="47"/>
    </row>
    <row r="469" spans="1:9" hidden="1" x14ac:dyDescent="0.25">
      <c r="A469" s="11"/>
      <c r="B469" s="51"/>
      <c r="C469" s="51"/>
      <c r="D469" s="51"/>
      <c r="E469" s="52"/>
      <c r="F469" s="53"/>
      <c r="G469" s="14">
        <f>F469*H463</f>
        <v>0</v>
      </c>
      <c r="H469" s="237"/>
      <c r="I469" s="47"/>
    </row>
    <row r="470" spans="1:9" x14ac:dyDescent="0.25">
      <c r="A470" s="4"/>
      <c r="B470" s="4"/>
      <c r="C470" s="4"/>
      <c r="D470" s="4"/>
      <c r="E470" s="46" t="s">
        <v>118</v>
      </c>
      <c r="F470" s="46"/>
      <c r="G470" s="46"/>
      <c r="H470" s="36">
        <f>SUM(G467:G469)</f>
        <v>0</v>
      </c>
      <c r="I470" s="220"/>
    </row>
    <row r="471" spans="1:9" ht="15.75" thickBot="1" x14ac:dyDescent="0.3">
      <c r="A471" s="4"/>
      <c r="B471" s="4"/>
      <c r="C471" s="4"/>
      <c r="D471" s="4"/>
      <c r="E471" s="5"/>
      <c r="F471" s="5"/>
      <c r="G471" s="5"/>
      <c r="H471" s="5"/>
      <c r="I471" s="47"/>
    </row>
    <row r="472" spans="1:9" ht="15.75" thickBot="1" x14ac:dyDescent="0.3">
      <c r="A472" s="4"/>
      <c r="B472" s="4"/>
      <c r="C472" s="4"/>
      <c r="D472" s="4"/>
      <c r="E472" s="54"/>
      <c r="F472" s="54" t="s">
        <v>119</v>
      </c>
      <c r="G472" s="54"/>
      <c r="H472" s="240">
        <f>SUM(H470+H463)</f>
        <v>565129</v>
      </c>
      <c r="I472" s="112"/>
    </row>
    <row r="473" spans="1:9" x14ac:dyDescent="0.25">
      <c r="A473" s="4"/>
      <c r="B473" s="4"/>
      <c r="C473" s="4"/>
      <c r="D473" s="4"/>
      <c r="E473" s="54"/>
      <c r="F473" s="54"/>
      <c r="G473" s="54"/>
      <c r="H473" s="112"/>
      <c r="I473" s="112"/>
    </row>
    <row r="474" spans="1:9" x14ac:dyDescent="0.25">
      <c r="A474" s="4"/>
      <c r="B474" s="4"/>
      <c r="C474" s="4"/>
      <c r="D474" s="4"/>
      <c r="E474" s="54"/>
      <c r="F474" s="54"/>
      <c r="G474" s="54"/>
      <c r="H474" s="112"/>
      <c r="I474" s="112"/>
    </row>
    <row r="475" spans="1:9" x14ac:dyDescent="0.25">
      <c r="A475" s="4"/>
      <c r="B475" s="4"/>
      <c r="C475" s="4"/>
      <c r="D475" s="4"/>
      <c r="E475" s="54"/>
      <c r="F475" s="54"/>
      <c r="G475" s="54"/>
      <c r="H475" s="112"/>
      <c r="I475" s="112"/>
    </row>
    <row r="476" spans="1:9" x14ac:dyDescent="0.25">
      <c r="A476" s="4"/>
      <c r="B476" s="4"/>
      <c r="C476" s="4"/>
      <c r="D476" s="4"/>
      <c r="E476" s="54"/>
      <c r="F476" s="54"/>
      <c r="G476" s="54"/>
      <c r="H476" s="112"/>
      <c r="I476" s="112"/>
    </row>
    <row r="477" spans="1:9" x14ac:dyDescent="0.25">
      <c r="A477" s="4"/>
      <c r="B477" s="4"/>
      <c r="C477" s="4"/>
      <c r="D477" s="4"/>
      <c r="E477" s="54"/>
      <c r="F477" s="54"/>
      <c r="G477" s="54"/>
      <c r="H477" s="112"/>
      <c r="I477" s="112"/>
    </row>
    <row r="478" spans="1:9" x14ac:dyDescent="0.25">
      <c r="I478" s="112"/>
    </row>
    <row r="479" spans="1:9" x14ac:dyDescent="0.25">
      <c r="I479" s="112"/>
    </row>
    <row r="480" spans="1:9" x14ac:dyDescent="0.25">
      <c r="A480" s="412" t="s">
        <v>79</v>
      </c>
      <c r="B480" s="412"/>
      <c r="C480" s="412"/>
      <c r="D480" s="412"/>
      <c r="E480" s="412"/>
      <c r="F480" s="412"/>
      <c r="G480" s="412"/>
      <c r="H480" s="412"/>
      <c r="I480" s="112"/>
    </row>
    <row r="481" spans="1:9" x14ac:dyDescent="0.25">
      <c r="A481" s="4"/>
      <c r="B481" s="4"/>
      <c r="C481" s="4"/>
      <c r="D481" s="4"/>
      <c r="E481" s="5"/>
      <c r="F481" s="5"/>
      <c r="G481" s="411" t="s">
        <v>326</v>
      </c>
      <c r="H481" s="411"/>
      <c r="I481" s="112"/>
    </row>
    <row r="482" spans="1:9" ht="27.6" customHeight="1" x14ac:dyDescent="0.25">
      <c r="A482" s="410" t="s">
        <v>412</v>
      </c>
      <c r="B482" s="410"/>
      <c r="C482" s="410"/>
      <c r="D482" s="410"/>
      <c r="E482" s="410"/>
      <c r="F482" s="410"/>
      <c r="G482" s="410"/>
      <c r="H482" s="410"/>
      <c r="I482" s="112"/>
    </row>
    <row r="483" spans="1:9" x14ac:dyDescent="0.25">
      <c r="A483" s="4"/>
      <c r="B483" s="4"/>
      <c r="C483" s="4"/>
      <c r="D483" s="4"/>
      <c r="E483" s="5"/>
      <c r="F483" s="5"/>
      <c r="G483" s="414" t="s">
        <v>120</v>
      </c>
      <c r="H483" s="414"/>
      <c r="I483" s="112"/>
    </row>
    <row r="484" spans="1:9" x14ac:dyDescent="0.25">
      <c r="A484" s="4" t="s">
        <v>82</v>
      </c>
      <c r="B484" s="4"/>
      <c r="C484" s="4"/>
      <c r="D484" s="4"/>
      <c r="E484" s="5"/>
      <c r="F484" s="5"/>
      <c r="G484" s="5"/>
      <c r="H484" s="5"/>
      <c r="I484" s="112"/>
    </row>
    <row r="485" spans="1:9" x14ac:dyDescent="0.25">
      <c r="A485" s="6" t="s">
        <v>0</v>
      </c>
      <c r="B485" s="7"/>
      <c r="C485" s="8" t="s">
        <v>83</v>
      </c>
      <c r="D485" s="8" t="s">
        <v>84</v>
      </c>
      <c r="E485" s="9" t="s">
        <v>85</v>
      </c>
      <c r="F485" s="9" t="s">
        <v>86</v>
      </c>
      <c r="G485" s="9" t="s">
        <v>87</v>
      </c>
      <c r="H485" s="10"/>
      <c r="I485" s="112"/>
    </row>
    <row r="486" spans="1:9" x14ac:dyDescent="0.25">
      <c r="A486" s="11" t="s">
        <v>88</v>
      </c>
      <c r="B486" s="12"/>
      <c r="C486" s="13"/>
      <c r="D486" s="13"/>
      <c r="E486" s="14"/>
      <c r="F486" s="14"/>
      <c r="G486" s="14">
        <f>ROUND(H507*0.05,0)+8-16</f>
        <v>3755</v>
      </c>
      <c r="H486" s="15"/>
      <c r="I486" s="112"/>
    </row>
    <row r="487" spans="1:9" x14ac:dyDescent="0.25">
      <c r="A487" s="11" t="s">
        <v>328</v>
      </c>
      <c r="B487" s="12"/>
      <c r="C487" s="13"/>
      <c r="D487" s="13"/>
      <c r="E487" s="14">
        <v>50000</v>
      </c>
      <c r="F487" s="14">
        <v>0.3</v>
      </c>
      <c r="G487" s="14">
        <f>ROUND(E487*F487,0)</f>
        <v>15000</v>
      </c>
      <c r="H487" s="15"/>
      <c r="I487" s="112"/>
    </row>
    <row r="488" spans="1:9" x14ac:dyDescent="0.25">
      <c r="A488" s="11" t="s">
        <v>327</v>
      </c>
      <c r="B488" s="12"/>
      <c r="C488" s="13"/>
      <c r="D488" s="13"/>
      <c r="E488" s="14">
        <v>350000</v>
      </c>
      <c r="F488" s="16">
        <v>0.15</v>
      </c>
      <c r="G488" s="14">
        <f>ROUND(E488*F488,0)</f>
        <v>52500</v>
      </c>
      <c r="H488" s="15"/>
      <c r="I488" s="112"/>
    </row>
    <row r="489" spans="1:9" x14ac:dyDescent="0.25">
      <c r="A489" s="11"/>
      <c r="B489" s="12"/>
      <c r="C489" s="13"/>
      <c r="D489" s="13"/>
      <c r="E489" s="14"/>
      <c r="F489" s="14"/>
      <c r="G489" s="14">
        <f>ROUND(E489*F489,0)</f>
        <v>0</v>
      </c>
      <c r="H489" s="17"/>
      <c r="I489" s="112"/>
    </row>
    <row r="490" spans="1:9" x14ac:dyDescent="0.25">
      <c r="A490" s="18"/>
      <c r="B490" s="19"/>
      <c r="C490" s="19"/>
      <c r="D490" s="19"/>
      <c r="E490" s="20"/>
      <c r="F490" s="21" t="s">
        <v>90</v>
      </c>
      <c r="G490" s="22"/>
      <c r="H490" s="23">
        <f>SUM(G486:G489)</f>
        <v>71255</v>
      </c>
      <c r="I490" s="112"/>
    </row>
    <row r="491" spans="1:9" x14ac:dyDescent="0.25">
      <c r="A491" s="291" t="s">
        <v>91</v>
      </c>
      <c r="B491" s="228"/>
      <c r="C491" s="228"/>
      <c r="D491" s="228"/>
      <c r="E491" s="47"/>
      <c r="F491" s="47"/>
      <c r="G491" s="47"/>
      <c r="H491" s="233"/>
      <c r="I491" s="112"/>
    </row>
    <row r="492" spans="1:9" x14ac:dyDescent="0.25">
      <c r="A492" s="24" t="s">
        <v>0</v>
      </c>
      <c r="B492" s="24"/>
      <c r="C492" s="8" t="s">
        <v>92</v>
      </c>
      <c r="D492" s="8" t="s">
        <v>93</v>
      </c>
      <c r="E492" s="9" t="s">
        <v>94</v>
      </c>
      <c r="F492" s="9" t="s">
        <v>95</v>
      </c>
      <c r="G492" s="25" t="s">
        <v>96</v>
      </c>
      <c r="H492" s="10"/>
      <c r="I492" s="112"/>
    </row>
    <row r="493" spans="1:9" ht="83.45" customHeight="1" x14ac:dyDescent="0.25">
      <c r="A493" s="422" t="s">
        <v>413</v>
      </c>
      <c r="B493" s="423"/>
      <c r="C493" s="28" t="s">
        <v>8</v>
      </c>
      <c r="D493" s="31"/>
      <c r="E493" s="73">
        <v>1</v>
      </c>
      <c r="F493" s="74">
        <v>400000</v>
      </c>
      <c r="G493" s="14">
        <f t="shared" ref="G493:G498" si="16">ROUND(E493*F493,0)</f>
        <v>400000</v>
      </c>
      <c r="H493" s="15"/>
      <c r="I493" s="112"/>
    </row>
    <row r="494" spans="1:9" x14ac:dyDescent="0.25">
      <c r="A494" s="26"/>
      <c r="B494" s="27"/>
      <c r="C494" s="28"/>
      <c r="D494" s="29"/>
      <c r="E494" s="73"/>
      <c r="F494" s="74"/>
      <c r="G494" s="14">
        <f t="shared" si="16"/>
        <v>0</v>
      </c>
      <c r="H494" s="15"/>
      <c r="I494" s="112"/>
    </row>
    <row r="495" spans="1:9" ht="14.45" customHeight="1" x14ac:dyDescent="0.25">
      <c r="A495" s="420"/>
      <c r="B495" s="421"/>
      <c r="C495" s="59"/>
      <c r="D495" s="60"/>
      <c r="E495" s="75"/>
      <c r="F495" s="87"/>
      <c r="G495" s="62">
        <f t="shared" si="16"/>
        <v>0</v>
      </c>
      <c r="H495" s="15"/>
      <c r="I495" s="112"/>
    </row>
    <row r="496" spans="1:9" ht="14.45" hidden="1" customHeight="1" x14ac:dyDescent="0.25">
      <c r="A496" s="420"/>
      <c r="B496" s="421"/>
      <c r="C496" s="59"/>
      <c r="D496" s="60"/>
      <c r="E496" s="75"/>
      <c r="F496" s="87"/>
      <c r="G496" s="62">
        <f t="shared" si="16"/>
        <v>0</v>
      </c>
      <c r="H496" s="15"/>
      <c r="I496" s="112"/>
    </row>
    <row r="497" spans="1:9" hidden="1" x14ac:dyDescent="0.25">
      <c r="A497" s="26"/>
      <c r="B497" s="27"/>
      <c r="C497" s="28"/>
      <c r="D497" s="29"/>
      <c r="E497" s="73"/>
      <c r="F497" s="14"/>
      <c r="G497" s="14">
        <f t="shared" si="16"/>
        <v>0</v>
      </c>
      <c r="H497" s="15"/>
      <c r="I497" s="112"/>
    </row>
    <row r="498" spans="1:9" x14ac:dyDescent="0.25">
      <c r="A498" s="11"/>
      <c r="B498" s="12"/>
      <c r="C498" s="35"/>
      <c r="D498" s="31"/>
      <c r="E498" s="30"/>
      <c r="F498" s="14"/>
      <c r="G498" s="14">
        <f t="shared" si="16"/>
        <v>0</v>
      </c>
      <c r="H498" s="17"/>
      <c r="I498" s="112"/>
    </row>
    <row r="499" spans="1:9" x14ac:dyDescent="0.25">
      <c r="A499" s="291"/>
      <c r="B499" s="228"/>
      <c r="C499" s="228"/>
      <c r="D499" s="228"/>
      <c r="E499" s="36"/>
      <c r="F499" s="37"/>
      <c r="G499" s="38"/>
      <c r="H499" s="23">
        <f>SUM(G493:G498)</f>
        <v>400000</v>
      </c>
      <c r="I499" s="112"/>
    </row>
    <row r="500" spans="1:9" x14ac:dyDescent="0.25">
      <c r="A500" s="291"/>
      <c r="B500" s="228"/>
      <c r="C500" s="228"/>
      <c r="D500" s="228"/>
      <c r="E500" s="36"/>
      <c r="F500" s="39" t="s">
        <v>103</v>
      </c>
      <c r="G500" s="38"/>
      <c r="H500" s="23">
        <f>+D493</f>
        <v>0</v>
      </c>
      <c r="I500" s="112"/>
    </row>
    <row r="501" spans="1:9" x14ac:dyDescent="0.25">
      <c r="A501" s="291"/>
      <c r="B501" s="228"/>
      <c r="C501" s="228"/>
      <c r="D501" s="228"/>
      <c r="E501" s="36"/>
      <c r="F501" s="20" t="s">
        <v>104</v>
      </c>
      <c r="G501" s="40"/>
      <c r="H501" s="23">
        <f>SUM(H499:H500)</f>
        <v>400000</v>
      </c>
      <c r="I501" s="112"/>
    </row>
    <row r="502" spans="1:9" x14ac:dyDescent="0.25">
      <c r="A502" s="291" t="s">
        <v>105</v>
      </c>
      <c r="B502" s="228"/>
      <c r="C502" s="228"/>
      <c r="D502" s="228"/>
      <c r="E502" s="47"/>
      <c r="F502" s="47"/>
      <c r="G502" s="47"/>
      <c r="H502" s="233"/>
      <c r="I502" s="112"/>
    </row>
    <row r="503" spans="1:9" x14ac:dyDescent="0.25">
      <c r="A503" s="24" t="s">
        <v>0</v>
      </c>
      <c r="B503" s="24"/>
      <c r="C503" s="8" t="s">
        <v>106</v>
      </c>
      <c r="D503" s="8" t="s">
        <v>107</v>
      </c>
      <c r="E503" s="9" t="s">
        <v>108</v>
      </c>
      <c r="F503" s="9" t="s">
        <v>109</v>
      </c>
      <c r="G503" s="41" t="s">
        <v>96</v>
      </c>
      <c r="H503" s="10"/>
      <c r="I503" s="112"/>
    </row>
    <row r="504" spans="1:9" x14ac:dyDescent="0.25">
      <c r="A504" s="76" t="s">
        <v>110</v>
      </c>
      <c r="B504" s="42"/>
      <c r="C504" s="13">
        <f>104000+26000</f>
        <v>130000</v>
      </c>
      <c r="D504" s="13">
        <f>+C504*0.16</f>
        <v>20800</v>
      </c>
      <c r="E504" s="14">
        <f>C504+D504</f>
        <v>150800</v>
      </c>
      <c r="F504" s="30">
        <v>0.3</v>
      </c>
      <c r="G504" s="14">
        <f>ROUND(E504*F504,0)</f>
        <v>45240</v>
      </c>
      <c r="H504" s="15"/>
      <c r="I504" s="112"/>
    </row>
    <row r="505" spans="1:9" x14ac:dyDescent="0.25">
      <c r="A505" s="76" t="s">
        <v>111</v>
      </c>
      <c r="B505" s="42"/>
      <c r="C505" s="13">
        <f>60400+25850</f>
        <v>86250</v>
      </c>
      <c r="D505" s="13">
        <f>+C505*0.16</f>
        <v>13800</v>
      </c>
      <c r="E505" s="14">
        <f>C505+D505</f>
        <v>100050</v>
      </c>
      <c r="F505" s="30">
        <v>0.3</v>
      </c>
      <c r="G505" s="14">
        <f>ROUND(E505*F505,0)</f>
        <v>30015</v>
      </c>
      <c r="H505" s="15"/>
      <c r="I505" s="112"/>
    </row>
    <row r="506" spans="1:9" x14ac:dyDescent="0.25">
      <c r="A506" s="18"/>
      <c r="B506" s="42"/>
      <c r="C506" s="43"/>
      <c r="D506" s="43"/>
      <c r="E506" s="44">
        <f>C506+D506</f>
        <v>0</v>
      </c>
      <c r="F506" s="45"/>
      <c r="G506" s="14">
        <f>ROUND(E506*F506,0)</f>
        <v>0</v>
      </c>
      <c r="H506" s="15"/>
      <c r="I506" s="112"/>
    </row>
    <row r="507" spans="1:9" x14ac:dyDescent="0.25">
      <c r="A507" s="291"/>
      <c r="B507" s="228"/>
      <c r="C507" s="228"/>
      <c r="D507" s="228"/>
      <c r="E507" s="277" t="s">
        <v>112</v>
      </c>
      <c r="F507" s="277"/>
      <c r="G507" s="277"/>
      <c r="H507" s="23">
        <f>SUM(G504:G506)</f>
        <v>75255</v>
      </c>
      <c r="I507" s="112"/>
    </row>
    <row r="508" spans="1:9" x14ac:dyDescent="0.25">
      <c r="A508" s="291"/>
      <c r="B508" s="228"/>
      <c r="C508" s="228"/>
      <c r="D508" s="228"/>
      <c r="E508" s="47"/>
      <c r="F508" s="47"/>
      <c r="G508" s="47"/>
      <c r="H508" s="233"/>
      <c r="I508" s="112"/>
    </row>
    <row r="509" spans="1:9" x14ac:dyDescent="0.25">
      <c r="A509" s="18"/>
      <c r="B509" s="19"/>
      <c r="C509" s="19"/>
      <c r="D509" s="19"/>
      <c r="E509" s="48" t="s">
        <v>113</v>
      </c>
      <c r="F509" s="48"/>
      <c r="G509" s="48"/>
      <c r="H509" s="25">
        <f>H507+H501+H490</f>
        <v>546510</v>
      </c>
      <c r="I509" s="112"/>
    </row>
    <row r="510" spans="1:9" x14ac:dyDescent="0.25">
      <c r="A510" s="291"/>
      <c r="B510" s="228"/>
      <c r="C510" s="228"/>
      <c r="D510" s="228"/>
      <c r="E510" s="47"/>
      <c r="F510" s="47"/>
      <c r="G510" s="47"/>
      <c r="H510" s="233"/>
      <c r="I510" s="112"/>
    </row>
    <row r="511" spans="1:9" x14ac:dyDescent="0.25">
      <c r="A511" s="291" t="s">
        <v>114</v>
      </c>
      <c r="B511" s="228"/>
      <c r="C511" s="228"/>
      <c r="D511" s="228"/>
      <c r="E511" s="47"/>
      <c r="F511" s="47"/>
      <c r="G511" s="47"/>
      <c r="H511" s="233"/>
      <c r="I511" s="112"/>
    </row>
    <row r="512" spans="1:9" x14ac:dyDescent="0.25">
      <c r="A512" s="6" t="s">
        <v>0</v>
      </c>
      <c r="B512" s="49"/>
      <c r="C512" s="49"/>
      <c r="D512" s="49"/>
      <c r="E512" s="50"/>
      <c r="F512" s="9" t="s">
        <v>115</v>
      </c>
      <c r="G512" s="41" t="s">
        <v>116</v>
      </c>
      <c r="H512" s="10"/>
      <c r="I512" s="112"/>
    </row>
    <row r="513" spans="1:9" x14ac:dyDescent="0.25">
      <c r="A513" s="11" t="s">
        <v>117</v>
      </c>
      <c r="B513" s="51"/>
      <c r="C513" s="51"/>
      <c r="D513" s="51"/>
      <c r="E513" s="52"/>
      <c r="F513" s="53"/>
      <c r="G513" s="14">
        <f>F513*H509</f>
        <v>0</v>
      </c>
      <c r="H513" s="15"/>
      <c r="I513" s="112"/>
    </row>
    <row r="514" spans="1:9" hidden="1" x14ac:dyDescent="0.25">
      <c r="A514" s="11"/>
      <c r="B514" s="51"/>
      <c r="C514" s="51"/>
      <c r="D514" s="51"/>
      <c r="E514" s="52"/>
      <c r="F514" s="53"/>
      <c r="G514" s="14">
        <f>F514*H509</f>
        <v>0</v>
      </c>
      <c r="H514" s="15"/>
      <c r="I514" s="112"/>
    </row>
    <row r="515" spans="1:9" hidden="1" x14ac:dyDescent="0.25">
      <c r="A515" s="11"/>
      <c r="B515" s="51"/>
      <c r="C515" s="51"/>
      <c r="D515" s="51"/>
      <c r="E515" s="52"/>
      <c r="F515" s="53"/>
      <c r="G515" s="14">
        <f>F515*H509</f>
        <v>0</v>
      </c>
      <c r="H515" s="17"/>
      <c r="I515" s="112"/>
    </row>
    <row r="516" spans="1:9" x14ac:dyDescent="0.25">
      <c r="A516" s="4"/>
      <c r="B516" s="4"/>
      <c r="C516" s="4"/>
      <c r="D516" s="4"/>
      <c r="E516" s="46" t="s">
        <v>118</v>
      </c>
      <c r="F516" s="46"/>
      <c r="G516" s="46"/>
      <c r="H516" s="36">
        <f>SUM(G513:G515)</f>
        <v>0</v>
      </c>
      <c r="I516" s="112"/>
    </row>
    <row r="517" spans="1:9" ht="15.75" thickBot="1" x14ac:dyDescent="0.3">
      <c r="A517" s="4"/>
      <c r="B517" s="4"/>
      <c r="C517" s="4"/>
      <c r="D517" s="4"/>
      <c r="E517" s="5"/>
      <c r="F517" s="5"/>
      <c r="G517" s="5"/>
      <c r="H517" s="5"/>
      <c r="I517" s="112"/>
    </row>
    <row r="518" spans="1:9" ht="15.75" thickBot="1" x14ac:dyDescent="0.3">
      <c r="A518" s="4"/>
      <c r="B518" s="4"/>
      <c r="C518" s="4"/>
      <c r="D518" s="4"/>
      <c r="E518" s="54"/>
      <c r="F518" s="54" t="s">
        <v>119</v>
      </c>
      <c r="G518" s="54"/>
      <c r="H518" s="240">
        <f>SUM(H516+H509)</f>
        <v>546510</v>
      </c>
      <c r="I518" s="112"/>
    </row>
    <row r="519" spans="1:9" x14ac:dyDescent="0.25">
      <c r="A519" s="4"/>
      <c r="B519" s="4"/>
      <c r="C519" s="4"/>
      <c r="D519" s="4"/>
      <c r="E519" s="54"/>
      <c r="F519" s="54"/>
      <c r="G519" s="54"/>
      <c r="H519" s="112"/>
      <c r="I519" s="112"/>
    </row>
    <row r="520" spans="1:9" x14ac:dyDescent="0.25">
      <c r="A520" s="4"/>
      <c r="B520" s="4"/>
      <c r="C520" s="4"/>
      <c r="D520" s="4"/>
      <c r="E520" s="54"/>
      <c r="F520" s="54"/>
      <c r="G520" s="54"/>
      <c r="H520" s="112"/>
      <c r="I520" s="112"/>
    </row>
    <row r="521" spans="1:9" x14ac:dyDescent="0.25">
      <c r="A521" s="4"/>
      <c r="B521" s="4"/>
      <c r="C521" s="4"/>
      <c r="D521" s="4"/>
      <c r="E521" s="54"/>
      <c r="F521" s="54"/>
      <c r="G521" s="54"/>
      <c r="H521" s="112"/>
      <c r="I521" s="112"/>
    </row>
    <row r="522" spans="1:9" x14ac:dyDescent="0.25">
      <c r="A522" s="4"/>
      <c r="B522" s="4"/>
      <c r="C522" s="4"/>
      <c r="D522" s="4"/>
      <c r="E522" s="54"/>
      <c r="F522" s="54"/>
      <c r="G522" s="54"/>
      <c r="H522" s="112"/>
      <c r="I522" s="112"/>
    </row>
    <row r="523" spans="1:9" x14ac:dyDescent="0.25">
      <c r="A523" s="4"/>
      <c r="B523" s="4"/>
      <c r="C523" s="4"/>
      <c r="D523" s="4"/>
      <c r="E523" s="54"/>
      <c r="F523" s="54"/>
      <c r="G523" s="54"/>
      <c r="H523" s="112"/>
      <c r="I523" s="112"/>
    </row>
    <row r="526" spans="1:9" x14ac:dyDescent="0.25">
      <c r="A526" s="412" t="s">
        <v>79</v>
      </c>
      <c r="B526" s="412"/>
      <c r="C526" s="412"/>
      <c r="D526" s="412"/>
      <c r="E526" s="412"/>
      <c r="F526" s="412"/>
      <c r="G526" s="412"/>
      <c r="H526" s="412"/>
      <c r="I526" s="250"/>
    </row>
    <row r="527" spans="1:9" x14ac:dyDescent="0.25">
      <c r="A527" s="4"/>
      <c r="B527" s="4"/>
      <c r="C527" s="4"/>
      <c r="D527" s="4"/>
      <c r="E527" s="5"/>
      <c r="F527" s="5"/>
      <c r="G527" s="411" t="s">
        <v>326</v>
      </c>
      <c r="H527" s="411"/>
      <c r="I527" s="251"/>
    </row>
    <row r="528" spans="1:9" ht="30.75" customHeight="1" x14ac:dyDescent="0.25">
      <c r="A528" s="410" t="s">
        <v>411</v>
      </c>
      <c r="B528" s="410"/>
      <c r="C528" s="410"/>
      <c r="D528" s="410"/>
      <c r="E528" s="410"/>
      <c r="F528" s="410"/>
      <c r="G528" s="410"/>
      <c r="H528" s="410"/>
      <c r="I528" s="254"/>
    </row>
    <row r="529" spans="1:11" x14ac:dyDescent="0.25">
      <c r="A529" s="4"/>
      <c r="B529" s="4"/>
      <c r="C529" s="4"/>
      <c r="D529" s="4"/>
      <c r="E529" s="5"/>
      <c r="F529" s="5"/>
      <c r="G529" s="414" t="s">
        <v>120</v>
      </c>
      <c r="H529" s="414"/>
      <c r="I529" s="253"/>
    </row>
    <row r="530" spans="1:11" x14ac:dyDescent="0.25">
      <c r="A530" s="4" t="s">
        <v>82</v>
      </c>
      <c r="B530" s="4"/>
      <c r="C530" s="4"/>
      <c r="D530" s="4"/>
      <c r="E530" s="5"/>
      <c r="F530" s="5"/>
      <c r="G530" s="5"/>
      <c r="H530" s="5"/>
      <c r="I530" s="47"/>
    </row>
    <row r="531" spans="1:11" x14ac:dyDescent="0.25">
      <c r="A531" s="6" t="s">
        <v>0</v>
      </c>
      <c r="B531" s="7"/>
      <c r="C531" s="8" t="s">
        <v>83</v>
      </c>
      <c r="D531" s="8" t="s">
        <v>84</v>
      </c>
      <c r="E531" s="9" t="s">
        <v>85</v>
      </c>
      <c r="F531" s="9" t="s">
        <v>86</v>
      </c>
      <c r="G531" s="9" t="s">
        <v>87</v>
      </c>
      <c r="H531" s="10"/>
      <c r="I531" s="47"/>
    </row>
    <row r="532" spans="1:11" x14ac:dyDescent="0.25">
      <c r="A532" s="11" t="s">
        <v>88</v>
      </c>
      <c r="B532" s="12"/>
      <c r="C532" s="13"/>
      <c r="D532" s="13"/>
      <c r="E532" s="14"/>
      <c r="F532" s="14"/>
      <c r="G532" s="14">
        <f>ROUND(H556*0.05,0)+8-16</f>
        <v>5712</v>
      </c>
      <c r="H532" s="15"/>
      <c r="I532" s="47"/>
      <c r="K532" s="83"/>
    </row>
    <row r="533" spans="1:11" x14ac:dyDescent="0.25">
      <c r="A533" s="11" t="s">
        <v>328</v>
      </c>
      <c r="B533" s="12"/>
      <c r="C533" s="13"/>
      <c r="D533" s="13"/>
      <c r="E533" s="14">
        <v>50000</v>
      </c>
      <c r="F533" s="14">
        <v>1.3</v>
      </c>
      <c r="G533" s="14">
        <f>ROUND(E533*F533,0)</f>
        <v>65000</v>
      </c>
      <c r="H533" s="15"/>
      <c r="I533" s="47"/>
      <c r="K533">
        <f>+K532/8*6</f>
        <v>0</v>
      </c>
    </row>
    <row r="534" spans="1:11" x14ac:dyDescent="0.25">
      <c r="A534" s="11" t="s">
        <v>327</v>
      </c>
      <c r="B534" s="12"/>
      <c r="C534" s="13"/>
      <c r="D534" s="13"/>
      <c r="E534" s="14">
        <v>350000</v>
      </c>
      <c r="F534" s="16">
        <v>0.6</v>
      </c>
      <c r="G534" s="14">
        <f>ROUND(E534*F534,0)</f>
        <v>210000</v>
      </c>
      <c r="H534" s="15"/>
      <c r="I534" s="47"/>
    </row>
    <row r="535" spans="1:11" x14ac:dyDescent="0.25">
      <c r="A535" s="11"/>
      <c r="B535" s="12"/>
      <c r="C535" s="13"/>
      <c r="D535" s="13"/>
      <c r="E535" s="14"/>
      <c r="F535" s="14"/>
      <c r="G535" s="14">
        <f>ROUND(E535*F535,0)</f>
        <v>0</v>
      </c>
      <c r="H535" s="17"/>
      <c r="I535" s="47"/>
    </row>
    <row r="536" spans="1:11" x14ac:dyDescent="0.25">
      <c r="A536" s="18"/>
      <c r="B536" s="19"/>
      <c r="C536" s="19"/>
      <c r="D536" s="19"/>
      <c r="E536" s="20"/>
      <c r="F536" s="21" t="s">
        <v>90</v>
      </c>
      <c r="G536" s="22"/>
      <c r="H536" s="23">
        <f>SUM(G532:G535)</f>
        <v>280712</v>
      </c>
      <c r="I536" s="220"/>
    </row>
    <row r="537" spans="1:11" x14ac:dyDescent="0.25">
      <c r="A537" s="291" t="s">
        <v>91</v>
      </c>
      <c r="B537" s="228"/>
      <c r="C537" s="228"/>
      <c r="D537" s="228"/>
      <c r="E537" s="47"/>
      <c r="F537" s="47"/>
      <c r="G537" s="47"/>
      <c r="H537" s="233"/>
      <c r="I537" s="47"/>
    </row>
    <row r="538" spans="1:11" x14ac:dyDescent="0.25">
      <c r="A538" s="24" t="s">
        <v>0</v>
      </c>
      <c r="B538" s="24"/>
      <c r="C538" s="8" t="s">
        <v>92</v>
      </c>
      <c r="D538" s="8" t="s">
        <v>93</v>
      </c>
      <c r="E538" s="9" t="s">
        <v>94</v>
      </c>
      <c r="F538" s="9" t="s">
        <v>95</v>
      </c>
      <c r="G538" s="25" t="s">
        <v>96</v>
      </c>
      <c r="H538" s="10"/>
      <c r="I538" s="47"/>
    </row>
    <row r="539" spans="1:11" x14ac:dyDescent="0.25">
      <c r="A539" s="26" t="s">
        <v>167</v>
      </c>
      <c r="B539" s="27"/>
      <c r="C539" s="28" t="s">
        <v>9</v>
      </c>
      <c r="D539" s="31">
        <v>0.05</v>
      </c>
      <c r="E539" s="73">
        <v>4</v>
      </c>
      <c r="F539" s="74">
        <f>+F450</f>
        <v>18667</v>
      </c>
      <c r="G539" s="14">
        <f t="shared" ref="G539:G547" si="17">ROUND(E539*F539,0)</f>
        <v>74668</v>
      </c>
      <c r="H539" s="15"/>
      <c r="I539" s="47"/>
    </row>
    <row r="540" spans="1:11" x14ac:dyDescent="0.25">
      <c r="A540" s="26" t="s">
        <v>293</v>
      </c>
      <c r="B540" s="27"/>
      <c r="C540" s="28" t="s">
        <v>7</v>
      </c>
      <c r="D540" s="29">
        <v>0.05</v>
      </c>
      <c r="E540" s="73">
        <v>2.97</v>
      </c>
      <c r="F540" s="74">
        <f>138000/2.97</f>
        <v>46464.646464646459</v>
      </c>
      <c r="G540" s="14">
        <f t="shared" si="17"/>
        <v>138000</v>
      </c>
      <c r="H540" s="15"/>
      <c r="I540" s="47"/>
    </row>
    <row r="541" spans="1:11" ht="25.15" customHeight="1" x14ac:dyDescent="0.25">
      <c r="A541" s="420" t="s">
        <v>294</v>
      </c>
      <c r="B541" s="421"/>
      <c r="C541" s="59" t="s">
        <v>7</v>
      </c>
      <c r="D541" s="60">
        <v>0.05</v>
      </c>
      <c r="E541" s="75">
        <f>+$E$540</f>
        <v>2.97</v>
      </c>
      <c r="F541" s="342">
        <f>+(260000+20000)/6</f>
        <v>46666.666666666664</v>
      </c>
      <c r="G541" s="62">
        <f t="shared" si="17"/>
        <v>138600</v>
      </c>
      <c r="H541" s="15"/>
      <c r="I541" s="47"/>
    </row>
    <row r="542" spans="1:11" ht="37.15" customHeight="1" x14ac:dyDescent="0.25">
      <c r="A542" s="420" t="s">
        <v>409</v>
      </c>
      <c r="B542" s="421"/>
      <c r="C542" s="59" t="s">
        <v>18</v>
      </c>
      <c r="D542" s="60"/>
      <c r="E542" s="75">
        <v>1</v>
      </c>
      <c r="F542" s="87">
        <v>250000</v>
      </c>
      <c r="G542" s="62">
        <f t="shared" si="17"/>
        <v>250000</v>
      </c>
      <c r="H542" s="15"/>
      <c r="I542" s="47"/>
    </row>
    <row r="543" spans="1:11" x14ac:dyDescent="0.25">
      <c r="A543" s="26"/>
      <c r="B543" s="27"/>
      <c r="C543" s="28"/>
      <c r="D543" s="29"/>
      <c r="E543" s="73"/>
      <c r="F543" s="14"/>
      <c r="G543" s="14">
        <f t="shared" si="17"/>
        <v>0</v>
      </c>
      <c r="H543" s="15"/>
      <c r="I543" s="47"/>
    </row>
    <row r="544" spans="1:11" hidden="1" x14ac:dyDescent="0.25">
      <c r="A544" s="26"/>
      <c r="B544" s="27"/>
      <c r="C544" s="28"/>
      <c r="D544" s="29"/>
      <c r="E544" s="73"/>
      <c r="F544" s="74"/>
      <c r="G544" s="14">
        <f t="shared" si="17"/>
        <v>0</v>
      </c>
      <c r="H544" s="15"/>
      <c r="I544" s="47"/>
    </row>
    <row r="545" spans="1:9" hidden="1" x14ac:dyDescent="0.25">
      <c r="A545" s="26"/>
      <c r="B545" s="27"/>
      <c r="C545" s="28"/>
      <c r="D545" s="29"/>
      <c r="E545" s="73"/>
      <c r="F545" s="14"/>
      <c r="G545" s="14">
        <f t="shared" si="17"/>
        <v>0</v>
      </c>
      <c r="H545" s="15"/>
      <c r="I545" s="47"/>
    </row>
    <row r="546" spans="1:9" hidden="1" x14ac:dyDescent="0.25">
      <c r="A546" s="26"/>
      <c r="B546" s="27"/>
      <c r="C546" s="28"/>
      <c r="D546" s="29"/>
      <c r="E546" s="73"/>
      <c r="F546" s="14"/>
      <c r="G546" s="14">
        <f t="shared" si="17"/>
        <v>0</v>
      </c>
      <c r="H546" s="15"/>
      <c r="I546" s="47"/>
    </row>
    <row r="547" spans="1:9" hidden="1" x14ac:dyDescent="0.25">
      <c r="A547" s="11"/>
      <c r="B547" s="12"/>
      <c r="C547" s="35"/>
      <c r="D547" s="31"/>
      <c r="E547" s="30"/>
      <c r="F547" s="14"/>
      <c r="G547" s="14">
        <f t="shared" si="17"/>
        <v>0</v>
      </c>
      <c r="H547" s="17"/>
      <c r="I547" s="47"/>
    </row>
    <row r="548" spans="1:9" x14ac:dyDescent="0.25">
      <c r="A548" s="291"/>
      <c r="B548" s="228"/>
      <c r="C548" s="228"/>
      <c r="D548" s="228"/>
      <c r="E548" s="36"/>
      <c r="F548" s="37"/>
      <c r="G548" s="38"/>
      <c r="H548" s="23">
        <f>SUM(G539:G547)</f>
        <v>601268</v>
      </c>
      <c r="I548" s="220"/>
    </row>
    <row r="549" spans="1:9" x14ac:dyDescent="0.25">
      <c r="A549" s="291"/>
      <c r="B549" s="228"/>
      <c r="C549" s="228"/>
      <c r="D549" s="228"/>
      <c r="E549" s="36"/>
      <c r="F549" s="39" t="s">
        <v>103</v>
      </c>
      <c r="G549" s="38"/>
      <c r="H549" s="23">
        <f>ROUND((D539*G539)+(D540*G540)+(D541*G541)+(D542*G542)+(D543*G543)+(D544*G544)+(D545*G545)+(D547*G547),0)</f>
        <v>17563</v>
      </c>
      <c r="I549" s="220"/>
    </row>
    <row r="550" spans="1:9" x14ac:dyDescent="0.25">
      <c r="A550" s="291"/>
      <c r="B550" s="228"/>
      <c r="C550" s="228"/>
      <c r="D550" s="228"/>
      <c r="E550" s="36"/>
      <c r="F550" s="20" t="s">
        <v>104</v>
      </c>
      <c r="G550" s="40"/>
      <c r="H550" s="23">
        <f>SUM(H548:H549)</f>
        <v>618831</v>
      </c>
      <c r="I550" s="220"/>
    </row>
    <row r="551" spans="1:9" x14ac:dyDescent="0.25">
      <c r="A551" s="291" t="s">
        <v>105</v>
      </c>
      <c r="B551" s="228"/>
      <c r="C551" s="228"/>
      <c r="D551" s="228"/>
      <c r="E551" s="47"/>
      <c r="F551" s="47"/>
      <c r="G551" s="47"/>
      <c r="H551" s="233"/>
      <c r="I551" s="47"/>
    </row>
    <row r="552" spans="1:9" x14ac:dyDescent="0.25">
      <c r="A552" s="24" t="s">
        <v>0</v>
      </c>
      <c r="B552" s="24"/>
      <c r="C552" s="8" t="s">
        <v>106</v>
      </c>
      <c r="D552" s="8" t="s">
        <v>107</v>
      </c>
      <c r="E552" s="9" t="s">
        <v>108</v>
      </c>
      <c r="F552" s="9" t="s">
        <v>109</v>
      </c>
      <c r="G552" s="41" t="s">
        <v>96</v>
      </c>
      <c r="H552" s="10"/>
      <c r="I552" s="47"/>
    </row>
    <row r="553" spans="1:9" x14ac:dyDescent="0.25">
      <c r="A553" s="76" t="s">
        <v>110</v>
      </c>
      <c r="B553" s="42"/>
      <c r="C553" s="13">
        <f>104000+26000</f>
        <v>130000</v>
      </c>
      <c r="D553" s="13">
        <f>+C553*0.16</f>
        <v>20800</v>
      </c>
      <c r="E553" s="14">
        <f>C553+D553</f>
        <v>150800</v>
      </c>
      <c r="F553" s="30">
        <v>0.46</v>
      </c>
      <c r="G553" s="14">
        <f>ROUND(E553*F553,0)</f>
        <v>69368</v>
      </c>
      <c r="H553" s="15"/>
      <c r="I553" s="47"/>
    </row>
    <row r="554" spans="1:9" x14ac:dyDescent="0.25">
      <c r="A554" s="76" t="s">
        <v>111</v>
      </c>
      <c r="B554" s="42"/>
      <c r="C554" s="13">
        <f>60400+25850</f>
        <v>86250</v>
      </c>
      <c r="D554" s="13">
        <f>+C554*0.16</f>
        <v>13800</v>
      </c>
      <c r="E554" s="14">
        <f>C554+D554</f>
        <v>100050</v>
      </c>
      <c r="F554" s="30">
        <v>0.45</v>
      </c>
      <c r="G554" s="14">
        <f>ROUND(E554*F554,0)</f>
        <v>45023</v>
      </c>
      <c r="H554" s="15"/>
      <c r="I554" s="47"/>
    </row>
    <row r="555" spans="1:9" x14ac:dyDescent="0.25">
      <c r="A555" s="18"/>
      <c r="B555" s="42"/>
      <c r="C555" s="43"/>
      <c r="D555" s="43"/>
      <c r="E555" s="44">
        <f>C555+D555</f>
        <v>0</v>
      </c>
      <c r="F555" s="45"/>
      <c r="G555" s="14">
        <f>ROUND(E555*F555,0)</f>
        <v>0</v>
      </c>
      <c r="H555" s="15"/>
      <c r="I555" s="47"/>
    </row>
    <row r="556" spans="1:9" x14ac:dyDescent="0.25">
      <c r="A556" s="291"/>
      <c r="B556" s="228"/>
      <c r="C556" s="228"/>
      <c r="D556" s="228"/>
      <c r="E556" s="277" t="s">
        <v>112</v>
      </c>
      <c r="F556" s="277"/>
      <c r="G556" s="277"/>
      <c r="H556" s="23">
        <f>SUM(G553:G555)</f>
        <v>114391</v>
      </c>
      <c r="I556" s="220"/>
    </row>
    <row r="557" spans="1:9" x14ac:dyDescent="0.25">
      <c r="A557" s="291"/>
      <c r="B557" s="228"/>
      <c r="C557" s="228"/>
      <c r="D557" s="228"/>
      <c r="E557" s="47"/>
      <c r="F557" s="47"/>
      <c r="G557" s="47"/>
      <c r="H557" s="233"/>
      <c r="I557" s="47"/>
    </row>
    <row r="558" spans="1:9" x14ac:dyDescent="0.25">
      <c r="A558" s="18"/>
      <c r="B558" s="19"/>
      <c r="C558" s="19"/>
      <c r="D558" s="19"/>
      <c r="E558" s="48" t="s">
        <v>113</v>
      </c>
      <c r="F558" s="48"/>
      <c r="G558" s="48"/>
      <c r="H558" s="25">
        <f>H556+H550+H536</f>
        <v>1013934</v>
      </c>
      <c r="I558" s="222"/>
    </row>
    <row r="559" spans="1:9" x14ac:dyDescent="0.25">
      <c r="A559" s="291"/>
      <c r="B559" s="228"/>
      <c r="C559" s="228"/>
      <c r="D559" s="228"/>
      <c r="E559" s="47"/>
      <c r="F559" s="47"/>
      <c r="G559" s="47"/>
      <c r="H559" s="233"/>
      <c r="I559" s="47"/>
    </row>
    <row r="560" spans="1:9" x14ac:dyDescent="0.25">
      <c r="A560" s="291" t="s">
        <v>114</v>
      </c>
      <c r="B560" s="228"/>
      <c r="C560" s="228"/>
      <c r="D560" s="228"/>
      <c r="E560" s="47"/>
      <c r="F560" s="47"/>
      <c r="G560" s="47"/>
      <c r="H560" s="233"/>
      <c r="I560" s="47"/>
    </row>
    <row r="561" spans="1:9" x14ac:dyDescent="0.25">
      <c r="A561" s="6" t="s">
        <v>0</v>
      </c>
      <c r="B561" s="49"/>
      <c r="C561" s="49"/>
      <c r="D561" s="49"/>
      <c r="E561" s="50"/>
      <c r="F561" s="9" t="s">
        <v>115</v>
      </c>
      <c r="G561" s="41" t="s">
        <v>116</v>
      </c>
      <c r="H561" s="10"/>
      <c r="I561" s="47"/>
    </row>
    <row r="562" spans="1:9" x14ac:dyDescent="0.25">
      <c r="A562" s="11" t="s">
        <v>117</v>
      </c>
      <c r="B562" s="51"/>
      <c r="C562" s="51"/>
      <c r="D562" s="51"/>
      <c r="E562" s="52"/>
      <c r="F562" s="53"/>
      <c r="G562" s="14">
        <f>F562*H558</f>
        <v>0</v>
      </c>
      <c r="H562" s="15"/>
      <c r="I562" s="47"/>
    </row>
    <row r="563" spans="1:9" x14ac:dyDescent="0.25">
      <c r="A563" s="11"/>
      <c r="B563" s="51"/>
      <c r="C563" s="51"/>
      <c r="D563" s="51"/>
      <c r="E563" s="52"/>
      <c r="F563" s="53"/>
      <c r="G563" s="14">
        <f>F563*H558</f>
        <v>0</v>
      </c>
      <c r="H563" s="15"/>
      <c r="I563" s="47"/>
    </row>
    <row r="564" spans="1:9" x14ac:dyDescent="0.25">
      <c r="A564" s="11"/>
      <c r="B564" s="51"/>
      <c r="C564" s="51"/>
      <c r="D564" s="51"/>
      <c r="E564" s="52"/>
      <c r="F564" s="53"/>
      <c r="G564" s="14">
        <f>F564*H558</f>
        <v>0</v>
      </c>
      <c r="H564" s="17"/>
      <c r="I564" s="47"/>
    </row>
    <row r="565" spans="1:9" x14ac:dyDescent="0.25">
      <c r="A565" s="4"/>
      <c r="B565" s="4"/>
      <c r="C565" s="4"/>
      <c r="D565" s="4"/>
      <c r="E565" s="46" t="s">
        <v>118</v>
      </c>
      <c r="F565" s="46"/>
      <c r="G565" s="46"/>
      <c r="H565" s="36">
        <f>SUM(G562:G564)</f>
        <v>0</v>
      </c>
      <c r="I565" s="220"/>
    </row>
    <row r="566" spans="1:9" ht="15.75" thickBot="1" x14ac:dyDescent="0.3">
      <c r="A566" s="4"/>
      <c r="B566" s="4"/>
      <c r="C566" s="4"/>
      <c r="D566" s="4"/>
      <c r="E566" s="5"/>
      <c r="F566" s="5"/>
      <c r="G566" s="5"/>
      <c r="H566" s="5"/>
      <c r="I566" s="47"/>
    </row>
    <row r="567" spans="1:9" ht="15.75" thickBot="1" x14ac:dyDescent="0.3">
      <c r="A567" s="4"/>
      <c r="B567" s="4"/>
      <c r="C567" s="4"/>
      <c r="D567" s="4"/>
      <c r="E567" s="54"/>
      <c r="F567" s="54" t="s">
        <v>119</v>
      </c>
      <c r="G567" s="54"/>
      <c r="H567" s="240">
        <f>SUM(H565+H558)</f>
        <v>1013934</v>
      </c>
      <c r="I567" s="112"/>
    </row>
    <row r="568" spans="1:9" x14ac:dyDescent="0.25">
      <c r="A568" s="4"/>
      <c r="B568" s="4"/>
      <c r="C568" s="4"/>
      <c r="D568" s="4"/>
      <c r="E568" s="54"/>
      <c r="F568" s="54"/>
      <c r="G568" s="54"/>
      <c r="H568" s="112"/>
      <c r="I568" s="112"/>
    </row>
    <row r="569" spans="1:9" x14ac:dyDescent="0.25">
      <c r="A569" s="4"/>
      <c r="B569" s="4"/>
      <c r="C569" s="4"/>
      <c r="D569" s="4"/>
      <c r="E569" s="54"/>
      <c r="F569" s="54"/>
      <c r="G569" s="54"/>
      <c r="H569" s="112"/>
      <c r="I569" s="112"/>
    </row>
    <row r="570" spans="1:9" x14ac:dyDescent="0.25">
      <c r="A570" s="4"/>
      <c r="B570" s="4"/>
      <c r="C570" s="4"/>
      <c r="D570" s="4"/>
      <c r="E570" s="54"/>
      <c r="F570" s="54"/>
      <c r="G570" s="54"/>
      <c r="H570" s="112"/>
      <c r="I570" s="112"/>
    </row>
    <row r="571" spans="1:9" x14ac:dyDescent="0.25">
      <c r="A571" s="4"/>
      <c r="B571" s="4"/>
      <c r="C571" s="4"/>
      <c r="D571" s="4"/>
      <c r="E571" s="54"/>
      <c r="F571" s="54"/>
      <c r="G571" s="54"/>
      <c r="H571" s="112"/>
      <c r="I571" s="112"/>
    </row>
    <row r="572" spans="1:9" x14ac:dyDescent="0.25">
      <c r="A572" s="4"/>
      <c r="B572" s="4"/>
      <c r="C572" s="4"/>
      <c r="D572" s="4"/>
      <c r="E572" s="54"/>
      <c r="F572" s="54"/>
      <c r="G572" s="54"/>
      <c r="H572" s="112"/>
      <c r="I572" s="112"/>
    </row>
    <row r="573" spans="1:9" x14ac:dyDescent="0.25">
      <c r="A573" s="4"/>
      <c r="B573" s="4"/>
      <c r="C573" s="4"/>
      <c r="D573" s="4"/>
      <c r="E573" s="54"/>
      <c r="F573" s="54"/>
      <c r="G573" s="54"/>
      <c r="H573" s="112"/>
      <c r="I573" s="112"/>
    </row>
    <row r="574" spans="1:9" x14ac:dyDescent="0.25">
      <c r="A574" s="412" t="s">
        <v>79</v>
      </c>
      <c r="B574" s="412"/>
      <c r="C574" s="412"/>
      <c r="D574" s="412"/>
      <c r="E574" s="412"/>
      <c r="F574" s="412"/>
      <c r="G574" s="412"/>
      <c r="H574" s="412"/>
      <c r="I574" s="250"/>
    </row>
    <row r="575" spans="1:9" x14ac:dyDescent="0.25">
      <c r="A575" s="4"/>
      <c r="B575" s="4"/>
      <c r="C575" s="4"/>
      <c r="D575" s="4"/>
      <c r="E575" s="5"/>
      <c r="F575" s="5"/>
      <c r="G575" s="411" t="s">
        <v>326</v>
      </c>
      <c r="H575" s="411"/>
      <c r="I575" s="251"/>
    </row>
    <row r="576" spans="1:9" ht="42.6" customHeight="1" x14ac:dyDescent="0.25">
      <c r="A576" s="410" t="s">
        <v>410</v>
      </c>
      <c r="B576" s="410"/>
      <c r="C576" s="410"/>
      <c r="D576" s="410"/>
      <c r="E576" s="410"/>
      <c r="F576" s="410"/>
      <c r="G576" s="410"/>
      <c r="H576" s="410"/>
      <c r="I576" s="254"/>
    </row>
    <row r="577" spans="1:11" x14ac:dyDescent="0.25">
      <c r="A577" s="4"/>
      <c r="B577" s="4"/>
      <c r="C577" s="4"/>
      <c r="D577" s="4"/>
      <c r="E577" s="5"/>
      <c r="F577" s="5"/>
      <c r="G577" s="414" t="s">
        <v>160</v>
      </c>
      <c r="H577" s="414"/>
      <c r="I577" s="253"/>
    </row>
    <row r="578" spans="1:11" x14ac:dyDescent="0.25">
      <c r="A578" s="4" t="s">
        <v>82</v>
      </c>
      <c r="B578" s="4"/>
      <c r="C578" s="4"/>
      <c r="D578" s="4"/>
      <c r="E578" s="5"/>
      <c r="F578" s="5"/>
      <c r="G578" s="5"/>
      <c r="H578" s="5"/>
      <c r="I578" s="47"/>
    </row>
    <row r="579" spans="1:11" x14ac:dyDescent="0.25">
      <c r="A579" s="6" t="s">
        <v>0</v>
      </c>
      <c r="B579" s="7"/>
      <c r="C579" s="8" t="s">
        <v>83</v>
      </c>
      <c r="D579" s="8" t="s">
        <v>84</v>
      </c>
      <c r="E579" s="9" t="s">
        <v>85</v>
      </c>
      <c r="F579" s="9" t="s">
        <v>86</v>
      </c>
      <c r="G579" s="9" t="s">
        <v>87</v>
      </c>
      <c r="H579" s="10"/>
      <c r="I579" s="47"/>
    </row>
    <row r="580" spans="1:11" x14ac:dyDescent="0.25">
      <c r="A580" s="11" t="s">
        <v>88</v>
      </c>
      <c r="B580" s="12"/>
      <c r="C580" s="13"/>
      <c r="D580" s="13"/>
      <c r="E580" s="14"/>
      <c r="F580" s="14"/>
      <c r="G580" s="14">
        <f>ROUND(H604*0.05,0)+8-16</f>
        <v>3755</v>
      </c>
      <c r="H580" s="15"/>
      <c r="I580" s="47"/>
      <c r="K580" s="83"/>
    </row>
    <row r="581" spans="1:11" x14ac:dyDescent="0.25">
      <c r="A581" s="11" t="s">
        <v>328</v>
      </c>
      <c r="B581" s="12"/>
      <c r="C581" s="13"/>
      <c r="D581" s="13"/>
      <c r="E581" s="14">
        <v>50000</v>
      </c>
      <c r="F581" s="14">
        <v>0.5</v>
      </c>
      <c r="G581" s="14">
        <f>ROUND(E581*F581,0)</f>
        <v>25000</v>
      </c>
      <c r="H581" s="15"/>
      <c r="I581" s="47"/>
    </row>
    <row r="582" spans="1:11" x14ac:dyDescent="0.25">
      <c r="A582" s="11" t="s">
        <v>327</v>
      </c>
      <c r="B582" s="12"/>
      <c r="C582" s="13"/>
      <c r="D582" s="13"/>
      <c r="E582" s="14">
        <v>350000</v>
      </c>
      <c r="F582" s="16">
        <v>0.2</v>
      </c>
      <c r="G582" s="14">
        <f>ROUND(E582*F582,0)</f>
        <v>70000</v>
      </c>
      <c r="H582" s="15"/>
      <c r="I582" s="47"/>
    </row>
    <row r="583" spans="1:11" x14ac:dyDescent="0.25">
      <c r="A583" s="11"/>
      <c r="B583" s="12"/>
      <c r="C583" s="13"/>
      <c r="D583" s="13"/>
      <c r="E583" s="14"/>
      <c r="F583" s="14"/>
      <c r="G583" s="14">
        <f>ROUND(E583*F583,0)</f>
        <v>0</v>
      </c>
      <c r="H583" s="17"/>
      <c r="I583" s="47"/>
    </row>
    <row r="584" spans="1:11" x14ac:dyDescent="0.25">
      <c r="A584" s="18"/>
      <c r="B584" s="19"/>
      <c r="C584" s="19"/>
      <c r="D584" s="19"/>
      <c r="E584" s="20"/>
      <c r="F584" s="21" t="s">
        <v>90</v>
      </c>
      <c r="G584" s="22"/>
      <c r="H584" s="23">
        <f>SUM(G580:G583)</f>
        <v>98755</v>
      </c>
      <c r="I584" s="220"/>
    </row>
    <row r="585" spans="1:11" x14ac:dyDescent="0.25">
      <c r="A585" s="291" t="s">
        <v>91</v>
      </c>
      <c r="B585" s="228"/>
      <c r="C585" s="228"/>
      <c r="D585" s="228"/>
      <c r="E585" s="47"/>
      <c r="F585" s="47"/>
      <c r="G585" s="47"/>
      <c r="H585" s="233"/>
      <c r="I585" s="47"/>
    </row>
    <row r="586" spans="1:11" x14ac:dyDescent="0.25">
      <c r="A586" s="24" t="s">
        <v>0</v>
      </c>
      <c r="B586" s="24"/>
      <c r="C586" s="8" t="s">
        <v>92</v>
      </c>
      <c r="D586" s="8" t="s">
        <v>93</v>
      </c>
      <c r="E586" s="9" t="s">
        <v>94</v>
      </c>
      <c r="F586" s="9" t="s">
        <v>95</v>
      </c>
      <c r="G586" s="25" t="s">
        <v>96</v>
      </c>
      <c r="H586" s="10"/>
      <c r="I586" s="47"/>
    </row>
    <row r="587" spans="1:11" ht="14.45" customHeight="1" x14ac:dyDescent="0.25">
      <c r="A587" s="428" t="s">
        <v>407</v>
      </c>
      <c r="B587" s="429"/>
      <c r="C587" s="28"/>
      <c r="D587" s="31"/>
      <c r="E587" s="73"/>
      <c r="F587" s="77"/>
      <c r="G587" s="14">
        <f t="shared" ref="G587:G595" si="18">ROUND(E587*F587,0)</f>
        <v>0</v>
      </c>
      <c r="H587" s="15"/>
      <c r="I587" s="47"/>
    </row>
    <row r="588" spans="1:11" ht="16.899999999999999" customHeight="1" x14ac:dyDescent="0.25">
      <c r="A588" s="430"/>
      <c r="B588" s="431"/>
      <c r="C588" s="28"/>
      <c r="D588" s="29"/>
      <c r="E588" s="73"/>
      <c r="F588" s="74"/>
      <c r="G588" s="14">
        <f t="shared" si="18"/>
        <v>0</v>
      </c>
      <c r="H588" s="15"/>
      <c r="I588" s="47"/>
    </row>
    <row r="589" spans="1:11" ht="16.149999999999999" customHeight="1" x14ac:dyDescent="0.25">
      <c r="A589" s="430"/>
      <c r="B589" s="431"/>
      <c r="C589" s="59"/>
      <c r="D589" s="60"/>
      <c r="E589" s="75"/>
      <c r="F589" s="62"/>
      <c r="G589" s="62">
        <f t="shared" si="18"/>
        <v>0</v>
      </c>
      <c r="H589" s="15"/>
      <c r="I589" s="47"/>
    </row>
    <row r="590" spans="1:11" ht="52.15" customHeight="1" x14ac:dyDescent="0.25">
      <c r="A590" s="430"/>
      <c r="B590" s="431"/>
      <c r="C590" s="59" t="s">
        <v>18</v>
      </c>
      <c r="D590" s="60"/>
      <c r="E590" s="75">
        <v>1</v>
      </c>
      <c r="F590" s="87">
        <v>633000</v>
      </c>
      <c r="G590" s="62">
        <f t="shared" si="18"/>
        <v>633000</v>
      </c>
      <c r="H590" s="15"/>
      <c r="I590" s="47"/>
    </row>
    <row r="591" spans="1:11" x14ac:dyDescent="0.25">
      <c r="A591" s="432"/>
      <c r="B591" s="433"/>
      <c r="C591" s="28"/>
      <c r="D591" s="29"/>
      <c r="E591" s="73"/>
      <c r="F591" s="14"/>
      <c r="G591" s="14">
        <f t="shared" si="18"/>
        <v>0</v>
      </c>
      <c r="H591" s="15"/>
      <c r="I591" s="47"/>
    </row>
    <row r="592" spans="1:11" x14ac:dyDescent="0.25">
      <c r="A592" s="26"/>
      <c r="B592" s="27"/>
      <c r="C592" s="28"/>
      <c r="D592" s="29"/>
      <c r="E592" s="73"/>
      <c r="F592" s="74"/>
      <c r="G592" s="14">
        <f t="shared" si="18"/>
        <v>0</v>
      </c>
      <c r="H592" s="15"/>
      <c r="I592" s="47"/>
    </row>
    <row r="593" spans="1:9" hidden="1" x14ac:dyDescent="0.25">
      <c r="A593" s="26"/>
      <c r="B593" s="27"/>
      <c r="C593" s="28"/>
      <c r="D593" s="29"/>
      <c r="E593" s="73"/>
      <c r="F593" s="14"/>
      <c r="G593" s="14">
        <f t="shared" si="18"/>
        <v>0</v>
      </c>
      <c r="H593" s="15"/>
      <c r="I593" s="47"/>
    </row>
    <row r="594" spans="1:9" hidden="1" x14ac:dyDescent="0.25">
      <c r="A594" s="26"/>
      <c r="B594" s="27"/>
      <c r="C594" s="28"/>
      <c r="D594" s="29"/>
      <c r="E594" s="73"/>
      <c r="F594" s="14"/>
      <c r="G594" s="14">
        <f t="shared" si="18"/>
        <v>0</v>
      </c>
      <c r="H594" s="15"/>
      <c r="I594" s="47"/>
    </row>
    <row r="595" spans="1:9" hidden="1" x14ac:dyDescent="0.25">
      <c r="A595" s="11"/>
      <c r="B595" s="12"/>
      <c r="C595" s="35"/>
      <c r="D595" s="31"/>
      <c r="E595" s="30"/>
      <c r="F595" s="14"/>
      <c r="G595" s="14">
        <f t="shared" si="18"/>
        <v>0</v>
      </c>
      <c r="H595" s="17"/>
      <c r="I595" s="47"/>
    </row>
    <row r="596" spans="1:9" x14ac:dyDescent="0.25">
      <c r="A596" s="291"/>
      <c r="B596" s="228"/>
      <c r="C596" s="228"/>
      <c r="D596" s="228"/>
      <c r="E596" s="36"/>
      <c r="F596" s="37"/>
      <c r="G596" s="38"/>
      <c r="H596" s="23">
        <f>SUM(G587:G595)</f>
        <v>633000</v>
      </c>
      <c r="I596" s="220"/>
    </row>
    <row r="597" spans="1:9" x14ac:dyDescent="0.25">
      <c r="A597" s="291"/>
      <c r="B597" s="228"/>
      <c r="C597" s="228"/>
      <c r="D597" s="228"/>
      <c r="E597" s="36"/>
      <c r="F597" s="39" t="s">
        <v>103</v>
      </c>
      <c r="G597" s="38"/>
      <c r="H597" s="23">
        <f>ROUND((D587*G587)+(D588*G588)+(D589*G589)+(D590*G590)+(D591*G591)+(D592*G592)+(D593*G593)+(D595*G595),0)</f>
        <v>0</v>
      </c>
      <c r="I597" s="220"/>
    </row>
    <row r="598" spans="1:9" x14ac:dyDescent="0.25">
      <c r="A598" s="291"/>
      <c r="B598" s="228"/>
      <c r="C598" s="228"/>
      <c r="D598" s="228"/>
      <c r="E598" s="36"/>
      <c r="F598" s="20" t="s">
        <v>104</v>
      </c>
      <c r="G598" s="40"/>
      <c r="H598" s="23">
        <f>SUM(H596:H597)</f>
        <v>633000</v>
      </c>
      <c r="I598" s="220"/>
    </row>
    <row r="599" spans="1:9" x14ac:dyDescent="0.25">
      <c r="A599" s="291" t="s">
        <v>105</v>
      </c>
      <c r="B599" s="228"/>
      <c r="C599" s="228"/>
      <c r="D599" s="228"/>
      <c r="E599" s="47"/>
      <c r="F599" s="47"/>
      <c r="G599" s="47"/>
      <c r="H599" s="233"/>
      <c r="I599" s="47"/>
    </row>
    <row r="600" spans="1:9" x14ac:dyDescent="0.25">
      <c r="A600" s="24" t="s">
        <v>0</v>
      </c>
      <c r="B600" s="24"/>
      <c r="C600" s="8" t="s">
        <v>106</v>
      </c>
      <c r="D600" s="8" t="s">
        <v>107</v>
      </c>
      <c r="E600" s="9" t="s">
        <v>108</v>
      </c>
      <c r="F600" s="9" t="s">
        <v>109</v>
      </c>
      <c r="G600" s="41" t="s">
        <v>96</v>
      </c>
      <c r="H600" s="10"/>
      <c r="I600" s="47"/>
    </row>
    <row r="601" spans="1:9" x14ac:dyDescent="0.25">
      <c r="A601" s="76" t="s">
        <v>110</v>
      </c>
      <c r="B601" s="42"/>
      <c r="C601" s="13">
        <f>104000+26000</f>
        <v>130000</v>
      </c>
      <c r="D601" s="13">
        <f>+C601*0.16</f>
        <v>20800</v>
      </c>
      <c r="E601" s="14">
        <f>C601+D601</f>
        <v>150800</v>
      </c>
      <c r="F601" s="30">
        <v>0.3</v>
      </c>
      <c r="G601" s="14">
        <f>ROUND(E601*F601,0)</f>
        <v>45240</v>
      </c>
      <c r="H601" s="15"/>
      <c r="I601" s="47"/>
    </row>
    <row r="602" spans="1:9" x14ac:dyDescent="0.25">
      <c r="A602" s="76" t="s">
        <v>111</v>
      </c>
      <c r="B602" s="42"/>
      <c r="C602" s="13">
        <f>60400+25850</f>
        <v>86250</v>
      </c>
      <c r="D602" s="13">
        <f>+C602*0.16</f>
        <v>13800</v>
      </c>
      <c r="E602" s="14">
        <f>C602+D602</f>
        <v>100050</v>
      </c>
      <c r="F602" s="30">
        <v>0.3</v>
      </c>
      <c r="G602" s="14">
        <f>ROUND(E602*F602,0)</f>
        <v>30015</v>
      </c>
      <c r="H602" s="15"/>
      <c r="I602" s="47"/>
    </row>
    <row r="603" spans="1:9" x14ac:dyDescent="0.25">
      <c r="A603" s="18"/>
      <c r="B603" s="42"/>
      <c r="C603" s="43"/>
      <c r="D603" s="43"/>
      <c r="E603" s="44">
        <f>C603+D603</f>
        <v>0</v>
      </c>
      <c r="F603" s="45"/>
      <c r="G603" s="14">
        <f>ROUND(E603*F603,0)</f>
        <v>0</v>
      </c>
      <c r="H603" s="15"/>
      <c r="I603" s="47"/>
    </row>
    <row r="604" spans="1:9" x14ac:dyDescent="0.25">
      <c r="A604" s="291"/>
      <c r="B604" s="228"/>
      <c r="C604" s="228"/>
      <c r="D604" s="228"/>
      <c r="E604" s="277" t="s">
        <v>112</v>
      </c>
      <c r="F604" s="277"/>
      <c r="G604" s="277"/>
      <c r="H604" s="23">
        <f>SUM(G601:G603)</f>
        <v>75255</v>
      </c>
      <c r="I604" s="220"/>
    </row>
    <row r="605" spans="1:9" x14ac:dyDescent="0.25">
      <c r="A605" s="291"/>
      <c r="B605" s="228"/>
      <c r="C605" s="228"/>
      <c r="D605" s="228"/>
      <c r="E605" s="47"/>
      <c r="F605" s="47"/>
      <c r="G605" s="47"/>
      <c r="H605" s="233"/>
      <c r="I605" s="47"/>
    </row>
    <row r="606" spans="1:9" x14ac:dyDescent="0.25">
      <c r="A606" s="18"/>
      <c r="B606" s="19"/>
      <c r="C606" s="19"/>
      <c r="D606" s="19"/>
      <c r="E606" s="48" t="s">
        <v>113</v>
      </c>
      <c r="F606" s="48"/>
      <c r="G606" s="48"/>
      <c r="H606" s="25">
        <f>H604+H598+H584</f>
        <v>807010</v>
      </c>
      <c r="I606" s="222"/>
    </row>
    <row r="607" spans="1:9" x14ac:dyDescent="0.25">
      <c r="A607" s="291"/>
      <c r="B607" s="228"/>
      <c r="C607" s="228"/>
      <c r="D607" s="228"/>
      <c r="E607" s="47"/>
      <c r="F607" s="47"/>
      <c r="G607" s="47"/>
      <c r="H607" s="233"/>
      <c r="I607" s="47"/>
    </row>
    <row r="608" spans="1:9" x14ac:dyDescent="0.25">
      <c r="A608" s="291" t="s">
        <v>114</v>
      </c>
      <c r="B608" s="228"/>
      <c r="C608" s="228"/>
      <c r="D608" s="228"/>
      <c r="E608" s="47"/>
      <c r="F608" s="47"/>
      <c r="G608" s="47"/>
      <c r="H608" s="233"/>
      <c r="I608" s="47"/>
    </row>
    <row r="609" spans="1:9" x14ac:dyDescent="0.25">
      <c r="A609" s="6" t="s">
        <v>0</v>
      </c>
      <c r="B609" s="49"/>
      <c r="C609" s="49"/>
      <c r="D609" s="49"/>
      <c r="E609" s="50"/>
      <c r="F609" s="9" t="s">
        <v>115</v>
      </c>
      <c r="G609" s="41" t="s">
        <v>116</v>
      </c>
      <c r="H609" s="10"/>
      <c r="I609" s="47"/>
    </row>
    <row r="610" spans="1:9" x14ac:dyDescent="0.25">
      <c r="A610" s="11" t="s">
        <v>117</v>
      </c>
      <c r="B610" s="51"/>
      <c r="C610" s="51"/>
      <c r="D610" s="51"/>
      <c r="E610" s="52"/>
      <c r="F610" s="53"/>
      <c r="G610" s="14">
        <f>F610*H606</f>
        <v>0</v>
      </c>
      <c r="H610" s="17"/>
      <c r="I610" s="47"/>
    </row>
    <row r="611" spans="1:9" hidden="1" x14ac:dyDescent="0.25">
      <c r="A611" s="81"/>
      <c r="B611" s="301"/>
      <c r="C611" s="301"/>
      <c r="D611" s="301"/>
      <c r="E611" s="302"/>
      <c r="F611" s="303"/>
      <c r="G611" s="304">
        <f>F611*H606</f>
        <v>0</v>
      </c>
      <c r="H611" s="236"/>
      <c r="I611" s="47"/>
    </row>
    <row r="612" spans="1:9" hidden="1" x14ac:dyDescent="0.25">
      <c r="A612" s="11"/>
      <c r="B612" s="51"/>
      <c r="C612" s="51"/>
      <c r="D612" s="51"/>
      <c r="E612" s="52"/>
      <c r="F612" s="53"/>
      <c r="G612" s="14">
        <f>F612*H606</f>
        <v>0</v>
      </c>
      <c r="H612" s="237"/>
      <c r="I612" s="47"/>
    </row>
    <row r="613" spans="1:9" x14ac:dyDescent="0.25">
      <c r="A613" s="4"/>
      <c r="B613" s="4"/>
      <c r="C613" s="4"/>
      <c r="D613" s="4"/>
      <c r="E613" s="46" t="s">
        <v>118</v>
      </c>
      <c r="F613" s="46"/>
      <c r="G613" s="46"/>
      <c r="H613" s="36">
        <f>SUM(G610:G612)</f>
        <v>0</v>
      </c>
      <c r="I613" s="220"/>
    </row>
    <row r="614" spans="1:9" ht="15.75" thickBot="1" x14ac:dyDescent="0.3">
      <c r="A614" s="4"/>
      <c r="B614" s="4"/>
      <c r="C614" s="4"/>
      <c r="D614" s="4"/>
      <c r="E614" s="5"/>
      <c r="F614" s="5"/>
      <c r="G614" s="5"/>
      <c r="H614" s="5"/>
      <c r="I614" s="47"/>
    </row>
    <row r="615" spans="1:9" ht="15.75" thickBot="1" x14ac:dyDescent="0.3">
      <c r="A615" s="4"/>
      <c r="B615" s="4"/>
      <c r="C615" s="4"/>
      <c r="D615" s="4"/>
      <c r="E615" s="54"/>
      <c r="F615" s="54" t="s">
        <v>119</v>
      </c>
      <c r="G615" s="54"/>
      <c r="H615" s="240">
        <f>SUM(H613+H606)</f>
        <v>807010</v>
      </c>
      <c r="I615" s="112"/>
    </row>
    <row r="616" spans="1:9" x14ac:dyDescent="0.25">
      <c r="A616" s="4"/>
      <c r="B616" s="4"/>
      <c r="C616" s="4"/>
      <c r="D616" s="4"/>
      <c r="E616" s="54"/>
      <c r="F616" s="54"/>
      <c r="G616" s="54"/>
      <c r="H616" s="112"/>
      <c r="I616" s="112"/>
    </row>
    <row r="617" spans="1:9" x14ac:dyDescent="0.25">
      <c r="A617" s="4"/>
      <c r="B617" s="4"/>
      <c r="C617" s="4"/>
      <c r="D617" s="4"/>
      <c r="E617" s="54"/>
      <c r="F617" s="54"/>
      <c r="G617" s="54"/>
      <c r="H617" s="112"/>
      <c r="I617" s="112"/>
    </row>
    <row r="618" spans="1:9" x14ac:dyDescent="0.25">
      <c r="A618" s="4"/>
      <c r="B618" s="4"/>
      <c r="C618" s="4"/>
      <c r="D618" s="4"/>
      <c r="E618" s="54"/>
      <c r="F618" s="54"/>
      <c r="G618" s="54"/>
      <c r="H618" s="112"/>
      <c r="I618" s="112"/>
    </row>
    <row r="619" spans="1:9" x14ac:dyDescent="0.25">
      <c r="A619" s="4"/>
      <c r="B619" s="4"/>
      <c r="C619" s="4"/>
      <c r="D619" s="4"/>
      <c r="E619" s="54"/>
      <c r="F619" s="54"/>
      <c r="G619" s="54"/>
      <c r="H619" s="112"/>
      <c r="I619" s="112"/>
    </row>
    <row r="620" spans="1:9" x14ac:dyDescent="0.25">
      <c r="A620" s="4"/>
      <c r="B620" s="4"/>
      <c r="C620" s="4"/>
      <c r="D620" s="4"/>
      <c r="E620" s="54"/>
      <c r="F620" s="54"/>
      <c r="G620" s="54"/>
      <c r="H620" s="112"/>
      <c r="I620" s="112"/>
    </row>
    <row r="621" spans="1:9" x14ac:dyDescent="0.25">
      <c r="A621" s="4"/>
      <c r="B621" s="4"/>
      <c r="C621" s="4"/>
      <c r="D621" s="4"/>
      <c r="E621" s="54"/>
      <c r="F621" s="54"/>
      <c r="G621" s="54"/>
      <c r="H621" s="112"/>
      <c r="I621" s="112"/>
    </row>
    <row r="623" spans="1:9" x14ac:dyDescent="0.25">
      <c r="A623" s="412" t="s">
        <v>79</v>
      </c>
      <c r="B623" s="412"/>
      <c r="C623" s="412"/>
      <c r="D623" s="412"/>
      <c r="E623" s="412"/>
      <c r="F623" s="412"/>
      <c r="G623" s="412"/>
      <c r="H623" s="412"/>
      <c r="I623" s="250"/>
    </row>
    <row r="624" spans="1:9" x14ac:dyDescent="0.25">
      <c r="A624" s="4"/>
      <c r="B624" s="4"/>
      <c r="C624" s="4"/>
      <c r="D624" s="4"/>
      <c r="E624" s="5"/>
      <c r="F624" s="5"/>
      <c r="G624" s="411" t="s">
        <v>326</v>
      </c>
      <c r="H624" s="411"/>
      <c r="I624" s="251"/>
    </row>
    <row r="625" spans="1:9" ht="46.15" customHeight="1" x14ac:dyDescent="0.25">
      <c r="A625" s="468" t="s">
        <v>178</v>
      </c>
      <c r="B625" s="468"/>
      <c r="C625" s="468"/>
      <c r="D625" s="468"/>
      <c r="E625" s="468"/>
      <c r="F625" s="468"/>
      <c r="G625" s="468"/>
      <c r="H625" s="468"/>
      <c r="I625" s="256"/>
    </row>
    <row r="626" spans="1:9" x14ac:dyDescent="0.25">
      <c r="A626" s="4"/>
      <c r="B626" s="4"/>
      <c r="C626" s="4"/>
      <c r="D626" s="4"/>
      <c r="E626" s="5"/>
      <c r="F626" s="5"/>
      <c r="G626" s="414" t="s">
        <v>160</v>
      </c>
      <c r="H626" s="414"/>
      <c r="I626" s="253"/>
    </row>
    <row r="627" spans="1:9" x14ac:dyDescent="0.25">
      <c r="A627" s="4" t="s">
        <v>82</v>
      </c>
      <c r="B627" s="4"/>
      <c r="C627" s="4"/>
      <c r="D627" s="4"/>
      <c r="E627" s="5"/>
      <c r="F627" s="5"/>
      <c r="G627" s="5"/>
      <c r="H627" s="5"/>
      <c r="I627" s="47"/>
    </row>
    <row r="628" spans="1:9" x14ac:dyDescent="0.25">
      <c r="A628" s="6" t="s">
        <v>0</v>
      </c>
      <c r="B628" s="7"/>
      <c r="C628" s="8" t="s">
        <v>83</v>
      </c>
      <c r="D628" s="8" t="s">
        <v>84</v>
      </c>
      <c r="E628" s="9" t="s">
        <v>85</v>
      </c>
      <c r="F628" s="9" t="s">
        <v>86</v>
      </c>
      <c r="G628" s="9" t="s">
        <v>87</v>
      </c>
      <c r="H628" s="10"/>
      <c r="I628" s="47"/>
    </row>
    <row r="629" spans="1:9" x14ac:dyDescent="0.25">
      <c r="A629" s="11" t="s">
        <v>88</v>
      </c>
      <c r="B629" s="12"/>
      <c r="C629" s="13"/>
      <c r="D629" s="13"/>
      <c r="E629" s="14"/>
      <c r="F629" s="14"/>
      <c r="G629" s="14">
        <f>ROUND(H653*0.05,0)+8-16</f>
        <v>6263</v>
      </c>
      <c r="H629" s="15"/>
      <c r="I629" s="47"/>
    </row>
    <row r="630" spans="1:9" x14ac:dyDescent="0.25">
      <c r="A630" s="11" t="s">
        <v>172</v>
      </c>
      <c r="B630" s="12"/>
      <c r="C630" s="13"/>
      <c r="D630" s="13"/>
      <c r="E630" s="14"/>
      <c r="F630" s="14"/>
      <c r="G630" s="14">
        <f>ROUND(E630*F630,0)</f>
        <v>0</v>
      </c>
      <c r="H630" s="15"/>
      <c r="I630" s="47"/>
    </row>
    <row r="631" spans="1:9" x14ac:dyDescent="0.25">
      <c r="A631" s="11" t="s">
        <v>327</v>
      </c>
      <c r="B631" s="12"/>
      <c r="C631" s="13"/>
      <c r="D631" s="13"/>
      <c r="E631" s="14">
        <v>350000</v>
      </c>
      <c r="F631" s="16">
        <v>0.35</v>
      </c>
      <c r="G631" s="14">
        <f>ROUND(E631*F631,0)</f>
        <v>122500</v>
      </c>
      <c r="H631" s="15"/>
      <c r="I631" s="47"/>
    </row>
    <row r="632" spans="1:9" x14ac:dyDescent="0.25">
      <c r="A632" s="11" t="s">
        <v>328</v>
      </c>
      <c r="B632" s="12"/>
      <c r="C632" s="13"/>
      <c r="D632" s="13"/>
      <c r="E632" s="14">
        <v>50000</v>
      </c>
      <c r="F632" s="14">
        <v>3</v>
      </c>
      <c r="G632" s="14">
        <f>ROUND(E632*F632,0)</f>
        <v>150000</v>
      </c>
      <c r="H632" s="17"/>
      <c r="I632" s="47"/>
    </row>
    <row r="633" spans="1:9" x14ac:dyDescent="0.25">
      <c r="A633" s="18"/>
      <c r="B633" s="19"/>
      <c r="C633" s="19"/>
      <c r="D633" s="19"/>
      <c r="E633" s="20"/>
      <c r="F633" s="21" t="s">
        <v>90</v>
      </c>
      <c r="G633" s="22"/>
      <c r="H633" s="23">
        <f>SUM(G629:G632)</f>
        <v>278763</v>
      </c>
      <c r="I633" s="220"/>
    </row>
    <row r="634" spans="1:9" x14ac:dyDescent="0.25">
      <c r="A634" s="291" t="s">
        <v>91</v>
      </c>
      <c r="B634" s="228"/>
      <c r="C634" s="228"/>
      <c r="D634" s="228"/>
      <c r="E634" s="47"/>
      <c r="F634" s="47"/>
      <c r="G634" s="47"/>
      <c r="H634" s="233"/>
      <c r="I634" s="47"/>
    </row>
    <row r="635" spans="1:9" x14ac:dyDescent="0.25">
      <c r="A635" s="24" t="s">
        <v>0</v>
      </c>
      <c r="B635" s="24"/>
      <c r="C635" s="8" t="s">
        <v>92</v>
      </c>
      <c r="D635" s="8" t="s">
        <v>93</v>
      </c>
      <c r="E635" s="9" t="s">
        <v>94</v>
      </c>
      <c r="F635" s="9" t="s">
        <v>95</v>
      </c>
      <c r="G635" s="25" t="s">
        <v>96</v>
      </c>
      <c r="H635" s="10"/>
      <c r="I635" s="47"/>
    </row>
    <row r="636" spans="1:9" s="79" customFormat="1" x14ac:dyDescent="0.25">
      <c r="A636" s="476" t="s">
        <v>176</v>
      </c>
      <c r="B636" s="477"/>
      <c r="C636" s="35" t="s">
        <v>9</v>
      </c>
      <c r="D636" s="34">
        <v>0.05</v>
      </c>
      <c r="E636" s="77">
        <v>2</v>
      </c>
      <c r="F636" s="77">
        <f>ROUND(256000/6,0)</f>
        <v>42667</v>
      </c>
      <c r="G636" s="74">
        <f t="shared" ref="G636:G644" si="19">ROUND(E636*F636,0)</f>
        <v>85334</v>
      </c>
      <c r="H636" s="78"/>
      <c r="I636" s="227"/>
    </row>
    <row r="637" spans="1:9" x14ac:dyDescent="0.25">
      <c r="A637" s="476" t="s">
        <v>177</v>
      </c>
      <c r="B637" s="477"/>
      <c r="C637" s="35" t="s">
        <v>9</v>
      </c>
      <c r="D637" s="80">
        <v>0.05</v>
      </c>
      <c r="E637" s="77">
        <v>1</v>
      </c>
      <c r="F637" s="77">
        <f>+$F$444</f>
        <v>28000</v>
      </c>
      <c r="G637" s="14">
        <f t="shared" si="19"/>
        <v>28000</v>
      </c>
      <c r="H637" s="15"/>
      <c r="I637" s="47"/>
    </row>
    <row r="638" spans="1:9" x14ac:dyDescent="0.25">
      <c r="A638" s="476" t="s">
        <v>179</v>
      </c>
      <c r="B638" s="477"/>
      <c r="C638" s="35" t="s">
        <v>9</v>
      </c>
      <c r="D638" s="80">
        <v>0.05</v>
      </c>
      <c r="E638" s="77">
        <v>10</v>
      </c>
      <c r="F638" s="77">
        <f>+$F$450</f>
        <v>18667</v>
      </c>
      <c r="G638" s="14">
        <f t="shared" ref="G638:G642" si="20">ROUND(E638*F638,0)</f>
        <v>186670</v>
      </c>
      <c r="H638" s="15"/>
      <c r="I638" s="47"/>
    </row>
    <row r="639" spans="1:9" ht="29.45" customHeight="1" x14ac:dyDescent="0.25">
      <c r="A639" s="476" t="s">
        <v>173</v>
      </c>
      <c r="B639" s="477"/>
      <c r="C639" s="84" t="s">
        <v>18</v>
      </c>
      <c r="D639" s="85">
        <v>0.05</v>
      </c>
      <c r="E639" s="86">
        <v>42</v>
      </c>
      <c r="F639" s="87">
        <v>200</v>
      </c>
      <c r="G639" s="14">
        <f t="shared" si="20"/>
        <v>8400</v>
      </c>
      <c r="H639" s="15"/>
      <c r="I639" s="47"/>
    </row>
    <row r="640" spans="1:9" s="79" customFormat="1" x14ac:dyDescent="0.25">
      <c r="A640" s="81" t="s">
        <v>340</v>
      </c>
      <c r="B640" s="12"/>
      <c r="C640" s="35" t="s">
        <v>7</v>
      </c>
      <c r="D640" s="31">
        <v>0.05</v>
      </c>
      <c r="E640" s="30">
        <v>1.5</v>
      </c>
      <c r="F640" s="74">
        <f>205000/10</f>
        <v>20500</v>
      </c>
      <c r="G640" s="14">
        <f t="shared" si="20"/>
        <v>30750</v>
      </c>
      <c r="H640" s="78"/>
      <c r="I640" s="227"/>
    </row>
    <row r="641" spans="1:9" s="79" customFormat="1" x14ac:dyDescent="0.25">
      <c r="A641" s="185" t="s">
        <v>164</v>
      </c>
      <c r="B641" s="186"/>
      <c r="C641" s="35" t="s">
        <v>175</v>
      </c>
      <c r="D641" s="80">
        <v>0.05</v>
      </c>
      <c r="E641" s="77">
        <v>0.15</v>
      </c>
      <c r="F641" s="74">
        <v>7500</v>
      </c>
      <c r="G641" s="14">
        <f t="shared" si="20"/>
        <v>1125</v>
      </c>
      <c r="H641" s="78"/>
      <c r="I641" s="227"/>
    </row>
    <row r="642" spans="1:9" x14ac:dyDescent="0.25">
      <c r="A642" s="11"/>
      <c r="B642" s="12"/>
      <c r="C642" s="35"/>
      <c r="D642" s="34"/>
      <c r="E642" s="30"/>
      <c r="F642" s="14"/>
      <c r="G642" s="14">
        <f t="shared" si="20"/>
        <v>0</v>
      </c>
      <c r="H642" s="15"/>
      <c r="I642" s="47"/>
    </row>
    <row r="643" spans="1:9" hidden="1" x14ac:dyDescent="0.25">
      <c r="A643" s="11"/>
      <c r="B643" s="12"/>
      <c r="C643" s="35"/>
      <c r="D643" s="31"/>
      <c r="E643" s="30"/>
      <c r="F643" s="14"/>
      <c r="G643" s="14">
        <f t="shared" si="19"/>
        <v>0</v>
      </c>
      <c r="H643" s="15"/>
      <c r="I643" s="47"/>
    </row>
    <row r="644" spans="1:9" x14ac:dyDescent="0.25">
      <c r="A644" s="11"/>
      <c r="B644" s="12"/>
      <c r="C644" s="35"/>
      <c r="D644" s="31"/>
      <c r="E644" s="30"/>
      <c r="F644" s="14"/>
      <c r="G644" s="14">
        <f t="shared" si="19"/>
        <v>0</v>
      </c>
      <c r="H644" s="17"/>
      <c r="I644" s="47"/>
    </row>
    <row r="645" spans="1:9" x14ac:dyDescent="0.25">
      <c r="A645" s="291"/>
      <c r="B645" s="228"/>
      <c r="C645" s="228"/>
      <c r="D645" s="228"/>
      <c r="E645" s="36"/>
      <c r="F645" s="37" t="s">
        <v>102</v>
      </c>
      <c r="G645" s="38"/>
      <c r="H645" s="23">
        <f>SUM(G636:G644)</f>
        <v>340279</v>
      </c>
      <c r="I645" s="220"/>
    </row>
    <row r="646" spans="1:9" x14ac:dyDescent="0.25">
      <c r="A646" s="291"/>
      <c r="B646" s="228"/>
      <c r="C646" s="228"/>
      <c r="D646" s="228"/>
      <c r="E646" s="36"/>
      <c r="F646" s="39" t="s">
        <v>103</v>
      </c>
      <c r="G646" s="38"/>
      <c r="H646" s="23">
        <f>ROUND((D636*G636)+(D637*G637)+(D638*G638)+(D639*G639)+(D640*G640)+(D641*G641)+(D642*G642)+(D643*G643)+(D644*G644),0)</f>
        <v>17014</v>
      </c>
      <c r="I646" s="220"/>
    </row>
    <row r="647" spans="1:9" x14ac:dyDescent="0.25">
      <c r="A647" s="291"/>
      <c r="B647" s="228"/>
      <c r="C647" s="228"/>
      <c r="D647" s="228"/>
      <c r="E647" s="36"/>
      <c r="F647" s="20" t="s">
        <v>104</v>
      </c>
      <c r="G647" s="40"/>
      <c r="H647" s="23">
        <f>SUM(H645:H646)</f>
        <v>357293</v>
      </c>
      <c r="I647" s="220"/>
    </row>
    <row r="648" spans="1:9" x14ac:dyDescent="0.25">
      <c r="A648" s="291" t="s">
        <v>105</v>
      </c>
      <c r="B648" s="228"/>
      <c r="C648" s="228"/>
      <c r="D648" s="228"/>
      <c r="E648" s="47"/>
      <c r="F648" s="47"/>
      <c r="G648" s="47"/>
      <c r="H648" s="233"/>
      <c r="I648" s="47"/>
    </row>
    <row r="649" spans="1:9" x14ac:dyDescent="0.25">
      <c r="A649" s="24" t="s">
        <v>0</v>
      </c>
      <c r="B649" s="24"/>
      <c r="C649" s="8" t="s">
        <v>106</v>
      </c>
      <c r="D649" s="8" t="s">
        <v>107</v>
      </c>
      <c r="E649" s="9" t="s">
        <v>108</v>
      </c>
      <c r="F649" s="9" t="s">
        <v>109</v>
      </c>
      <c r="G649" s="41" t="s">
        <v>96</v>
      </c>
      <c r="H649" s="10"/>
      <c r="I649" s="47"/>
    </row>
    <row r="650" spans="1:9" x14ac:dyDescent="0.25">
      <c r="A650" s="76" t="s">
        <v>110</v>
      </c>
      <c r="B650" s="42"/>
      <c r="C650" s="13">
        <f>104000+26000</f>
        <v>130000</v>
      </c>
      <c r="D650" s="13">
        <f>+C650*0.16</f>
        <v>20800</v>
      </c>
      <c r="E650" s="14">
        <f>C650+D650</f>
        <v>150800</v>
      </c>
      <c r="F650" s="30">
        <v>0.5</v>
      </c>
      <c r="G650" s="14">
        <f>ROUND(E650*F650,0)</f>
        <v>75400</v>
      </c>
      <c r="H650" s="15"/>
      <c r="I650" s="47"/>
    </row>
    <row r="651" spans="1:9" x14ac:dyDescent="0.25">
      <c r="A651" s="76" t="s">
        <v>111</v>
      </c>
      <c r="B651" s="42"/>
      <c r="C651" s="13">
        <f>60400+25850</f>
        <v>86250</v>
      </c>
      <c r="D651" s="13">
        <f>+C651*0.16</f>
        <v>13800</v>
      </c>
      <c r="E651" s="14">
        <f>C651+D651</f>
        <v>100050</v>
      </c>
      <c r="F651" s="30">
        <v>0.5</v>
      </c>
      <c r="G651" s="14">
        <f>ROUND(E651*F651,0)</f>
        <v>50025</v>
      </c>
      <c r="H651" s="15"/>
      <c r="I651" s="47"/>
    </row>
    <row r="652" spans="1:9" x14ac:dyDescent="0.25">
      <c r="A652" s="18"/>
      <c r="B652" s="42"/>
      <c r="C652" s="43"/>
      <c r="D652" s="43"/>
      <c r="E652" s="44">
        <f>C652+D652</f>
        <v>0</v>
      </c>
      <c r="F652" s="45"/>
      <c r="G652" s="14">
        <f>ROUND(E652*F652,0)</f>
        <v>0</v>
      </c>
      <c r="H652" s="15"/>
      <c r="I652" s="47"/>
    </row>
    <row r="653" spans="1:9" x14ac:dyDescent="0.25">
      <c r="A653" s="291"/>
      <c r="B653" s="228"/>
      <c r="C653" s="228"/>
      <c r="D653" s="228"/>
      <c r="E653" s="277" t="s">
        <v>112</v>
      </c>
      <c r="F653" s="277"/>
      <c r="G653" s="277"/>
      <c r="H653" s="82">
        <f>SUM(G650:G652)</f>
        <v>125425</v>
      </c>
      <c r="I653" s="221"/>
    </row>
    <row r="654" spans="1:9" x14ac:dyDescent="0.25">
      <c r="A654" s="291"/>
      <c r="B654" s="228"/>
      <c r="C654" s="228"/>
      <c r="D654" s="228"/>
      <c r="E654" s="47"/>
      <c r="F654" s="47"/>
      <c r="G654" s="47"/>
      <c r="H654" s="233"/>
      <c r="I654" s="47"/>
    </row>
    <row r="655" spans="1:9" x14ac:dyDescent="0.25">
      <c r="A655" s="18"/>
      <c r="B655" s="19"/>
      <c r="C655" s="19"/>
      <c r="D655" s="19"/>
      <c r="E655" s="48" t="s">
        <v>113</v>
      </c>
      <c r="F655" s="48"/>
      <c r="G655" s="48"/>
      <c r="H655" s="25">
        <f>H653+H647+H633</f>
        <v>761481</v>
      </c>
      <c r="I655" s="222"/>
    </row>
    <row r="656" spans="1:9" x14ac:dyDescent="0.25">
      <c r="A656" s="291"/>
      <c r="B656" s="228"/>
      <c r="C656" s="228"/>
      <c r="D656" s="228"/>
      <c r="E656" s="47"/>
      <c r="F656" s="47"/>
      <c r="G656" s="47"/>
      <c r="H656" s="233"/>
      <c r="I656" s="47"/>
    </row>
    <row r="657" spans="1:9" x14ac:dyDescent="0.25">
      <c r="A657" s="291" t="s">
        <v>114</v>
      </c>
      <c r="B657" s="228"/>
      <c r="C657" s="228"/>
      <c r="D657" s="228"/>
      <c r="E657" s="47"/>
      <c r="F657" s="47"/>
      <c r="G657" s="47"/>
      <c r="H657" s="233"/>
      <c r="I657" s="47"/>
    </row>
    <row r="658" spans="1:9" x14ac:dyDescent="0.25">
      <c r="A658" s="6" t="s">
        <v>0</v>
      </c>
      <c r="B658" s="49"/>
      <c r="C658" s="49"/>
      <c r="D658" s="49"/>
      <c r="E658" s="50"/>
      <c r="F658" s="9" t="s">
        <v>115</v>
      </c>
      <c r="G658" s="41" t="s">
        <v>116</v>
      </c>
      <c r="H658" s="10"/>
      <c r="I658" s="47"/>
    </row>
    <row r="659" spans="1:9" x14ac:dyDescent="0.25">
      <c r="A659" s="11" t="s">
        <v>117</v>
      </c>
      <c r="B659" s="51"/>
      <c r="C659" s="51"/>
      <c r="D659" s="51"/>
      <c r="E659" s="52"/>
      <c r="F659" s="53"/>
      <c r="G659" s="14">
        <f>F659*H655</f>
        <v>0</v>
      </c>
      <c r="H659" s="15"/>
      <c r="I659" s="47"/>
    </row>
    <row r="660" spans="1:9" x14ac:dyDescent="0.25">
      <c r="A660" s="11"/>
      <c r="B660" s="51"/>
      <c r="C660" s="51"/>
      <c r="D660" s="51"/>
      <c r="E660" s="52"/>
      <c r="F660" s="53"/>
      <c r="G660" s="14">
        <f>F660*H655</f>
        <v>0</v>
      </c>
      <c r="H660" s="15"/>
      <c r="I660" s="47"/>
    </row>
    <row r="661" spans="1:9" x14ac:dyDescent="0.25">
      <c r="A661" s="11"/>
      <c r="B661" s="51"/>
      <c r="C661" s="51"/>
      <c r="D661" s="51"/>
      <c r="E661" s="52"/>
      <c r="F661" s="53"/>
      <c r="G661" s="14">
        <f>F661*H655</f>
        <v>0</v>
      </c>
      <c r="H661" s="17"/>
      <c r="I661" s="47"/>
    </row>
    <row r="662" spans="1:9" x14ac:dyDescent="0.25">
      <c r="A662" s="4"/>
      <c r="B662" s="4"/>
      <c r="C662" s="4"/>
      <c r="D662" s="4"/>
      <c r="E662" s="46" t="s">
        <v>118</v>
      </c>
      <c r="F662" s="46"/>
      <c r="G662" s="46"/>
      <c r="H662" s="36">
        <f>SUM(G659:G661)</f>
        <v>0</v>
      </c>
      <c r="I662" s="220"/>
    </row>
    <row r="663" spans="1:9" ht="15.75" thickBot="1" x14ac:dyDescent="0.3">
      <c r="A663" s="4"/>
      <c r="B663" s="4"/>
      <c r="C663" s="4"/>
      <c r="D663" s="4"/>
      <c r="E663" s="5"/>
      <c r="F663" s="5"/>
      <c r="G663" s="5"/>
      <c r="H663" s="5"/>
      <c r="I663" s="47"/>
    </row>
    <row r="664" spans="1:9" ht="15.75" thickBot="1" x14ac:dyDescent="0.3">
      <c r="A664" s="4"/>
      <c r="B664" s="4"/>
      <c r="C664" s="4"/>
      <c r="D664" s="4"/>
      <c r="E664" s="54"/>
      <c r="F664" s="54" t="s">
        <v>119</v>
      </c>
      <c r="G664" s="54"/>
      <c r="H664" s="240">
        <f>SUM(H662+H655)</f>
        <v>761481</v>
      </c>
      <c r="I664" s="112"/>
    </row>
    <row r="665" spans="1:9" x14ac:dyDescent="0.25">
      <c r="A665" s="4"/>
      <c r="B665" s="4"/>
      <c r="C665" s="4"/>
      <c r="D665" s="4"/>
      <c r="E665" s="54"/>
      <c r="F665" s="54"/>
      <c r="G665" s="54"/>
      <c r="H665" s="112"/>
      <c r="I665" s="112"/>
    </row>
    <row r="666" spans="1:9" x14ac:dyDescent="0.25">
      <c r="E666" s="54"/>
      <c r="F666" s="54"/>
      <c r="G666" s="54"/>
      <c r="H666" s="112"/>
      <c r="I666" s="112"/>
    </row>
    <row r="667" spans="1:9" x14ac:dyDescent="0.25">
      <c r="E667" s="54"/>
      <c r="F667" s="54"/>
      <c r="G667" s="54"/>
      <c r="H667" s="112"/>
      <c r="I667" s="112"/>
    </row>
    <row r="668" spans="1:9" hidden="1" x14ac:dyDescent="0.25">
      <c r="A668" s="4"/>
      <c r="B668" s="4"/>
      <c r="C668" s="4"/>
      <c r="D668" s="4"/>
      <c r="E668" s="54"/>
      <c r="F668" s="54"/>
      <c r="G668" s="54"/>
      <c r="H668" s="112"/>
      <c r="I668" s="112"/>
    </row>
    <row r="669" spans="1:9" x14ac:dyDescent="0.25">
      <c r="A669" s="4"/>
      <c r="B669" s="4"/>
      <c r="C669" s="4"/>
      <c r="D669" s="4"/>
      <c r="E669" s="54"/>
      <c r="F669" s="54"/>
      <c r="G669" s="54"/>
      <c r="H669" s="112"/>
      <c r="I669" s="112"/>
    </row>
    <row r="670" spans="1:9" x14ac:dyDescent="0.25">
      <c r="A670" s="4"/>
      <c r="B670" s="4"/>
      <c r="C670" s="4"/>
      <c r="D670" s="4"/>
      <c r="E670" s="54"/>
      <c r="F670" s="54"/>
      <c r="G670" s="54"/>
      <c r="H670" s="112"/>
      <c r="I670" s="112"/>
    </row>
    <row r="671" spans="1:9" x14ac:dyDescent="0.25">
      <c r="A671" s="4"/>
      <c r="B671" s="4"/>
      <c r="C671" s="4"/>
      <c r="D671" s="4"/>
      <c r="E671" s="54"/>
      <c r="F671" s="54"/>
      <c r="G671" s="54"/>
      <c r="H671" s="112"/>
      <c r="I671" s="112"/>
    </row>
    <row r="673" spans="1:9" x14ac:dyDescent="0.25">
      <c r="A673" s="412" t="s">
        <v>79</v>
      </c>
      <c r="B673" s="412"/>
      <c r="C673" s="412"/>
      <c r="D673" s="412"/>
      <c r="E673" s="412"/>
      <c r="F673" s="412"/>
      <c r="G673" s="412"/>
      <c r="H673" s="412"/>
      <c r="I673" s="250"/>
    </row>
    <row r="674" spans="1:9" x14ac:dyDescent="0.25">
      <c r="A674" s="4"/>
      <c r="B674" s="4"/>
      <c r="C674" s="4"/>
      <c r="D674" s="4"/>
      <c r="E674" s="5"/>
      <c r="F674" s="5"/>
      <c r="G674" s="411" t="s">
        <v>326</v>
      </c>
      <c r="H674" s="411"/>
      <c r="I674" s="251"/>
    </row>
    <row r="675" spans="1:9" ht="44.45" customHeight="1" x14ac:dyDescent="0.25">
      <c r="A675" s="482" t="s">
        <v>297</v>
      </c>
      <c r="B675" s="482"/>
      <c r="C675" s="482"/>
      <c r="D675" s="482"/>
      <c r="E675" s="482"/>
      <c r="F675" s="482"/>
      <c r="G675" s="482"/>
      <c r="H675" s="482"/>
      <c r="I675" s="257"/>
    </row>
    <row r="676" spans="1:9" x14ac:dyDescent="0.25">
      <c r="A676" s="4"/>
      <c r="B676" s="4"/>
      <c r="C676" s="4"/>
      <c r="D676" s="4"/>
      <c r="E676" s="5"/>
      <c r="F676" s="5"/>
      <c r="G676" s="414" t="s">
        <v>215</v>
      </c>
      <c r="H676" s="414"/>
      <c r="I676" s="253"/>
    </row>
    <row r="677" spans="1:9" x14ac:dyDescent="0.25">
      <c r="A677" s="4" t="s">
        <v>82</v>
      </c>
      <c r="B677" s="4"/>
      <c r="C677" s="4"/>
      <c r="D677" s="4"/>
      <c r="E677" s="5"/>
      <c r="F677" s="5"/>
      <c r="G677" s="5"/>
      <c r="H677" s="5"/>
      <c r="I677" s="47"/>
    </row>
    <row r="678" spans="1:9" x14ac:dyDescent="0.25">
      <c r="A678" s="6" t="s">
        <v>0</v>
      </c>
      <c r="B678" s="7"/>
      <c r="C678" s="8" t="s">
        <v>83</v>
      </c>
      <c r="D678" s="8" t="s">
        <v>84</v>
      </c>
      <c r="E678" s="9" t="s">
        <v>85</v>
      </c>
      <c r="F678" s="9" t="s">
        <v>86</v>
      </c>
      <c r="G678" s="9" t="s">
        <v>87</v>
      </c>
      <c r="H678" s="10"/>
      <c r="I678" s="47"/>
    </row>
    <row r="679" spans="1:9" x14ac:dyDescent="0.25">
      <c r="A679" s="11" t="s">
        <v>88</v>
      </c>
      <c r="B679" s="12"/>
      <c r="C679" s="13"/>
      <c r="D679" s="13"/>
      <c r="E679" s="14"/>
      <c r="F679" s="14"/>
      <c r="G679" s="14">
        <f>ROUND(H703*0.05,0)+8-16</f>
        <v>4009</v>
      </c>
      <c r="H679" s="15"/>
      <c r="I679" s="47"/>
    </row>
    <row r="680" spans="1:9" x14ac:dyDescent="0.25">
      <c r="A680" s="11" t="s">
        <v>327</v>
      </c>
      <c r="B680" s="12"/>
      <c r="C680" s="13"/>
      <c r="D680" s="13"/>
      <c r="E680" s="14">
        <v>350000</v>
      </c>
      <c r="F680" s="16">
        <v>0.3</v>
      </c>
      <c r="G680" s="14">
        <f>ROUND(E680*F680,0)</f>
        <v>105000</v>
      </c>
      <c r="H680" s="15"/>
      <c r="I680" s="47"/>
    </row>
    <row r="681" spans="1:9" x14ac:dyDescent="0.25">
      <c r="A681" s="11" t="s">
        <v>328</v>
      </c>
      <c r="B681" s="12"/>
      <c r="C681" s="13"/>
      <c r="D681" s="13"/>
      <c r="E681" s="14">
        <v>50000</v>
      </c>
      <c r="F681" s="16">
        <v>1</v>
      </c>
      <c r="G681" s="14">
        <f>ROUND(E681*F681,0)</f>
        <v>50000</v>
      </c>
      <c r="H681" s="15"/>
      <c r="I681" s="47"/>
    </row>
    <row r="682" spans="1:9" x14ac:dyDescent="0.25">
      <c r="A682" s="11"/>
      <c r="B682" s="12"/>
      <c r="C682" s="13"/>
      <c r="D682" s="13"/>
      <c r="E682" s="14"/>
      <c r="F682" s="14"/>
      <c r="G682" s="14">
        <f>ROUND(E682*F682,0)</f>
        <v>0</v>
      </c>
      <c r="H682" s="17"/>
      <c r="I682" s="47"/>
    </row>
    <row r="683" spans="1:9" x14ac:dyDescent="0.25">
      <c r="A683" s="18"/>
      <c r="B683" s="19"/>
      <c r="C683" s="19"/>
      <c r="D683" s="19"/>
      <c r="E683" s="20"/>
      <c r="F683" s="21" t="s">
        <v>90</v>
      </c>
      <c r="G683" s="22"/>
      <c r="H683" s="23">
        <f>SUM(G679:G682)</f>
        <v>159009</v>
      </c>
      <c r="I683" s="220"/>
    </row>
    <row r="684" spans="1:9" x14ac:dyDescent="0.25">
      <c r="A684" s="291" t="s">
        <v>91</v>
      </c>
      <c r="B684" s="228"/>
      <c r="C684" s="228"/>
      <c r="D684" s="228"/>
      <c r="E684" s="47"/>
      <c r="F684" s="47"/>
      <c r="G684" s="47"/>
      <c r="H684" s="233"/>
      <c r="I684" s="47"/>
    </row>
    <row r="685" spans="1:9" x14ac:dyDescent="0.25">
      <c r="A685" s="24" t="s">
        <v>0</v>
      </c>
      <c r="B685" s="24"/>
      <c r="C685" s="8" t="s">
        <v>92</v>
      </c>
      <c r="D685" s="8" t="s">
        <v>93</v>
      </c>
      <c r="E685" s="9" t="s">
        <v>94</v>
      </c>
      <c r="F685" s="9" t="s">
        <v>95</v>
      </c>
      <c r="G685" s="25" t="s">
        <v>96</v>
      </c>
      <c r="H685" s="10"/>
      <c r="I685" s="47"/>
    </row>
    <row r="686" spans="1:9" ht="32.25" customHeight="1" x14ac:dyDescent="0.25">
      <c r="A686" s="483" t="s">
        <v>360</v>
      </c>
      <c r="B686" s="484"/>
      <c r="C686" s="84" t="s">
        <v>212</v>
      </c>
      <c r="D686" s="70">
        <v>0.05</v>
      </c>
      <c r="E686" s="61">
        <f>+((((0.6*2)+(0.6*2))*0.4)+(0.6*0.6))*0.06</f>
        <v>7.9199999999999993E-2</v>
      </c>
      <c r="F686" s="62">
        <f>+$H$3523</f>
        <v>2838505</v>
      </c>
      <c r="G686" s="62">
        <f t="shared" ref="G686:G694" si="21">ROUND(E686*F686,0)</f>
        <v>224810</v>
      </c>
      <c r="H686" s="15"/>
      <c r="I686" s="47"/>
    </row>
    <row r="687" spans="1:9" x14ac:dyDescent="0.25">
      <c r="A687" s="11" t="s">
        <v>295</v>
      </c>
      <c r="B687" s="12"/>
      <c r="C687" s="35" t="s">
        <v>7</v>
      </c>
      <c r="D687" s="31">
        <v>0.05</v>
      </c>
      <c r="E687" s="61">
        <f>+((((0.6*2)+(0.6*2))*0.4)+(0.6*0.6))</f>
        <v>1.3199999999999998</v>
      </c>
      <c r="F687" s="14">
        <v>110000</v>
      </c>
      <c r="G687" s="62">
        <f t="shared" si="21"/>
        <v>145200</v>
      </c>
      <c r="H687" s="15"/>
      <c r="I687" s="47"/>
    </row>
    <row r="688" spans="1:9" ht="29.45" customHeight="1" x14ac:dyDescent="0.25">
      <c r="A688" s="417" t="s">
        <v>296</v>
      </c>
      <c r="B688" s="418"/>
      <c r="C688" s="84" t="s">
        <v>7</v>
      </c>
      <c r="D688" s="65">
        <v>0.05</v>
      </c>
      <c r="E688" s="61">
        <f>+((((0.6*2)+(0.6*2))*0.4)+(0.6*0.6))</f>
        <v>1.3199999999999998</v>
      </c>
      <c r="F688" s="62">
        <v>20000</v>
      </c>
      <c r="G688" s="62">
        <f t="shared" si="21"/>
        <v>26400</v>
      </c>
      <c r="H688" s="15"/>
      <c r="I688" s="47"/>
    </row>
    <row r="689" spans="1:9" x14ac:dyDescent="0.25">
      <c r="A689" s="11" t="s">
        <v>298</v>
      </c>
      <c r="B689" s="12"/>
      <c r="C689" s="35" t="s">
        <v>7</v>
      </c>
      <c r="D689" s="31"/>
      <c r="E689" s="61">
        <f>+((((0.6*2)+(0.6*2))*0.4))</f>
        <v>0.96</v>
      </c>
      <c r="F689" s="14">
        <f>110000/10</f>
        <v>11000</v>
      </c>
      <c r="G689" s="62">
        <f t="shared" si="21"/>
        <v>10560</v>
      </c>
      <c r="H689" s="15"/>
      <c r="I689" s="47"/>
    </row>
    <row r="690" spans="1:9" x14ac:dyDescent="0.25">
      <c r="A690" s="11"/>
      <c r="B690" s="12"/>
      <c r="C690" s="35"/>
      <c r="D690" s="34"/>
      <c r="E690" s="30"/>
      <c r="F690" s="74"/>
      <c r="G690" s="62">
        <f t="shared" si="21"/>
        <v>0</v>
      </c>
      <c r="H690" s="15"/>
      <c r="I690" s="47"/>
    </row>
    <row r="691" spans="1:9" hidden="1" x14ac:dyDescent="0.25">
      <c r="A691" s="11"/>
      <c r="B691" s="12"/>
      <c r="C691" s="35"/>
      <c r="D691" s="31"/>
      <c r="E691" s="30"/>
      <c r="F691" s="74"/>
      <c r="G691" s="62">
        <f t="shared" si="21"/>
        <v>0</v>
      </c>
      <c r="H691" s="15"/>
      <c r="I691" s="47"/>
    </row>
    <row r="692" spans="1:9" hidden="1" x14ac:dyDescent="0.25">
      <c r="A692" s="11"/>
      <c r="B692" s="12"/>
      <c r="C692" s="35"/>
      <c r="D692" s="34"/>
      <c r="E692" s="30"/>
      <c r="F692" s="74"/>
      <c r="G692" s="62">
        <f t="shared" si="21"/>
        <v>0</v>
      </c>
      <c r="H692" s="15"/>
      <c r="I692" s="47"/>
    </row>
    <row r="693" spans="1:9" hidden="1" x14ac:dyDescent="0.25">
      <c r="A693" s="11"/>
      <c r="B693" s="12"/>
      <c r="C693" s="35"/>
      <c r="D693" s="31"/>
      <c r="E693" s="30"/>
      <c r="F693" s="74"/>
      <c r="G693" s="62">
        <f t="shared" si="21"/>
        <v>0</v>
      </c>
      <c r="H693" s="15"/>
      <c r="I693" s="47"/>
    </row>
    <row r="694" spans="1:9" hidden="1" x14ac:dyDescent="0.25">
      <c r="A694" s="11"/>
      <c r="B694" s="12"/>
      <c r="C694" s="35"/>
      <c r="D694" s="31"/>
      <c r="E694" s="30"/>
      <c r="F694" s="14"/>
      <c r="G694" s="62">
        <f t="shared" si="21"/>
        <v>0</v>
      </c>
      <c r="H694" s="17"/>
      <c r="I694" s="47"/>
    </row>
    <row r="695" spans="1:9" x14ac:dyDescent="0.25">
      <c r="A695" s="291"/>
      <c r="B695" s="228"/>
      <c r="C695" s="228"/>
      <c r="D695" s="228"/>
      <c r="E695" s="36"/>
      <c r="F695" s="37" t="s">
        <v>102</v>
      </c>
      <c r="G695" s="38"/>
      <c r="H695" s="23">
        <f>SUM(G686:G694)</f>
        <v>406970</v>
      </c>
      <c r="I695" s="220"/>
    </row>
    <row r="696" spans="1:9" x14ac:dyDescent="0.25">
      <c r="A696" s="291"/>
      <c r="B696" s="228"/>
      <c r="C696" s="228"/>
      <c r="D696" s="228"/>
      <c r="E696" s="36"/>
      <c r="F696" s="39" t="s">
        <v>103</v>
      </c>
      <c r="G696" s="38"/>
      <c r="H696" s="23">
        <f>ROUND((D686*G686)+(D687*G687)+(D688*G688)+(D690*G690)+(D691*G691)+(D692*G692)+(D693*G693)+(D694*G694),0)</f>
        <v>19821</v>
      </c>
      <c r="I696" s="220"/>
    </row>
    <row r="697" spans="1:9" x14ac:dyDescent="0.25">
      <c r="A697" s="291"/>
      <c r="B697" s="228"/>
      <c r="C697" s="228"/>
      <c r="D697" s="228"/>
      <c r="E697" s="36"/>
      <c r="F697" s="20" t="s">
        <v>104</v>
      </c>
      <c r="G697" s="40"/>
      <c r="H697" s="23">
        <f>SUM(H695:H696)</f>
        <v>426791</v>
      </c>
      <c r="I697" s="220"/>
    </row>
    <row r="698" spans="1:9" x14ac:dyDescent="0.25">
      <c r="A698" s="291" t="s">
        <v>105</v>
      </c>
      <c r="B698" s="228"/>
      <c r="C698" s="228"/>
      <c r="D698" s="228"/>
      <c r="E698" s="47"/>
      <c r="F698" s="47"/>
      <c r="G698" s="47"/>
      <c r="H698" s="233"/>
      <c r="I698" s="47"/>
    </row>
    <row r="699" spans="1:9" x14ac:dyDescent="0.25">
      <c r="A699" s="24" t="s">
        <v>0</v>
      </c>
      <c r="B699" s="24"/>
      <c r="C699" s="8" t="s">
        <v>106</v>
      </c>
      <c r="D699" s="8" t="s">
        <v>107</v>
      </c>
      <c r="E699" s="9" t="s">
        <v>108</v>
      </c>
      <c r="F699" s="9" t="s">
        <v>109</v>
      </c>
      <c r="G699" s="41" t="s">
        <v>96</v>
      </c>
      <c r="H699" s="10"/>
      <c r="I699" s="47"/>
    </row>
    <row r="700" spans="1:9" x14ac:dyDescent="0.25">
      <c r="A700" s="76" t="s">
        <v>110</v>
      </c>
      <c r="B700" s="42"/>
      <c r="C700" s="13">
        <f>104000+26000</f>
        <v>130000</v>
      </c>
      <c r="D700" s="13">
        <f>+C700*0.16</f>
        <v>20800</v>
      </c>
      <c r="E700" s="14">
        <f>C700+D700</f>
        <v>150800</v>
      </c>
      <c r="F700" s="30">
        <v>0.4</v>
      </c>
      <c r="G700" s="14">
        <f>ROUND(E700*F700,0)</f>
        <v>60320</v>
      </c>
      <c r="H700" s="15"/>
      <c r="I700" s="47"/>
    </row>
    <row r="701" spans="1:9" x14ac:dyDescent="0.25">
      <c r="A701" s="76" t="s">
        <v>111</v>
      </c>
      <c r="B701" s="42"/>
      <c r="C701" s="13">
        <f>60400+25850</f>
        <v>86250</v>
      </c>
      <c r="D701" s="13">
        <f>+C701*0.16</f>
        <v>13800</v>
      </c>
      <c r="E701" s="14">
        <f>C701+D701</f>
        <v>100050</v>
      </c>
      <c r="F701" s="30">
        <v>0.2</v>
      </c>
      <c r="G701" s="14">
        <f>ROUND(E701*F701,0)</f>
        <v>20010</v>
      </c>
      <c r="H701" s="15"/>
      <c r="I701" s="47"/>
    </row>
    <row r="702" spans="1:9" x14ac:dyDescent="0.25">
      <c r="A702" s="18"/>
      <c r="B702" s="42"/>
      <c r="C702" s="43"/>
      <c r="D702" s="43"/>
      <c r="E702" s="44">
        <f>C702+D702</f>
        <v>0</v>
      </c>
      <c r="F702" s="45"/>
      <c r="G702" s="14">
        <f>ROUND(E702*F702,0)</f>
        <v>0</v>
      </c>
      <c r="H702" s="15"/>
      <c r="I702" s="47"/>
    </row>
    <row r="703" spans="1:9" x14ac:dyDescent="0.25">
      <c r="A703" s="291"/>
      <c r="B703" s="228"/>
      <c r="C703" s="228"/>
      <c r="D703" s="228"/>
      <c r="E703" s="277" t="s">
        <v>112</v>
      </c>
      <c r="F703" s="277"/>
      <c r="G703" s="277"/>
      <c r="H703" s="82">
        <f>SUM(G700:G702)</f>
        <v>80330</v>
      </c>
      <c r="I703" s="221"/>
    </row>
    <row r="704" spans="1:9" x14ac:dyDescent="0.25">
      <c r="A704" s="291"/>
      <c r="B704" s="228"/>
      <c r="C704" s="228"/>
      <c r="D704" s="228"/>
      <c r="E704" s="47"/>
      <c r="F704" s="47"/>
      <c r="G704" s="47"/>
      <c r="H704" s="233"/>
      <c r="I704" s="47"/>
    </row>
    <row r="705" spans="1:9" x14ac:dyDescent="0.25">
      <c r="A705" s="18"/>
      <c r="B705" s="19"/>
      <c r="C705" s="19"/>
      <c r="D705" s="19"/>
      <c r="E705" s="48" t="s">
        <v>113</v>
      </c>
      <c r="F705" s="48"/>
      <c r="G705" s="48"/>
      <c r="H705" s="25">
        <f>H703+H697+H683</f>
        <v>666130</v>
      </c>
      <c r="I705" s="222"/>
    </row>
    <row r="706" spans="1:9" x14ac:dyDescent="0.25">
      <c r="A706" s="291"/>
      <c r="B706" s="228"/>
      <c r="C706" s="228"/>
      <c r="D706" s="228"/>
      <c r="E706" s="47"/>
      <c r="F706" s="47"/>
      <c r="G706" s="47"/>
      <c r="H706" s="233"/>
      <c r="I706" s="47"/>
    </row>
    <row r="707" spans="1:9" x14ac:dyDescent="0.25">
      <c r="A707" s="291" t="s">
        <v>114</v>
      </c>
      <c r="B707" s="228"/>
      <c r="C707" s="228"/>
      <c r="D707" s="228"/>
      <c r="E707" s="47"/>
      <c r="F707" s="47"/>
      <c r="G707" s="47"/>
      <c r="H707" s="233"/>
      <c r="I707" s="47"/>
    </row>
    <row r="708" spans="1:9" x14ac:dyDescent="0.25">
      <c r="A708" s="6" t="s">
        <v>0</v>
      </c>
      <c r="B708" s="49"/>
      <c r="C708" s="49"/>
      <c r="D708" s="49"/>
      <c r="E708" s="50"/>
      <c r="F708" s="9" t="s">
        <v>115</v>
      </c>
      <c r="G708" s="41" t="s">
        <v>116</v>
      </c>
      <c r="H708" s="10"/>
      <c r="I708" s="47"/>
    </row>
    <row r="709" spans="1:9" x14ac:dyDescent="0.25">
      <c r="A709" s="11" t="s">
        <v>117</v>
      </c>
      <c r="B709" s="51"/>
      <c r="C709" s="51"/>
      <c r="D709" s="51"/>
      <c r="E709" s="52"/>
      <c r="F709" s="53"/>
      <c r="G709" s="14">
        <f>F709*H705</f>
        <v>0</v>
      </c>
      <c r="H709" s="15"/>
      <c r="I709" s="47"/>
    </row>
    <row r="710" spans="1:9" hidden="1" x14ac:dyDescent="0.25">
      <c r="A710" s="11"/>
      <c r="B710" s="51"/>
      <c r="C710" s="51"/>
      <c r="D710" s="51"/>
      <c r="E710" s="52"/>
      <c r="F710" s="53"/>
      <c r="G710" s="14">
        <f>F710*H705</f>
        <v>0</v>
      </c>
      <c r="H710" s="17"/>
      <c r="I710" s="47"/>
    </row>
    <row r="711" spans="1:9" hidden="1" x14ac:dyDescent="0.25">
      <c r="A711" s="81"/>
      <c r="B711" s="301"/>
      <c r="C711" s="301"/>
      <c r="D711" s="301"/>
      <c r="E711" s="302"/>
      <c r="F711" s="303"/>
      <c r="G711" s="304">
        <f>F711*H705</f>
        <v>0</v>
      </c>
      <c r="H711" s="44"/>
      <c r="I711" s="47"/>
    </row>
    <row r="712" spans="1:9" x14ac:dyDescent="0.25">
      <c r="A712" s="4"/>
      <c r="B712" s="4"/>
      <c r="C712" s="4"/>
      <c r="D712" s="4"/>
      <c r="E712" s="46" t="s">
        <v>118</v>
      </c>
      <c r="F712" s="46"/>
      <c r="G712" s="46"/>
      <c r="H712" s="36">
        <f>SUM(G709:G711)</f>
        <v>0</v>
      </c>
      <c r="I712" s="220"/>
    </row>
    <row r="713" spans="1:9" ht="15.75" thickBot="1" x14ac:dyDescent="0.3">
      <c r="A713" s="4"/>
      <c r="B713" s="4"/>
      <c r="C713" s="4"/>
      <c r="D713" s="4"/>
      <c r="E713" s="5"/>
      <c r="F713" s="5"/>
      <c r="G713" s="5"/>
      <c r="H713" s="5"/>
      <c r="I713" s="47"/>
    </row>
    <row r="714" spans="1:9" ht="15.75" thickBot="1" x14ac:dyDescent="0.3">
      <c r="A714" s="4"/>
      <c r="B714" s="4"/>
      <c r="C714" s="4"/>
      <c r="D714" s="4"/>
      <c r="E714" s="54"/>
      <c r="F714" s="54" t="s">
        <v>119</v>
      </c>
      <c r="G714" s="54"/>
      <c r="H714" s="240">
        <f>SUM(H712+H705)</f>
        <v>666130</v>
      </c>
      <c r="I714" s="112"/>
    </row>
    <row r="719" spans="1:9" x14ac:dyDescent="0.25">
      <c r="A719" s="412" t="s">
        <v>79</v>
      </c>
      <c r="B719" s="412"/>
      <c r="C719" s="412"/>
      <c r="D719" s="412"/>
      <c r="E719" s="412"/>
      <c r="F719" s="412"/>
      <c r="G719" s="412"/>
      <c r="H719" s="412"/>
      <c r="I719" s="250"/>
    </row>
    <row r="720" spans="1:9" x14ac:dyDescent="0.25">
      <c r="A720" s="88"/>
      <c r="B720" s="88"/>
      <c r="C720" s="88"/>
      <c r="D720" s="88"/>
      <c r="E720" s="89"/>
      <c r="F720" s="89"/>
      <c r="G720" s="5"/>
      <c r="H720" s="5"/>
      <c r="I720" s="47"/>
    </row>
    <row r="721" spans="1:9" x14ac:dyDescent="0.25">
      <c r="E721" s="5"/>
      <c r="F721" s="5"/>
      <c r="G721" s="411" t="s">
        <v>326</v>
      </c>
      <c r="H721" s="411"/>
      <c r="I721" s="251"/>
    </row>
    <row r="722" spans="1:9" ht="15" customHeight="1" x14ac:dyDescent="0.25">
      <c r="A722" s="434" t="s">
        <v>194</v>
      </c>
      <c r="B722" s="434"/>
      <c r="C722" s="434"/>
      <c r="D722" s="434"/>
      <c r="E722" s="434"/>
      <c r="F722" s="434"/>
      <c r="G722" s="434"/>
      <c r="H722" s="434"/>
      <c r="I722" s="252"/>
    </row>
    <row r="723" spans="1:9" x14ac:dyDescent="0.25">
      <c r="A723" s="4"/>
      <c r="B723" s="4"/>
      <c r="C723" s="4"/>
      <c r="D723" s="4"/>
      <c r="E723" s="5"/>
      <c r="F723" s="5"/>
      <c r="G723" s="414" t="s">
        <v>160</v>
      </c>
      <c r="H723" s="414"/>
      <c r="I723" s="253"/>
    </row>
    <row r="724" spans="1:9" x14ac:dyDescent="0.25">
      <c r="A724" s="4" t="s">
        <v>82</v>
      </c>
      <c r="B724" s="4"/>
      <c r="C724" s="4"/>
      <c r="D724" s="4"/>
      <c r="E724" s="5"/>
      <c r="F724" s="5"/>
      <c r="G724" s="5"/>
      <c r="H724" s="5"/>
      <c r="I724" s="47"/>
    </row>
    <row r="725" spans="1:9" x14ac:dyDescent="0.25">
      <c r="A725" s="6" t="s">
        <v>0</v>
      </c>
      <c r="B725" s="7"/>
      <c r="C725" s="8" t="s">
        <v>83</v>
      </c>
      <c r="D725" s="8" t="s">
        <v>84</v>
      </c>
      <c r="E725" s="9" t="s">
        <v>85</v>
      </c>
      <c r="F725" s="9" t="s">
        <v>86</v>
      </c>
      <c r="G725" s="9" t="s">
        <v>87</v>
      </c>
      <c r="H725" s="10"/>
      <c r="I725" s="47"/>
    </row>
    <row r="726" spans="1:9" x14ac:dyDescent="0.25">
      <c r="A726" s="11" t="s">
        <v>88</v>
      </c>
      <c r="B726" s="12"/>
      <c r="C726" s="13"/>
      <c r="D726" s="13"/>
      <c r="E726" s="14"/>
      <c r="F726" s="14"/>
      <c r="G726" s="14">
        <f>ROUND(H750*0.05,0)+8-16</f>
        <v>845</v>
      </c>
      <c r="H726" s="15"/>
      <c r="I726" s="47"/>
    </row>
    <row r="727" spans="1:9" x14ac:dyDescent="0.25">
      <c r="A727" s="11" t="s">
        <v>327</v>
      </c>
      <c r="B727" s="12"/>
      <c r="C727" s="13"/>
      <c r="D727" s="13"/>
      <c r="E727" s="14">
        <v>350000</v>
      </c>
      <c r="F727" s="14">
        <v>0.1</v>
      </c>
      <c r="G727" s="14">
        <f>ROUND(E727*F727,0)</f>
        <v>35000</v>
      </c>
      <c r="H727" s="15"/>
      <c r="I727" s="47"/>
    </row>
    <row r="728" spans="1:9" x14ac:dyDescent="0.25">
      <c r="A728" s="11" t="s">
        <v>352</v>
      </c>
      <c r="B728" s="12"/>
      <c r="C728" s="13"/>
      <c r="D728" s="13"/>
      <c r="E728" s="14">
        <v>15000</v>
      </c>
      <c r="F728" s="16">
        <v>0.35</v>
      </c>
      <c r="G728" s="14">
        <f>ROUND(E728*F728,0)</f>
        <v>5250</v>
      </c>
      <c r="H728" s="15"/>
      <c r="I728" s="47"/>
    </row>
    <row r="729" spans="1:9" x14ac:dyDescent="0.25">
      <c r="A729" s="11" t="s">
        <v>328</v>
      </c>
      <c r="B729" s="12"/>
      <c r="C729" s="13"/>
      <c r="D729" s="13"/>
      <c r="E729" s="14">
        <v>50000</v>
      </c>
      <c r="F729" s="14">
        <v>0.2</v>
      </c>
      <c r="G729" s="14">
        <f>ROUND(E729*F729,0)</f>
        <v>10000</v>
      </c>
      <c r="H729" s="17"/>
      <c r="I729" s="47"/>
    </row>
    <row r="730" spans="1:9" x14ac:dyDescent="0.25">
      <c r="A730" s="18"/>
      <c r="B730" s="19"/>
      <c r="C730" s="19"/>
      <c r="D730" s="19"/>
      <c r="E730" s="20"/>
      <c r="F730" s="21" t="s">
        <v>90</v>
      </c>
      <c r="G730" s="22"/>
      <c r="H730" s="23">
        <f>SUM(G726:G729)</f>
        <v>51095</v>
      </c>
      <c r="I730" s="220"/>
    </row>
    <row r="731" spans="1:9" x14ac:dyDescent="0.25">
      <c r="A731" s="291" t="s">
        <v>91</v>
      </c>
      <c r="B731" s="228"/>
      <c r="C731" s="228"/>
      <c r="D731" s="228"/>
      <c r="E731" s="47"/>
      <c r="F731" s="47"/>
      <c r="G731" s="47"/>
      <c r="H731" s="233"/>
      <c r="I731" s="47"/>
    </row>
    <row r="732" spans="1:9" x14ac:dyDescent="0.25">
      <c r="A732" s="24" t="s">
        <v>0</v>
      </c>
      <c r="B732" s="24"/>
      <c r="C732" s="8" t="s">
        <v>92</v>
      </c>
      <c r="D732" s="8" t="s">
        <v>93</v>
      </c>
      <c r="E732" s="9" t="s">
        <v>94</v>
      </c>
      <c r="F732" s="9" t="s">
        <v>95</v>
      </c>
      <c r="G732" s="25" t="s">
        <v>96</v>
      </c>
      <c r="H732" s="10"/>
      <c r="I732" s="47"/>
    </row>
    <row r="733" spans="1:9" x14ac:dyDescent="0.25">
      <c r="A733" s="26" t="s">
        <v>195</v>
      </c>
      <c r="B733" s="27"/>
      <c r="C733" s="28" t="s">
        <v>140</v>
      </c>
      <c r="D733" s="29">
        <v>0.05</v>
      </c>
      <c r="E733" s="30">
        <f>0.1</f>
        <v>0.1</v>
      </c>
      <c r="F733" s="14">
        <v>110000</v>
      </c>
      <c r="G733" s="14">
        <f t="shared" ref="G733:G741" si="22">ROUND(E733*F733,0)</f>
        <v>11000</v>
      </c>
      <c r="H733" s="15"/>
      <c r="I733" s="47"/>
    </row>
    <row r="734" spans="1:9" x14ac:dyDescent="0.25">
      <c r="A734" s="26" t="s">
        <v>196</v>
      </c>
      <c r="B734" s="27"/>
      <c r="C734" s="28" t="s">
        <v>18</v>
      </c>
      <c r="D734" s="31"/>
      <c r="E734" s="30">
        <v>0.2</v>
      </c>
      <c r="F734" s="74">
        <v>8500</v>
      </c>
      <c r="G734" s="14">
        <f t="shared" si="22"/>
        <v>1700</v>
      </c>
      <c r="H734" s="15"/>
      <c r="I734" s="47"/>
    </row>
    <row r="735" spans="1:9" x14ac:dyDescent="0.25">
      <c r="A735" s="32" t="s">
        <v>197</v>
      </c>
      <c r="B735" s="33"/>
      <c r="C735" s="28" t="s">
        <v>18</v>
      </c>
      <c r="D735" s="29"/>
      <c r="E735" s="30">
        <v>0.15</v>
      </c>
      <c r="F735" s="14">
        <v>1900</v>
      </c>
      <c r="G735" s="14">
        <f t="shared" si="22"/>
        <v>285</v>
      </c>
      <c r="H735" s="15"/>
      <c r="I735" s="47"/>
    </row>
    <row r="736" spans="1:9" x14ac:dyDescent="0.25">
      <c r="A736" s="11"/>
      <c r="B736" s="12"/>
      <c r="C736" s="35"/>
      <c r="D736" s="31"/>
      <c r="E736" s="30"/>
      <c r="F736" s="14"/>
      <c r="G736" s="14">
        <f t="shared" si="22"/>
        <v>0</v>
      </c>
      <c r="H736" s="15"/>
      <c r="I736" s="47"/>
    </row>
    <row r="737" spans="1:9" x14ac:dyDescent="0.25">
      <c r="A737" s="11"/>
      <c r="B737" s="12"/>
      <c r="C737" s="35"/>
      <c r="D737" s="34"/>
      <c r="E737" s="30"/>
      <c r="F737" s="14"/>
      <c r="G737" s="14">
        <f t="shared" si="22"/>
        <v>0</v>
      </c>
      <c r="H737" s="15"/>
      <c r="I737" s="47"/>
    </row>
    <row r="738" spans="1:9" hidden="1" x14ac:dyDescent="0.25">
      <c r="A738" s="11"/>
      <c r="B738" s="12"/>
      <c r="C738" s="35"/>
      <c r="D738" s="31"/>
      <c r="E738" s="30"/>
      <c r="F738" s="14"/>
      <c r="G738" s="14">
        <f t="shared" si="22"/>
        <v>0</v>
      </c>
      <c r="H738" s="15"/>
      <c r="I738" s="47"/>
    </row>
    <row r="739" spans="1:9" hidden="1" x14ac:dyDescent="0.25">
      <c r="A739" s="11"/>
      <c r="B739" s="12"/>
      <c r="C739" s="35"/>
      <c r="D739" s="34"/>
      <c r="E739" s="30"/>
      <c r="F739" s="14"/>
      <c r="G739" s="14">
        <f t="shared" si="22"/>
        <v>0</v>
      </c>
      <c r="H739" s="15"/>
      <c r="I739" s="47"/>
    </row>
    <row r="740" spans="1:9" hidden="1" x14ac:dyDescent="0.25">
      <c r="A740" s="11"/>
      <c r="B740" s="12"/>
      <c r="C740" s="35"/>
      <c r="D740" s="31"/>
      <c r="E740" s="30"/>
      <c r="F740" s="14"/>
      <c r="G740" s="14">
        <f t="shared" si="22"/>
        <v>0</v>
      </c>
      <c r="H740" s="15"/>
      <c r="I740" s="47"/>
    </row>
    <row r="741" spans="1:9" hidden="1" x14ac:dyDescent="0.25">
      <c r="A741" s="11"/>
      <c r="B741" s="12"/>
      <c r="C741" s="35"/>
      <c r="D741" s="31"/>
      <c r="E741" s="30"/>
      <c r="F741" s="14"/>
      <c r="G741" s="14">
        <f t="shared" si="22"/>
        <v>0</v>
      </c>
      <c r="H741" s="17"/>
      <c r="I741" s="47"/>
    </row>
    <row r="742" spans="1:9" x14ac:dyDescent="0.25">
      <c r="A742" s="291"/>
      <c r="B742" s="228"/>
      <c r="C742" s="228"/>
      <c r="D742" s="228"/>
      <c r="E742" s="36"/>
      <c r="F742" s="37" t="s">
        <v>102</v>
      </c>
      <c r="G742" s="38"/>
      <c r="H742" s="23">
        <f>SUM(G733:G741)</f>
        <v>12985</v>
      </c>
      <c r="I742" s="220"/>
    </row>
    <row r="743" spans="1:9" x14ac:dyDescent="0.25">
      <c r="A743" s="291"/>
      <c r="B743" s="228"/>
      <c r="C743" s="228"/>
      <c r="D743" s="228"/>
      <c r="E743" s="36"/>
      <c r="F743" s="39" t="s">
        <v>103</v>
      </c>
      <c r="G743" s="38"/>
      <c r="H743" s="23">
        <f>ROUND((D733*G733)+(D734*G734)+(D735*G735)+(D736*G736)+(D737*G737)+(D738*G738)+(D739*G739)+(D740*G740)+(D741*G741),0)</f>
        <v>550</v>
      </c>
      <c r="I743" s="220"/>
    </row>
    <row r="744" spans="1:9" x14ac:dyDescent="0.25">
      <c r="A744" s="291"/>
      <c r="B744" s="228"/>
      <c r="C744" s="228"/>
      <c r="D744" s="228"/>
      <c r="E744" s="36"/>
      <c r="F744" s="20" t="s">
        <v>104</v>
      </c>
      <c r="G744" s="40"/>
      <c r="H744" s="23">
        <f>SUM(H742:H743)</f>
        <v>13535</v>
      </c>
      <c r="I744" s="220"/>
    </row>
    <row r="745" spans="1:9" x14ac:dyDescent="0.25">
      <c r="A745" s="291" t="s">
        <v>105</v>
      </c>
      <c r="B745" s="228"/>
      <c r="C745" s="228"/>
      <c r="D745" s="228"/>
      <c r="E745" s="47"/>
      <c r="F745" s="47"/>
      <c r="G745" s="47"/>
      <c r="H745" s="233"/>
      <c r="I745" s="47"/>
    </row>
    <row r="746" spans="1:9" x14ac:dyDescent="0.25">
      <c r="A746" s="24" t="s">
        <v>0</v>
      </c>
      <c r="B746" s="24"/>
      <c r="C746" s="8" t="s">
        <v>106</v>
      </c>
      <c r="D746" s="8" t="s">
        <v>107</v>
      </c>
      <c r="E746" s="9" t="s">
        <v>108</v>
      </c>
      <c r="F746" s="9" t="s">
        <v>109</v>
      </c>
      <c r="G746" s="41" t="s">
        <v>96</v>
      </c>
      <c r="H746" s="10"/>
      <c r="I746" s="47"/>
    </row>
    <row r="747" spans="1:9" x14ac:dyDescent="0.25">
      <c r="A747" s="18" t="s">
        <v>110</v>
      </c>
      <c r="B747" s="42"/>
      <c r="C747" s="13">
        <f>104000+26000</f>
        <v>130000</v>
      </c>
      <c r="D747" s="13">
        <f>+C747*0.16</f>
        <v>20800</v>
      </c>
      <c r="E747" s="14">
        <f>C747+D747</f>
        <v>150800</v>
      </c>
      <c r="F747" s="30">
        <v>0.06</v>
      </c>
      <c r="G747" s="14">
        <f>ROUND(E747*F747,0)</f>
        <v>9048</v>
      </c>
      <c r="H747" s="15"/>
      <c r="I747" s="47"/>
    </row>
    <row r="748" spans="1:9" x14ac:dyDescent="0.25">
      <c r="A748" s="18" t="s">
        <v>111</v>
      </c>
      <c r="B748" s="42"/>
      <c r="C748" s="13">
        <f>60400+25850</f>
        <v>86250</v>
      </c>
      <c r="D748" s="13">
        <f>+C748*0.16</f>
        <v>13800</v>
      </c>
      <c r="E748" s="14">
        <f>C748+D748</f>
        <v>100050</v>
      </c>
      <c r="F748" s="30">
        <v>0.08</v>
      </c>
      <c r="G748" s="14">
        <f>ROUND(E748*F748,0)</f>
        <v>8004</v>
      </c>
      <c r="H748" s="15"/>
      <c r="I748" s="47"/>
    </row>
    <row r="749" spans="1:9" x14ac:dyDescent="0.25">
      <c r="A749" s="18"/>
      <c r="B749" s="42"/>
      <c r="C749" s="43"/>
      <c r="D749" s="43"/>
      <c r="E749" s="44">
        <f>C749+D749</f>
        <v>0</v>
      </c>
      <c r="F749" s="45"/>
      <c r="G749" s="14">
        <f>ROUND(E749*F749,0)</f>
        <v>0</v>
      </c>
      <c r="H749" s="15"/>
      <c r="I749" s="47"/>
    </row>
    <row r="750" spans="1:9" x14ac:dyDescent="0.25">
      <c r="A750" s="291"/>
      <c r="B750" s="228"/>
      <c r="C750" s="228"/>
      <c r="D750" s="228"/>
      <c r="E750" s="277" t="s">
        <v>112</v>
      </c>
      <c r="F750" s="277"/>
      <c r="G750" s="277"/>
      <c r="H750" s="23">
        <f>SUM(G747:G749)</f>
        <v>17052</v>
      </c>
      <c r="I750" s="220"/>
    </row>
    <row r="751" spans="1:9" x14ac:dyDescent="0.25">
      <c r="A751" s="291"/>
      <c r="B751" s="228"/>
      <c r="C751" s="228"/>
      <c r="D751" s="228"/>
      <c r="E751" s="47"/>
      <c r="F751" s="47"/>
      <c r="G751" s="47"/>
      <c r="H751" s="233"/>
      <c r="I751" s="47"/>
    </row>
    <row r="752" spans="1:9" x14ac:dyDescent="0.25">
      <c r="A752" s="18"/>
      <c r="B752" s="19"/>
      <c r="C752" s="19"/>
      <c r="D752" s="19"/>
      <c r="E752" s="48" t="s">
        <v>113</v>
      </c>
      <c r="F752" s="48"/>
      <c r="G752" s="48"/>
      <c r="H752" s="25">
        <f>H750+H744+H730</f>
        <v>81682</v>
      </c>
      <c r="I752" s="222"/>
    </row>
    <row r="753" spans="1:9" x14ac:dyDescent="0.25">
      <c r="A753" s="291"/>
      <c r="B753" s="228"/>
      <c r="C753" s="228"/>
      <c r="D753" s="228"/>
      <c r="E753" s="47"/>
      <c r="F753" s="47"/>
      <c r="G753" s="47"/>
      <c r="H753" s="233"/>
      <c r="I753" s="47"/>
    </row>
    <row r="754" spans="1:9" x14ac:dyDescent="0.25">
      <c r="A754" s="291" t="s">
        <v>114</v>
      </c>
      <c r="B754" s="228"/>
      <c r="C754" s="228"/>
      <c r="D754" s="228"/>
      <c r="E754" s="47"/>
      <c r="F754" s="47"/>
      <c r="G754" s="47"/>
      <c r="H754" s="233"/>
      <c r="I754" s="47"/>
    </row>
    <row r="755" spans="1:9" x14ac:dyDescent="0.25">
      <c r="A755" s="6" t="s">
        <v>0</v>
      </c>
      <c r="B755" s="49"/>
      <c r="C755" s="49"/>
      <c r="D755" s="49"/>
      <c r="E755" s="50"/>
      <c r="F755" s="9" t="s">
        <v>115</v>
      </c>
      <c r="G755" s="41" t="s">
        <v>116</v>
      </c>
      <c r="H755" s="10"/>
      <c r="I755" s="47"/>
    </row>
    <row r="756" spans="1:9" x14ac:dyDescent="0.25">
      <c r="A756" s="11" t="s">
        <v>117</v>
      </c>
      <c r="B756" s="51"/>
      <c r="C756" s="51"/>
      <c r="D756" s="51"/>
      <c r="E756" s="52"/>
      <c r="F756" s="53"/>
      <c r="G756" s="14">
        <f>F756*H752</f>
        <v>0</v>
      </c>
      <c r="H756" s="15"/>
      <c r="I756" s="47"/>
    </row>
    <row r="757" spans="1:9" x14ac:dyDescent="0.25">
      <c r="A757" s="11"/>
      <c r="B757" s="51"/>
      <c r="C757" s="51"/>
      <c r="D757" s="51"/>
      <c r="E757" s="52"/>
      <c r="F757" s="53"/>
      <c r="G757" s="14">
        <f>F757*H752</f>
        <v>0</v>
      </c>
      <c r="H757" s="15"/>
      <c r="I757" s="47"/>
    </row>
    <row r="758" spans="1:9" x14ac:dyDescent="0.25">
      <c r="A758" s="11"/>
      <c r="B758" s="51"/>
      <c r="C758" s="51"/>
      <c r="D758" s="51"/>
      <c r="E758" s="52"/>
      <c r="F758" s="53"/>
      <c r="G758" s="14">
        <f>F758*H752</f>
        <v>0</v>
      </c>
      <c r="H758" s="17"/>
      <c r="I758" s="47"/>
    </row>
    <row r="759" spans="1:9" x14ac:dyDescent="0.25">
      <c r="A759" s="4"/>
      <c r="B759" s="4"/>
      <c r="C759" s="4"/>
      <c r="D759" s="4"/>
      <c r="E759" s="46" t="s">
        <v>118</v>
      </c>
      <c r="F759" s="46"/>
      <c r="G759" s="46"/>
      <c r="H759" s="36">
        <f>SUM(G756:G758)</f>
        <v>0</v>
      </c>
      <c r="I759" s="220"/>
    </row>
    <row r="760" spans="1:9" ht="15.75" thickBot="1" x14ac:dyDescent="0.3">
      <c r="A760" s="4"/>
      <c r="B760" s="4"/>
      <c r="C760" s="4"/>
      <c r="D760" s="4"/>
      <c r="E760" s="5"/>
      <c r="F760" s="5"/>
      <c r="G760" s="5"/>
      <c r="H760" s="5"/>
      <c r="I760" s="47"/>
    </row>
    <row r="761" spans="1:9" ht="15.75" thickBot="1" x14ac:dyDescent="0.3">
      <c r="A761" s="4"/>
      <c r="B761" s="4"/>
      <c r="C761" s="4"/>
      <c r="D761" s="4"/>
      <c r="E761" s="54"/>
      <c r="F761" s="54" t="s">
        <v>119</v>
      </c>
      <c r="G761" s="54"/>
      <c r="H761" s="240">
        <f>SUM(H759+H752)</f>
        <v>81682</v>
      </c>
      <c r="I761" s="112"/>
    </row>
    <row r="765" spans="1:9" x14ac:dyDescent="0.25">
      <c r="A765" s="412" t="s">
        <v>79</v>
      </c>
      <c r="B765" s="412"/>
      <c r="C765" s="412"/>
      <c r="D765" s="412"/>
      <c r="E765" s="412"/>
      <c r="F765" s="412"/>
      <c r="G765" s="412"/>
      <c r="H765" s="412"/>
      <c r="I765" s="250"/>
    </row>
    <row r="766" spans="1:9" x14ac:dyDescent="0.25">
      <c r="A766" s="88"/>
      <c r="B766" s="88"/>
      <c r="C766" s="88"/>
      <c r="D766" s="88"/>
      <c r="E766" s="89"/>
      <c r="F766" s="89"/>
      <c r="G766" s="5"/>
      <c r="H766" s="5"/>
      <c r="I766" s="47"/>
    </row>
    <row r="767" spans="1:9" x14ac:dyDescent="0.25">
      <c r="E767" s="5"/>
      <c r="F767" s="5"/>
      <c r="G767" s="411" t="s">
        <v>326</v>
      </c>
      <c r="H767" s="411"/>
      <c r="I767" s="251"/>
    </row>
    <row r="768" spans="1:9" ht="15" customHeight="1" x14ac:dyDescent="0.25">
      <c r="A768" s="434" t="s">
        <v>198</v>
      </c>
      <c r="B768" s="434"/>
      <c r="C768" s="434"/>
      <c r="D768" s="434"/>
      <c r="E768" s="434"/>
      <c r="F768" s="434"/>
      <c r="G768" s="434"/>
      <c r="H768" s="434"/>
      <c r="I768" s="252"/>
    </row>
    <row r="769" spans="1:9" x14ac:dyDescent="0.25">
      <c r="A769" s="4"/>
      <c r="B769" s="4"/>
      <c r="C769" s="4"/>
      <c r="D769" s="4"/>
      <c r="E769" s="5"/>
      <c r="F769" s="5"/>
      <c r="G769" s="414" t="s">
        <v>160</v>
      </c>
      <c r="H769" s="414"/>
      <c r="I769" s="253"/>
    </row>
    <row r="770" spans="1:9" x14ac:dyDescent="0.25">
      <c r="A770" s="4" t="s">
        <v>82</v>
      </c>
      <c r="B770" s="4"/>
      <c r="C770" s="4"/>
      <c r="D770" s="4"/>
      <c r="E770" s="5"/>
      <c r="F770" s="5"/>
      <c r="G770" s="5"/>
      <c r="H770" s="5"/>
      <c r="I770" s="47"/>
    </row>
    <row r="771" spans="1:9" x14ac:dyDescent="0.25">
      <c r="A771" s="6" t="s">
        <v>0</v>
      </c>
      <c r="B771" s="7"/>
      <c r="C771" s="8" t="s">
        <v>83</v>
      </c>
      <c r="D771" s="8" t="s">
        <v>84</v>
      </c>
      <c r="E771" s="9" t="s">
        <v>85</v>
      </c>
      <c r="F771" s="9" t="s">
        <v>86</v>
      </c>
      <c r="G771" s="9" t="s">
        <v>87</v>
      </c>
      <c r="H771" s="10"/>
      <c r="I771" s="47"/>
    </row>
    <row r="772" spans="1:9" x14ac:dyDescent="0.25">
      <c r="A772" s="11" t="s">
        <v>88</v>
      </c>
      <c r="B772" s="12"/>
      <c r="C772" s="13"/>
      <c r="D772" s="13"/>
      <c r="E772" s="14"/>
      <c r="F772" s="14"/>
      <c r="G772" s="14">
        <f>ROUND(H796*0.05,0)+8-16</f>
        <v>845</v>
      </c>
      <c r="H772" s="15"/>
      <c r="I772" s="47"/>
    </row>
    <row r="773" spans="1:9" x14ac:dyDescent="0.25">
      <c r="A773" s="11" t="s">
        <v>327</v>
      </c>
      <c r="B773" s="12"/>
      <c r="C773" s="13"/>
      <c r="D773" s="13"/>
      <c r="E773" s="14">
        <v>350000</v>
      </c>
      <c r="F773" s="14">
        <v>0.1</v>
      </c>
      <c r="G773" s="14">
        <f>ROUND(E773*F773,0)</f>
        <v>35000</v>
      </c>
      <c r="H773" s="15"/>
      <c r="I773" s="47"/>
    </row>
    <row r="774" spans="1:9" x14ac:dyDescent="0.25">
      <c r="A774" s="11" t="s">
        <v>352</v>
      </c>
      <c r="B774" s="12"/>
      <c r="C774" s="13"/>
      <c r="D774" s="13"/>
      <c r="E774" s="74">
        <v>15000</v>
      </c>
      <c r="F774" s="16">
        <v>0.35</v>
      </c>
      <c r="G774" s="14">
        <f>ROUND(E774*F774,0)</f>
        <v>5250</v>
      </c>
      <c r="H774" s="15"/>
      <c r="I774" s="47"/>
    </row>
    <row r="775" spans="1:9" x14ac:dyDescent="0.25">
      <c r="A775" s="11" t="s">
        <v>328</v>
      </c>
      <c r="B775" s="12"/>
      <c r="C775" s="13"/>
      <c r="D775" s="13"/>
      <c r="E775" s="14">
        <v>50000</v>
      </c>
      <c r="F775" s="14">
        <v>0.2</v>
      </c>
      <c r="G775" s="14">
        <f>ROUND(E775*F775,0)</f>
        <v>10000</v>
      </c>
      <c r="H775" s="17"/>
      <c r="I775" s="47"/>
    </row>
    <row r="776" spans="1:9" x14ac:dyDescent="0.25">
      <c r="A776" s="18"/>
      <c r="B776" s="19"/>
      <c r="C776" s="19"/>
      <c r="D776" s="19"/>
      <c r="E776" s="20"/>
      <c r="F776" s="21" t="s">
        <v>90</v>
      </c>
      <c r="G776" s="22"/>
      <c r="H776" s="23">
        <f>SUM(G772:G775)</f>
        <v>51095</v>
      </c>
      <c r="I776" s="220"/>
    </row>
    <row r="777" spans="1:9" x14ac:dyDescent="0.25">
      <c r="A777" s="291" t="s">
        <v>91</v>
      </c>
      <c r="B777" s="228"/>
      <c r="C777" s="228"/>
      <c r="D777" s="228"/>
      <c r="E777" s="47"/>
      <c r="F777" s="47"/>
      <c r="G777" s="47"/>
      <c r="H777" s="233"/>
      <c r="I777" s="47"/>
    </row>
    <row r="778" spans="1:9" x14ac:dyDescent="0.25">
      <c r="A778" s="24" t="s">
        <v>0</v>
      </c>
      <c r="B778" s="24"/>
      <c r="C778" s="8" t="s">
        <v>92</v>
      </c>
      <c r="D778" s="8" t="s">
        <v>93</v>
      </c>
      <c r="E778" s="9" t="s">
        <v>94</v>
      </c>
      <c r="F778" s="9" t="s">
        <v>95</v>
      </c>
      <c r="G778" s="25" t="s">
        <v>96</v>
      </c>
      <c r="H778" s="10"/>
      <c r="I778" s="47"/>
    </row>
    <row r="779" spans="1:9" x14ac:dyDescent="0.25">
      <c r="A779" s="26" t="s">
        <v>331</v>
      </c>
      <c r="B779" s="27"/>
      <c r="C779" s="28" t="s">
        <v>140</v>
      </c>
      <c r="D779" s="29">
        <v>0.05</v>
      </c>
      <c r="E779" s="30">
        <f>0.1</f>
        <v>0.1</v>
      </c>
      <c r="F779" s="14">
        <v>88000</v>
      </c>
      <c r="G779" s="14">
        <f t="shared" ref="G779:G787" si="23">ROUND(E779*F779,0)</f>
        <v>8800</v>
      </c>
      <c r="H779" s="15"/>
      <c r="I779" s="47"/>
    </row>
    <row r="780" spans="1:9" x14ac:dyDescent="0.25">
      <c r="A780" s="26" t="s">
        <v>196</v>
      </c>
      <c r="B780" s="27"/>
      <c r="C780" s="28" t="s">
        <v>18</v>
      </c>
      <c r="D780" s="31"/>
      <c r="E780" s="30">
        <v>0.1</v>
      </c>
      <c r="F780" s="74">
        <v>8500</v>
      </c>
      <c r="G780" s="14">
        <f t="shared" si="23"/>
        <v>850</v>
      </c>
      <c r="H780" s="15"/>
      <c r="I780" s="47"/>
    </row>
    <row r="781" spans="1:9" x14ac:dyDescent="0.25">
      <c r="A781" s="32" t="s">
        <v>197</v>
      </c>
      <c r="B781" s="33"/>
      <c r="C781" s="28" t="s">
        <v>18</v>
      </c>
      <c r="D781" s="29"/>
      <c r="E781" s="30">
        <v>0.15</v>
      </c>
      <c r="F781" s="14">
        <v>1900</v>
      </c>
      <c r="G781" s="14">
        <f t="shared" si="23"/>
        <v>285</v>
      </c>
      <c r="H781" s="15"/>
      <c r="I781" s="47"/>
    </row>
    <row r="782" spans="1:9" x14ac:dyDescent="0.25">
      <c r="A782" s="11"/>
      <c r="B782" s="12"/>
      <c r="C782" s="35"/>
      <c r="D782" s="31"/>
      <c r="E782" s="30"/>
      <c r="F782" s="14"/>
      <c r="G782" s="14">
        <f t="shared" si="23"/>
        <v>0</v>
      </c>
      <c r="H782" s="15"/>
      <c r="I782" s="47"/>
    </row>
    <row r="783" spans="1:9" x14ac:dyDescent="0.25">
      <c r="A783" s="11"/>
      <c r="B783" s="12"/>
      <c r="C783" s="35"/>
      <c r="D783" s="34"/>
      <c r="E783" s="30"/>
      <c r="F783" s="14"/>
      <c r="G783" s="14">
        <f t="shared" si="23"/>
        <v>0</v>
      </c>
      <c r="H783" s="15"/>
      <c r="I783" s="47"/>
    </row>
    <row r="784" spans="1:9" x14ac:dyDescent="0.25">
      <c r="A784" s="11"/>
      <c r="B784" s="12"/>
      <c r="C784" s="35"/>
      <c r="D784" s="31"/>
      <c r="E784" s="30"/>
      <c r="F784" s="14"/>
      <c r="G784" s="14">
        <f t="shared" si="23"/>
        <v>0</v>
      </c>
      <c r="H784" s="15"/>
      <c r="I784" s="47"/>
    </row>
    <row r="785" spans="1:9" x14ac:dyDescent="0.25">
      <c r="A785" s="11"/>
      <c r="B785" s="12"/>
      <c r="C785" s="35"/>
      <c r="D785" s="34"/>
      <c r="E785" s="30"/>
      <c r="F785" s="14"/>
      <c r="G785" s="14">
        <f t="shared" si="23"/>
        <v>0</v>
      </c>
      <c r="H785" s="15"/>
      <c r="I785" s="47"/>
    </row>
    <row r="786" spans="1:9" x14ac:dyDescent="0.25">
      <c r="A786" s="11"/>
      <c r="B786" s="12"/>
      <c r="C786" s="35"/>
      <c r="D786" s="31"/>
      <c r="E786" s="30"/>
      <c r="F786" s="14"/>
      <c r="G786" s="14">
        <f t="shared" si="23"/>
        <v>0</v>
      </c>
      <c r="H786" s="15"/>
      <c r="I786" s="47"/>
    </row>
    <row r="787" spans="1:9" x14ac:dyDescent="0.25">
      <c r="A787" s="11"/>
      <c r="B787" s="12"/>
      <c r="C787" s="35"/>
      <c r="D787" s="31"/>
      <c r="E787" s="30"/>
      <c r="F787" s="14"/>
      <c r="G787" s="14">
        <f t="shared" si="23"/>
        <v>0</v>
      </c>
      <c r="H787" s="17"/>
      <c r="I787" s="47"/>
    </row>
    <row r="788" spans="1:9" x14ac:dyDescent="0.25">
      <c r="A788" s="291"/>
      <c r="B788" s="228"/>
      <c r="C788" s="228"/>
      <c r="D788" s="228"/>
      <c r="E788" s="36"/>
      <c r="F788" s="37" t="s">
        <v>102</v>
      </c>
      <c r="G788" s="38"/>
      <c r="H788" s="23">
        <f>SUM(G779:G787)</f>
        <v>9935</v>
      </c>
      <c r="I788" s="220"/>
    </row>
    <row r="789" spans="1:9" x14ac:dyDescent="0.25">
      <c r="A789" s="291"/>
      <c r="B789" s="228"/>
      <c r="C789" s="228"/>
      <c r="D789" s="228"/>
      <c r="E789" s="36"/>
      <c r="F789" s="39" t="s">
        <v>103</v>
      </c>
      <c r="G789" s="38"/>
      <c r="H789" s="23">
        <f>ROUND((D779*G779)+(D780*G780)+(D781*G781)+(D782*G782)+(D783*G783)+(D784*G784)+(D785*G785)+(D786*G786)+(D787*G787),0)</f>
        <v>440</v>
      </c>
      <c r="I789" s="220"/>
    </row>
    <row r="790" spans="1:9" x14ac:dyDescent="0.25">
      <c r="A790" s="291"/>
      <c r="B790" s="228"/>
      <c r="C790" s="228"/>
      <c r="D790" s="228"/>
      <c r="E790" s="36"/>
      <c r="F790" s="20" t="s">
        <v>104</v>
      </c>
      <c r="G790" s="40"/>
      <c r="H790" s="23">
        <f>SUM(H788:H789)</f>
        <v>10375</v>
      </c>
      <c r="I790" s="220"/>
    </row>
    <row r="791" spans="1:9" x14ac:dyDescent="0.25">
      <c r="A791" s="291" t="s">
        <v>105</v>
      </c>
      <c r="B791" s="228"/>
      <c r="C791" s="228"/>
      <c r="D791" s="228"/>
      <c r="E791" s="47"/>
      <c r="F791" s="47"/>
      <c r="G791" s="47"/>
      <c r="H791" s="233"/>
      <c r="I791" s="47"/>
    </row>
    <row r="792" spans="1:9" x14ac:dyDescent="0.25">
      <c r="A792" s="24" t="s">
        <v>0</v>
      </c>
      <c r="B792" s="24"/>
      <c r="C792" s="8" t="s">
        <v>106</v>
      </c>
      <c r="D792" s="8" t="s">
        <v>107</v>
      </c>
      <c r="E792" s="9" t="s">
        <v>108</v>
      </c>
      <c r="F792" s="9" t="s">
        <v>109</v>
      </c>
      <c r="G792" s="41" t="s">
        <v>96</v>
      </c>
      <c r="H792" s="10"/>
      <c r="I792" s="47"/>
    </row>
    <row r="793" spans="1:9" x14ac:dyDescent="0.25">
      <c r="A793" s="18" t="s">
        <v>110</v>
      </c>
      <c r="B793" s="42"/>
      <c r="C793" s="13">
        <f>104000+26000</f>
        <v>130000</v>
      </c>
      <c r="D793" s="13">
        <f>+C793*0.16</f>
        <v>20800</v>
      </c>
      <c r="E793" s="14">
        <f>C793+D793</f>
        <v>150800</v>
      </c>
      <c r="F793" s="30">
        <v>0.06</v>
      </c>
      <c r="G793" s="14">
        <f>ROUND(E793*F793,0)</f>
        <v>9048</v>
      </c>
      <c r="H793" s="15"/>
      <c r="I793" s="47"/>
    </row>
    <row r="794" spans="1:9" x14ac:dyDescent="0.25">
      <c r="A794" s="18" t="s">
        <v>111</v>
      </c>
      <c r="B794" s="42"/>
      <c r="C794" s="13">
        <f>60400+25850</f>
        <v>86250</v>
      </c>
      <c r="D794" s="13">
        <f>+C794*0.16</f>
        <v>13800</v>
      </c>
      <c r="E794" s="14">
        <f>C794+D794</f>
        <v>100050</v>
      </c>
      <c r="F794" s="30">
        <v>0.08</v>
      </c>
      <c r="G794" s="14">
        <f>ROUND(E794*F794,0)</f>
        <v>8004</v>
      </c>
      <c r="H794" s="15"/>
      <c r="I794" s="47"/>
    </row>
    <row r="795" spans="1:9" x14ac:dyDescent="0.25">
      <c r="A795" s="18"/>
      <c r="B795" s="42"/>
      <c r="C795" s="43"/>
      <c r="D795" s="43"/>
      <c r="E795" s="44">
        <f>C795+D795</f>
        <v>0</v>
      </c>
      <c r="F795" s="45"/>
      <c r="G795" s="14">
        <f>ROUND(E795*F795,0)</f>
        <v>0</v>
      </c>
      <c r="H795" s="15"/>
      <c r="I795" s="47"/>
    </row>
    <row r="796" spans="1:9" x14ac:dyDescent="0.25">
      <c r="A796" s="291"/>
      <c r="B796" s="228"/>
      <c r="C796" s="228"/>
      <c r="D796" s="228"/>
      <c r="E796" s="277" t="s">
        <v>112</v>
      </c>
      <c r="F796" s="277"/>
      <c r="G796" s="277"/>
      <c r="H796" s="23">
        <f>SUM(G793:G795)</f>
        <v>17052</v>
      </c>
      <c r="I796" s="220"/>
    </row>
    <row r="797" spans="1:9" x14ac:dyDescent="0.25">
      <c r="A797" s="291"/>
      <c r="B797" s="228"/>
      <c r="C797" s="228"/>
      <c r="D797" s="228"/>
      <c r="E797" s="47"/>
      <c r="F797" s="47"/>
      <c r="G797" s="47"/>
      <c r="H797" s="233"/>
      <c r="I797" s="47"/>
    </row>
    <row r="798" spans="1:9" x14ac:dyDescent="0.25">
      <c r="A798" s="18"/>
      <c r="B798" s="19"/>
      <c r="C798" s="19"/>
      <c r="D798" s="19"/>
      <c r="E798" s="48" t="s">
        <v>113</v>
      </c>
      <c r="F798" s="48"/>
      <c r="G798" s="48"/>
      <c r="H798" s="25">
        <f>H796+H790+H776</f>
        <v>78522</v>
      </c>
      <c r="I798" s="222"/>
    </row>
    <row r="799" spans="1:9" x14ac:dyDescent="0.25">
      <c r="A799" s="291"/>
      <c r="B799" s="228"/>
      <c r="C799" s="228"/>
      <c r="D799" s="228"/>
      <c r="E799" s="47"/>
      <c r="F799" s="47"/>
      <c r="G799" s="47"/>
      <c r="H799" s="233"/>
      <c r="I799" s="47"/>
    </row>
    <row r="800" spans="1:9" x14ac:dyDescent="0.25">
      <c r="A800" s="291" t="s">
        <v>114</v>
      </c>
      <c r="B800" s="228"/>
      <c r="C800" s="228"/>
      <c r="D800" s="228"/>
      <c r="E800" s="47"/>
      <c r="F800" s="47"/>
      <c r="G800" s="47"/>
      <c r="H800" s="233"/>
      <c r="I800" s="47"/>
    </row>
    <row r="801" spans="1:9" x14ac:dyDescent="0.25">
      <c r="A801" s="6" t="s">
        <v>0</v>
      </c>
      <c r="B801" s="49"/>
      <c r="C801" s="49"/>
      <c r="D801" s="49"/>
      <c r="E801" s="50"/>
      <c r="F801" s="9" t="s">
        <v>115</v>
      </c>
      <c r="G801" s="41" t="s">
        <v>116</v>
      </c>
      <c r="H801" s="10"/>
      <c r="I801" s="47"/>
    </row>
    <row r="802" spans="1:9" x14ac:dyDescent="0.25">
      <c r="A802" s="11" t="s">
        <v>117</v>
      </c>
      <c r="B802" s="51"/>
      <c r="C802" s="51"/>
      <c r="D802" s="51"/>
      <c r="E802" s="52"/>
      <c r="F802" s="53"/>
      <c r="G802" s="14">
        <f>F802*H798</f>
        <v>0</v>
      </c>
      <c r="H802" s="15"/>
      <c r="I802" s="47"/>
    </row>
    <row r="803" spans="1:9" x14ac:dyDescent="0.25">
      <c r="A803" s="11"/>
      <c r="B803" s="51"/>
      <c r="C803" s="51"/>
      <c r="D803" s="51"/>
      <c r="E803" s="52"/>
      <c r="F803" s="53"/>
      <c r="G803" s="14">
        <f>F803*H798</f>
        <v>0</v>
      </c>
      <c r="H803" s="17"/>
      <c r="I803" s="47"/>
    </row>
    <row r="804" spans="1:9" x14ac:dyDescent="0.25">
      <c r="A804" s="81"/>
      <c r="B804" s="301"/>
      <c r="C804" s="301"/>
      <c r="D804" s="301"/>
      <c r="E804" s="302"/>
      <c r="F804" s="303"/>
      <c r="G804" s="304">
        <f>F804*H798</f>
        <v>0</v>
      </c>
      <c r="H804" s="237"/>
      <c r="I804" s="47"/>
    </row>
    <row r="805" spans="1:9" x14ac:dyDescent="0.25">
      <c r="A805" s="4"/>
      <c r="B805" s="4"/>
      <c r="C805" s="4"/>
      <c r="D805" s="4"/>
      <c r="E805" s="46" t="s">
        <v>118</v>
      </c>
      <c r="F805" s="46"/>
      <c r="G805" s="46"/>
      <c r="H805" s="36">
        <f>SUM(G802:G804)</f>
        <v>0</v>
      </c>
      <c r="I805" s="220"/>
    </row>
    <row r="806" spans="1:9" ht="15.75" thickBot="1" x14ac:dyDescent="0.3">
      <c r="A806" s="4"/>
      <c r="B806" s="4"/>
      <c r="C806" s="4"/>
      <c r="D806" s="4"/>
      <c r="E806" s="5"/>
      <c r="F806" s="5"/>
      <c r="G806" s="5"/>
      <c r="H806" s="5"/>
      <c r="I806" s="47"/>
    </row>
    <row r="807" spans="1:9" ht="15.75" thickBot="1" x14ac:dyDescent="0.3">
      <c r="A807" s="4"/>
      <c r="B807" s="4"/>
      <c r="C807" s="4"/>
      <c r="D807" s="4"/>
      <c r="E807" s="54"/>
      <c r="F807" s="54" t="s">
        <v>119</v>
      </c>
      <c r="G807" s="54"/>
      <c r="H807" s="240">
        <f>SUM(H805+H798)</f>
        <v>78522</v>
      </c>
      <c r="I807" s="112"/>
    </row>
    <row r="808" spans="1:9" x14ac:dyDescent="0.25">
      <c r="A808" s="4"/>
      <c r="B808" s="4"/>
      <c r="C808" s="4"/>
      <c r="D808" s="4"/>
      <c r="E808" s="54"/>
      <c r="F808" s="54"/>
      <c r="G808" s="54"/>
      <c r="H808" s="112"/>
      <c r="I808" s="112"/>
    </row>
    <row r="809" spans="1:9" x14ac:dyDescent="0.25">
      <c r="A809" s="4"/>
      <c r="B809" s="4"/>
      <c r="C809" s="4"/>
      <c r="D809" s="4"/>
      <c r="E809" s="54"/>
      <c r="F809" s="54"/>
      <c r="G809" s="54"/>
      <c r="H809" s="112"/>
      <c r="I809" s="112"/>
    </row>
    <row r="810" spans="1:9" x14ac:dyDescent="0.25">
      <c r="A810" s="4"/>
      <c r="B810" s="4"/>
      <c r="C810" s="4"/>
      <c r="D810" s="4"/>
      <c r="E810" s="54"/>
      <c r="F810" s="54"/>
      <c r="G810" s="54"/>
      <c r="H810" s="112"/>
      <c r="I810" s="112"/>
    </row>
    <row r="811" spans="1:9" x14ac:dyDescent="0.25">
      <c r="A811" s="4"/>
      <c r="B811" s="4"/>
      <c r="C811" s="4"/>
      <c r="D811" s="4"/>
      <c r="E811" s="54"/>
      <c r="F811" s="54"/>
      <c r="G811" s="54"/>
      <c r="H811" s="112"/>
      <c r="I811" s="112"/>
    </row>
    <row r="812" spans="1:9" x14ac:dyDescent="0.25">
      <c r="A812" s="4"/>
      <c r="B812" s="4"/>
      <c r="C812" s="4"/>
      <c r="D812" s="4"/>
      <c r="E812" s="54"/>
      <c r="F812" s="54"/>
      <c r="G812" s="54"/>
      <c r="H812" s="112"/>
      <c r="I812" s="112"/>
    </row>
    <row r="813" spans="1:9" x14ac:dyDescent="0.25">
      <c r="A813" s="4"/>
      <c r="B813" s="4"/>
      <c r="C813" s="4"/>
      <c r="D813" s="4"/>
      <c r="E813" s="54"/>
      <c r="F813" s="54"/>
      <c r="G813" s="54"/>
      <c r="H813" s="112"/>
      <c r="I813" s="112"/>
    </row>
    <row r="814" spans="1:9" x14ac:dyDescent="0.25">
      <c r="A814" s="4"/>
      <c r="B814" s="4"/>
      <c r="C814" s="4"/>
      <c r="D814" s="4"/>
      <c r="E814" s="54"/>
      <c r="F814" s="54"/>
      <c r="G814" s="54"/>
      <c r="H814" s="112"/>
      <c r="I814" s="112"/>
    </row>
    <row r="815" spans="1:9" x14ac:dyDescent="0.25">
      <c r="A815" s="4"/>
      <c r="B815" s="4"/>
      <c r="C815" s="4"/>
      <c r="D815" s="4"/>
      <c r="E815" s="54"/>
      <c r="F815" s="54"/>
      <c r="G815" s="54"/>
      <c r="H815" s="112"/>
      <c r="I815" s="112"/>
    </row>
    <row r="816" spans="1:9" x14ac:dyDescent="0.25">
      <c r="A816" s="4"/>
      <c r="B816" s="4"/>
      <c r="C816" s="4"/>
      <c r="D816" s="4"/>
      <c r="E816" s="54"/>
      <c r="F816" s="54"/>
      <c r="G816" s="54"/>
      <c r="H816" s="112"/>
      <c r="I816" s="112"/>
    </row>
    <row r="817" spans="1:9" x14ac:dyDescent="0.25">
      <c r="A817" s="4"/>
      <c r="B817" s="4"/>
      <c r="C817" s="4"/>
      <c r="D817" s="4"/>
      <c r="E817" s="54"/>
      <c r="F817" s="54"/>
      <c r="G817" s="54"/>
      <c r="H817" s="112"/>
      <c r="I817" s="112"/>
    </row>
    <row r="818" spans="1:9" x14ac:dyDescent="0.25">
      <c r="A818" s="4"/>
      <c r="B818" s="4"/>
      <c r="C818" s="4"/>
      <c r="D818" s="4"/>
      <c r="E818" s="54"/>
      <c r="F818" s="54"/>
      <c r="G818" s="54"/>
      <c r="H818" s="112"/>
      <c r="I818" s="112"/>
    </row>
    <row r="819" spans="1:9" x14ac:dyDescent="0.25">
      <c r="A819" s="4"/>
      <c r="B819" s="4"/>
      <c r="C819" s="4"/>
      <c r="D819" s="4"/>
      <c r="E819" s="54"/>
      <c r="F819" s="54"/>
      <c r="G819" s="54"/>
      <c r="H819" s="112"/>
      <c r="I819" s="112"/>
    </row>
    <row r="820" spans="1:9" x14ac:dyDescent="0.25">
      <c r="A820" s="4"/>
      <c r="B820" s="4"/>
      <c r="C820" s="4"/>
      <c r="D820" s="4"/>
      <c r="E820" s="54"/>
      <c r="F820" s="54"/>
      <c r="G820" s="54"/>
      <c r="H820" s="112"/>
      <c r="I820" s="112"/>
    </row>
    <row r="821" spans="1:9" x14ac:dyDescent="0.25">
      <c r="A821" s="4"/>
      <c r="B821" s="4"/>
      <c r="C821" s="4"/>
      <c r="D821" s="4"/>
      <c r="E821" s="54"/>
      <c r="F821" s="54"/>
      <c r="G821" s="54"/>
      <c r="H821" s="112"/>
      <c r="I821" s="112"/>
    </row>
    <row r="823" spans="1:9" x14ac:dyDescent="0.25">
      <c r="A823" s="412" t="s">
        <v>79</v>
      </c>
      <c r="B823" s="412"/>
      <c r="C823" s="412"/>
      <c r="D823" s="412"/>
      <c r="E823" s="412"/>
      <c r="F823" s="412"/>
      <c r="G823" s="412"/>
      <c r="H823" s="412"/>
      <c r="I823" s="250"/>
    </row>
    <row r="824" spans="1:9" x14ac:dyDescent="0.25">
      <c r="A824" s="4"/>
      <c r="B824" s="4"/>
      <c r="C824" s="4"/>
      <c r="D824" s="4"/>
      <c r="E824" s="5"/>
      <c r="F824" s="5"/>
      <c r="G824" s="411" t="s">
        <v>326</v>
      </c>
      <c r="H824" s="411"/>
      <c r="I824" s="251"/>
    </row>
    <row r="825" spans="1:9" ht="15" customHeight="1" x14ac:dyDescent="0.25">
      <c r="A825" s="434" t="s">
        <v>463</v>
      </c>
      <c r="B825" s="434"/>
      <c r="C825" s="434"/>
      <c r="D825" s="434"/>
      <c r="E825" s="434"/>
      <c r="F825" s="434"/>
      <c r="G825" s="434"/>
      <c r="H825" s="434"/>
      <c r="I825" s="252"/>
    </row>
    <row r="826" spans="1:9" x14ac:dyDescent="0.25">
      <c r="A826" s="4"/>
      <c r="B826" s="4"/>
      <c r="C826" s="4"/>
      <c r="D826" s="4"/>
      <c r="E826" s="5"/>
      <c r="F826" s="5"/>
      <c r="G826" s="414" t="s">
        <v>160</v>
      </c>
      <c r="H826" s="414"/>
      <c r="I826" s="253"/>
    </row>
    <row r="827" spans="1:9" x14ac:dyDescent="0.25">
      <c r="A827" s="4" t="s">
        <v>82</v>
      </c>
      <c r="B827" s="4"/>
      <c r="C827" s="4"/>
      <c r="D827" s="4"/>
      <c r="E827" s="5"/>
      <c r="F827" s="5"/>
      <c r="G827" s="5"/>
      <c r="H827" s="5"/>
      <c r="I827" s="47"/>
    </row>
    <row r="828" spans="1:9" x14ac:dyDescent="0.25">
      <c r="A828" s="6" t="s">
        <v>0</v>
      </c>
      <c r="B828" s="7"/>
      <c r="C828" s="8" t="s">
        <v>83</v>
      </c>
      <c r="D828" s="8" t="s">
        <v>84</v>
      </c>
      <c r="E828" s="9" t="s">
        <v>85</v>
      </c>
      <c r="F828" s="9" t="s">
        <v>86</v>
      </c>
      <c r="G828" s="9" t="s">
        <v>87</v>
      </c>
      <c r="H828" s="10"/>
      <c r="I828" s="47"/>
    </row>
    <row r="829" spans="1:9" x14ac:dyDescent="0.25">
      <c r="A829" s="11" t="s">
        <v>88</v>
      </c>
      <c r="B829" s="12"/>
      <c r="C829" s="13"/>
      <c r="D829" s="13"/>
      <c r="E829" s="14"/>
      <c r="F829" s="14"/>
      <c r="G829" s="14">
        <f>ROUND(H852*0.05,0)+8-16</f>
        <v>995</v>
      </c>
      <c r="H829" s="15"/>
      <c r="I829" s="47"/>
    </row>
    <row r="830" spans="1:9" x14ac:dyDescent="0.25">
      <c r="A830" s="11" t="s">
        <v>327</v>
      </c>
      <c r="B830" s="12"/>
      <c r="C830" s="13"/>
      <c r="D830" s="13"/>
      <c r="E830" s="14">
        <v>350000</v>
      </c>
      <c r="F830" s="14">
        <v>0.1</v>
      </c>
      <c r="G830" s="14">
        <f>ROUND(E830*F830,0)</f>
        <v>35000</v>
      </c>
      <c r="H830" s="15"/>
      <c r="I830" s="47"/>
    </row>
    <row r="831" spans="1:9" x14ac:dyDescent="0.25">
      <c r="A831" s="11" t="s">
        <v>353</v>
      </c>
      <c r="B831" s="12"/>
      <c r="C831" s="13"/>
      <c r="D831" s="13"/>
      <c r="E831" s="74"/>
      <c r="F831" s="16">
        <v>0.35</v>
      </c>
      <c r="G831" s="14">
        <f>ROUND(E831*F831,0)</f>
        <v>0</v>
      </c>
      <c r="H831" s="15"/>
      <c r="I831" s="47"/>
    </row>
    <row r="832" spans="1:9" x14ac:dyDescent="0.25">
      <c r="A832" s="11" t="s">
        <v>328</v>
      </c>
      <c r="B832" s="12"/>
      <c r="C832" s="13"/>
      <c r="D832" s="13"/>
      <c r="E832" s="14">
        <v>50000</v>
      </c>
      <c r="F832" s="14">
        <v>0.2</v>
      </c>
      <c r="G832" s="14">
        <f>ROUND(E832*F832,0)</f>
        <v>10000</v>
      </c>
      <c r="H832" s="17"/>
      <c r="I832" s="47"/>
    </row>
    <row r="833" spans="1:9" x14ac:dyDescent="0.25">
      <c r="A833" s="18"/>
      <c r="B833" s="19"/>
      <c r="C833" s="19"/>
      <c r="D833" s="19"/>
      <c r="E833" s="20"/>
      <c r="F833" s="21" t="s">
        <v>90</v>
      </c>
      <c r="G833" s="22"/>
      <c r="H833" s="23">
        <f>SUM(G829:G832)</f>
        <v>45995</v>
      </c>
      <c r="I833" s="220"/>
    </row>
    <row r="834" spans="1:9" x14ac:dyDescent="0.25">
      <c r="A834" s="291" t="s">
        <v>91</v>
      </c>
      <c r="B834" s="228"/>
      <c r="C834" s="228"/>
      <c r="D834" s="228"/>
      <c r="E834" s="47"/>
      <c r="F834" s="47"/>
      <c r="G834" s="47"/>
      <c r="H834" s="233"/>
      <c r="I834" s="47"/>
    </row>
    <row r="835" spans="1:9" x14ac:dyDescent="0.25">
      <c r="A835" s="24" t="s">
        <v>0</v>
      </c>
      <c r="B835" s="24"/>
      <c r="C835" s="8" t="s">
        <v>92</v>
      </c>
      <c r="D835" s="8" t="s">
        <v>93</v>
      </c>
      <c r="E835" s="9" t="s">
        <v>94</v>
      </c>
      <c r="F835" s="9" t="s">
        <v>95</v>
      </c>
      <c r="G835" s="25" t="s">
        <v>96</v>
      </c>
      <c r="H835" s="10"/>
      <c r="I835" s="47"/>
    </row>
    <row r="836" spans="1:9" ht="39" customHeight="1" x14ac:dyDescent="0.25">
      <c r="A836" s="487" t="s">
        <v>199</v>
      </c>
      <c r="B836" s="488"/>
      <c r="C836" s="110" t="s">
        <v>8</v>
      </c>
      <c r="D836" s="111">
        <v>0.05</v>
      </c>
      <c r="E836" s="61">
        <v>0.1</v>
      </c>
      <c r="F836" s="87">
        <v>205000</v>
      </c>
      <c r="G836" s="62">
        <f t="shared" ref="G836:G843" si="24">ROUND(E836*F836,0)</f>
        <v>20500</v>
      </c>
      <c r="H836" s="15"/>
      <c r="I836" s="47"/>
    </row>
    <row r="837" spans="1:9" x14ac:dyDescent="0.25">
      <c r="A837" s="106" t="s">
        <v>200</v>
      </c>
      <c r="B837" s="107"/>
      <c r="C837" s="104" t="s">
        <v>18</v>
      </c>
      <c r="D837" s="105"/>
      <c r="E837" s="30">
        <v>0.1</v>
      </c>
      <c r="F837" s="14">
        <f>+$F$780</f>
        <v>8500</v>
      </c>
      <c r="G837" s="14">
        <f t="shared" si="24"/>
        <v>850</v>
      </c>
      <c r="H837" s="15"/>
      <c r="I837" s="47"/>
    </row>
    <row r="838" spans="1:9" x14ac:dyDescent="0.25">
      <c r="A838" s="480" t="s">
        <v>201</v>
      </c>
      <c r="B838" s="481"/>
      <c r="C838" s="104" t="s">
        <v>18</v>
      </c>
      <c r="D838" s="31"/>
      <c r="E838" s="30">
        <v>0.2</v>
      </c>
      <c r="F838" s="14">
        <f>+$F$781</f>
        <v>1900</v>
      </c>
      <c r="G838" s="14">
        <f t="shared" si="24"/>
        <v>380</v>
      </c>
      <c r="H838" s="15"/>
      <c r="I838" s="47"/>
    </row>
    <row r="839" spans="1:9" x14ac:dyDescent="0.25">
      <c r="A839" s="108" t="s">
        <v>202</v>
      </c>
      <c r="B839" s="109"/>
      <c r="C839" s="104" t="s">
        <v>140</v>
      </c>
      <c r="D839" s="105">
        <v>0.05</v>
      </c>
      <c r="E839" s="30">
        <v>7.4999999999999997E-2</v>
      </c>
      <c r="F839" s="74">
        <v>109000</v>
      </c>
      <c r="G839" s="14">
        <f t="shared" si="24"/>
        <v>8175</v>
      </c>
      <c r="H839" s="15"/>
      <c r="I839" s="47"/>
    </row>
    <row r="840" spans="1:9" x14ac:dyDescent="0.25">
      <c r="A840" s="108" t="s">
        <v>203</v>
      </c>
      <c r="B840" s="109"/>
      <c r="C840" s="35" t="s">
        <v>204</v>
      </c>
      <c r="D840" s="31">
        <v>0.05</v>
      </c>
      <c r="E840" s="30">
        <v>0.05</v>
      </c>
      <c r="F840" s="14">
        <v>24000</v>
      </c>
      <c r="G840" s="14">
        <f t="shared" si="24"/>
        <v>1200</v>
      </c>
      <c r="H840" s="15"/>
      <c r="I840" s="47"/>
    </row>
    <row r="841" spans="1:9" x14ac:dyDescent="0.25">
      <c r="A841" s="108" t="s">
        <v>218</v>
      </c>
      <c r="B841" s="109"/>
      <c r="C841" s="35" t="s">
        <v>140</v>
      </c>
      <c r="D841" s="34">
        <v>0.05</v>
      </c>
      <c r="E841" s="30">
        <v>0.05</v>
      </c>
      <c r="F841" s="14">
        <v>58000</v>
      </c>
      <c r="G841" s="14">
        <f t="shared" si="24"/>
        <v>2900</v>
      </c>
      <c r="H841" s="15"/>
      <c r="I841" s="47"/>
    </row>
    <row r="842" spans="1:9" x14ac:dyDescent="0.25">
      <c r="A842" s="108"/>
      <c r="B842" s="109"/>
      <c r="C842" s="35"/>
      <c r="D842" s="31"/>
      <c r="E842" s="30"/>
      <c r="F842" s="14"/>
      <c r="G842" s="14">
        <f t="shared" si="24"/>
        <v>0</v>
      </c>
      <c r="H842" s="15"/>
      <c r="I842" s="47"/>
    </row>
    <row r="843" spans="1:9" x14ac:dyDescent="0.25">
      <c r="A843" s="108"/>
      <c r="B843" s="109"/>
      <c r="C843" s="35"/>
      <c r="D843" s="31"/>
      <c r="E843" s="30"/>
      <c r="F843" s="14"/>
      <c r="G843" s="14">
        <f t="shared" si="24"/>
        <v>0</v>
      </c>
      <c r="H843" s="17"/>
      <c r="I843" s="47"/>
    </row>
    <row r="844" spans="1:9" x14ac:dyDescent="0.25">
      <c r="A844" s="297"/>
      <c r="B844" s="255"/>
      <c r="C844" s="228"/>
      <c r="D844" s="228"/>
      <c r="E844" s="36"/>
      <c r="F844" s="37" t="s">
        <v>102</v>
      </c>
      <c r="G844" s="38"/>
      <c r="H844" s="23">
        <f>SUM(G836:G843)</f>
        <v>34005</v>
      </c>
      <c r="I844" s="220"/>
    </row>
    <row r="845" spans="1:9" x14ac:dyDescent="0.25">
      <c r="A845" s="291"/>
      <c r="B845" s="228"/>
      <c r="C845" s="228"/>
      <c r="D845" s="228"/>
      <c r="E845" s="36"/>
      <c r="F845" s="39" t="s">
        <v>103</v>
      </c>
      <c r="G845" s="38"/>
      <c r="H845" s="23">
        <f>ROUND((D836*G836)+(D837*G837)+(D838*G838)+(D839*G839)+(D840*G840)+(D841*G841)+(D842*G842)+(D843*G843),0)</f>
        <v>1639</v>
      </c>
      <c r="I845" s="220"/>
    </row>
    <row r="846" spans="1:9" x14ac:dyDescent="0.25">
      <c r="A846" s="291"/>
      <c r="B846" s="228"/>
      <c r="C846" s="228"/>
      <c r="D846" s="228"/>
      <c r="E846" s="36"/>
      <c r="F846" s="20" t="s">
        <v>104</v>
      </c>
      <c r="G846" s="40"/>
      <c r="H846" s="23">
        <f>SUM(H844:H845)</f>
        <v>35644</v>
      </c>
      <c r="I846" s="220"/>
    </row>
    <row r="847" spans="1:9" x14ac:dyDescent="0.25">
      <c r="A847" s="291" t="s">
        <v>105</v>
      </c>
      <c r="B847" s="228"/>
      <c r="C847" s="228"/>
      <c r="D847" s="228"/>
      <c r="E847" s="47"/>
      <c r="F847" s="47"/>
      <c r="G847" s="47"/>
      <c r="H847" s="233"/>
      <c r="I847" s="47"/>
    </row>
    <row r="848" spans="1:9" x14ac:dyDescent="0.25">
      <c r="A848" s="24" t="s">
        <v>0</v>
      </c>
      <c r="B848" s="24"/>
      <c r="C848" s="8" t="s">
        <v>106</v>
      </c>
      <c r="D848" s="8" t="s">
        <v>107</v>
      </c>
      <c r="E848" s="9" t="s">
        <v>108</v>
      </c>
      <c r="F848" s="9" t="s">
        <v>109</v>
      </c>
      <c r="G848" s="41" t="s">
        <v>96</v>
      </c>
      <c r="H848" s="10"/>
      <c r="I848" s="47"/>
    </row>
    <row r="849" spans="1:9" x14ac:dyDescent="0.25">
      <c r="A849" s="18" t="s">
        <v>110</v>
      </c>
      <c r="B849" s="42"/>
      <c r="C849" s="13">
        <f>104000+26000</f>
        <v>130000</v>
      </c>
      <c r="D849" s="13">
        <f>+C849*0.16</f>
        <v>20800</v>
      </c>
      <c r="E849" s="14">
        <f>C849+D849</f>
        <v>150800</v>
      </c>
      <c r="F849" s="30">
        <v>0.08</v>
      </c>
      <c r="G849" s="14">
        <f>ROUND(E849*F849,0)</f>
        <v>12064</v>
      </c>
      <c r="H849" s="15"/>
      <c r="I849" s="47"/>
    </row>
    <row r="850" spans="1:9" x14ac:dyDescent="0.25">
      <c r="A850" s="18" t="s">
        <v>111</v>
      </c>
      <c r="B850" s="42"/>
      <c r="C850" s="13">
        <f>60400+25850</f>
        <v>86250</v>
      </c>
      <c r="D850" s="13">
        <f>+C850*0.16</f>
        <v>13800</v>
      </c>
      <c r="E850" s="14">
        <f>C850+D850</f>
        <v>100050</v>
      </c>
      <c r="F850" s="30">
        <v>0.08</v>
      </c>
      <c r="G850" s="14">
        <f>ROUND(E850*F850,0)</f>
        <v>8004</v>
      </c>
      <c r="H850" s="15"/>
      <c r="I850" s="47"/>
    </row>
    <row r="851" spans="1:9" x14ac:dyDescent="0.25">
      <c r="A851" s="18"/>
      <c r="B851" s="42"/>
      <c r="C851" s="43"/>
      <c r="D851" s="43"/>
      <c r="E851" s="44">
        <f>C851+D851</f>
        <v>0</v>
      </c>
      <c r="F851" s="45"/>
      <c r="G851" s="14">
        <f>ROUND(E851*F851,0)</f>
        <v>0</v>
      </c>
      <c r="H851" s="15"/>
      <c r="I851" s="47"/>
    </row>
    <row r="852" spans="1:9" x14ac:dyDescent="0.25">
      <c r="A852" s="291"/>
      <c r="B852" s="228"/>
      <c r="C852" s="228"/>
      <c r="D852" s="228"/>
      <c r="E852" s="277" t="s">
        <v>112</v>
      </c>
      <c r="F852" s="277"/>
      <c r="G852" s="277"/>
      <c r="H852" s="82">
        <f>SUM(G849:G851)</f>
        <v>20068</v>
      </c>
      <c r="I852" s="221"/>
    </row>
    <row r="853" spans="1:9" x14ac:dyDescent="0.25">
      <c r="A853" s="291"/>
      <c r="B853" s="228"/>
      <c r="C853" s="228"/>
      <c r="D853" s="228"/>
      <c r="E853" s="47"/>
      <c r="F853" s="47"/>
      <c r="G853" s="47"/>
      <c r="H853" s="233"/>
      <c r="I853" s="47"/>
    </row>
    <row r="854" spans="1:9" x14ac:dyDescent="0.25">
      <c r="A854" s="18"/>
      <c r="B854" s="19"/>
      <c r="C854" s="19"/>
      <c r="D854" s="19"/>
      <c r="E854" s="48" t="s">
        <v>113</v>
      </c>
      <c r="F854" s="48"/>
      <c r="G854" s="48"/>
      <c r="H854" s="25">
        <f>H852+H846+H833</f>
        <v>101707</v>
      </c>
      <c r="I854" s="222"/>
    </row>
    <row r="855" spans="1:9" x14ac:dyDescent="0.25">
      <c r="A855" s="291"/>
      <c r="B855" s="228"/>
      <c r="C855" s="228"/>
      <c r="D855" s="228"/>
      <c r="E855" s="47"/>
      <c r="F855" s="47"/>
      <c r="G855" s="47"/>
      <c r="H855" s="233"/>
      <c r="I855" s="47"/>
    </row>
    <row r="856" spans="1:9" x14ac:dyDescent="0.25">
      <c r="A856" s="291" t="s">
        <v>114</v>
      </c>
      <c r="B856" s="228"/>
      <c r="C856" s="228"/>
      <c r="D856" s="228"/>
      <c r="E856" s="47"/>
      <c r="F856" s="47"/>
      <c r="G856" s="47"/>
      <c r="H856" s="233"/>
      <c r="I856" s="47"/>
    </row>
    <row r="857" spans="1:9" x14ac:dyDescent="0.25">
      <c r="A857" s="6" t="s">
        <v>0</v>
      </c>
      <c r="B857" s="49"/>
      <c r="C857" s="49"/>
      <c r="D857" s="49"/>
      <c r="E857" s="50"/>
      <c r="F857" s="9" t="s">
        <v>115</v>
      </c>
      <c r="G857" s="41" t="s">
        <v>116</v>
      </c>
      <c r="H857" s="10"/>
      <c r="I857" s="47"/>
    </row>
    <row r="858" spans="1:9" x14ac:dyDescent="0.25">
      <c r="A858" s="11" t="s">
        <v>117</v>
      </c>
      <c r="B858" s="51"/>
      <c r="C858" s="51"/>
      <c r="D858" s="51"/>
      <c r="E858" s="52"/>
      <c r="F858" s="53"/>
      <c r="G858" s="14">
        <f>F858*H854</f>
        <v>0</v>
      </c>
      <c r="H858" s="15"/>
      <c r="I858" s="47"/>
    </row>
    <row r="859" spans="1:9" x14ac:dyDescent="0.25">
      <c r="A859" s="11"/>
      <c r="B859" s="51"/>
      <c r="C859" s="51"/>
      <c r="D859" s="51"/>
      <c r="E859" s="52"/>
      <c r="F859" s="53"/>
      <c r="G859" s="14">
        <f>F859*H854</f>
        <v>0</v>
      </c>
      <c r="H859" s="15"/>
      <c r="I859" s="47"/>
    </row>
    <row r="860" spans="1:9" x14ac:dyDescent="0.25">
      <c r="A860" s="11"/>
      <c r="B860" s="51"/>
      <c r="C860" s="51"/>
      <c r="D860" s="51"/>
      <c r="E860" s="52"/>
      <c r="F860" s="53"/>
      <c r="G860" s="14">
        <f>F860*H854</f>
        <v>0</v>
      </c>
      <c r="H860" s="17"/>
      <c r="I860" s="47"/>
    </row>
    <row r="861" spans="1:9" x14ac:dyDescent="0.25">
      <c r="A861" s="4"/>
      <c r="B861" s="4"/>
      <c r="C861" s="4"/>
      <c r="D861" s="4"/>
      <c r="E861" s="46" t="s">
        <v>118</v>
      </c>
      <c r="F861" s="46"/>
      <c r="G861" s="46"/>
      <c r="H861" s="36">
        <f>SUM(G858:G860)</f>
        <v>0</v>
      </c>
      <c r="I861" s="220"/>
    </row>
    <row r="862" spans="1:9" ht="15.75" thickBot="1" x14ac:dyDescent="0.3">
      <c r="A862" s="4"/>
      <c r="B862" s="4"/>
      <c r="C862" s="4"/>
      <c r="D862" s="4"/>
      <c r="E862" s="5"/>
      <c r="F862" s="5"/>
      <c r="G862" s="5"/>
      <c r="H862" s="5"/>
      <c r="I862" s="47"/>
    </row>
    <row r="863" spans="1:9" ht="15.75" thickBot="1" x14ac:dyDescent="0.3">
      <c r="A863" s="4"/>
      <c r="B863" s="4"/>
      <c r="C863" s="4"/>
      <c r="D863" s="4"/>
      <c r="E863" s="54"/>
      <c r="F863" s="54" t="s">
        <v>119</v>
      </c>
      <c r="G863" s="54"/>
      <c r="H863" s="240">
        <f>SUM(H861+H854)</f>
        <v>101707</v>
      </c>
      <c r="I863" s="112"/>
    </row>
    <row r="864" spans="1:9" x14ac:dyDescent="0.25">
      <c r="A864" s="4"/>
      <c r="B864" s="4"/>
      <c r="C864" s="4"/>
      <c r="D864" s="4"/>
      <c r="E864" s="54"/>
      <c r="F864" s="54"/>
      <c r="G864" s="54"/>
      <c r="H864" s="112"/>
      <c r="I864" s="112"/>
    </row>
    <row r="865" spans="1:9" x14ac:dyDescent="0.25">
      <c r="A865" s="4"/>
      <c r="B865" s="4"/>
      <c r="C865" s="4"/>
      <c r="D865" s="4"/>
      <c r="E865" s="54"/>
      <c r="F865" s="54"/>
      <c r="G865" s="54"/>
      <c r="H865" s="112"/>
      <c r="I865" s="112"/>
    </row>
    <row r="866" spans="1:9" x14ac:dyDescent="0.25">
      <c r="A866" s="4"/>
      <c r="B866" s="4"/>
      <c r="C866" s="4"/>
      <c r="D866" s="4"/>
      <c r="E866" s="54"/>
      <c r="F866" s="54"/>
      <c r="G866" s="54"/>
      <c r="H866" s="112"/>
      <c r="I866" s="112"/>
    </row>
    <row r="867" spans="1:9" x14ac:dyDescent="0.25">
      <c r="A867" s="4"/>
      <c r="B867" s="4"/>
      <c r="C867" s="4"/>
      <c r="D867" s="4"/>
      <c r="E867" s="54"/>
      <c r="F867" s="54"/>
      <c r="G867" s="54"/>
      <c r="H867" s="112"/>
      <c r="I867" s="112"/>
    </row>
    <row r="868" spans="1:9" x14ac:dyDescent="0.25">
      <c r="A868" s="4"/>
      <c r="B868" s="4"/>
      <c r="C868" s="4"/>
      <c r="D868" s="4"/>
      <c r="E868" s="54"/>
      <c r="F868" s="54"/>
      <c r="G868" s="54"/>
      <c r="H868" s="112"/>
      <c r="I868" s="112"/>
    </row>
    <row r="869" spans="1:9" x14ac:dyDescent="0.25">
      <c r="A869" s="4"/>
      <c r="B869" s="4"/>
      <c r="C869" s="4"/>
      <c r="D869" s="4"/>
      <c r="E869" s="54"/>
      <c r="F869" s="54"/>
      <c r="G869" s="54"/>
      <c r="H869" s="112"/>
      <c r="I869" s="112"/>
    </row>
    <row r="870" spans="1:9" x14ac:dyDescent="0.25">
      <c r="I870" s="112"/>
    </row>
    <row r="871" spans="1:9" x14ac:dyDescent="0.25">
      <c r="A871" s="412" t="s">
        <v>79</v>
      </c>
      <c r="B871" s="412"/>
      <c r="C871" s="412"/>
      <c r="D871" s="412"/>
      <c r="E871" s="412"/>
      <c r="F871" s="412"/>
      <c r="G871" s="412"/>
      <c r="H871" s="412"/>
      <c r="I871" s="112"/>
    </row>
    <row r="872" spans="1:9" x14ac:dyDescent="0.25">
      <c r="A872" s="4"/>
      <c r="B872" s="4"/>
      <c r="C872" s="4"/>
      <c r="D872" s="4"/>
      <c r="E872" s="5"/>
      <c r="F872" s="5"/>
      <c r="G872" s="411" t="s">
        <v>326</v>
      </c>
      <c r="H872" s="411"/>
      <c r="I872" s="112"/>
    </row>
    <row r="873" spans="1:9" ht="14.45" customHeight="1" x14ac:dyDescent="0.25">
      <c r="A873" s="434" t="s">
        <v>464</v>
      </c>
      <c r="B873" s="434"/>
      <c r="C873" s="434"/>
      <c r="D873" s="434"/>
      <c r="E873" s="434"/>
      <c r="F873" s="434"/>
      <c r="G873" s="434"/>
      <c r="H873" s="434"/>
      <c r="I873" s="112"/>
    </row>
    <row r="874" spans="1:9" x14ac:dyDescent="0.25">
      <c r="A874" s="4"/>
      <c r="B874" s="4"/>
      <c r="C874" s="4"/>
      <c r="D874" s="4"/>
      <c r="E874" s="5"/>
      <c r="F874" s="5"/>
      <c r="G874" s="414" t="s">
        <v>160</v>
      </c>
      <c r="H874" s="414"/>
      <c r="I874" s="112"/>
    </row>
    <row r="875" spans="1:9" x14ac:dyDescent="0.25">
      <c r="A875" s="4" t="s">
        <v>82</v>
      </c>
      <c r="B875" s="4"/>
      <c r="C875" s="4"/>
      <c r="D875" s="4"/>
      <c r="E875" s="5"/>
      <c r="F875" s="5"/>
      <c r="G875" s="5"/>
      <c r="H875" s="5"/>
      <c r="I875" s="112"/>
    </row>
    <row r="876" spans="1:9" x14ac:dyDescent="0.25">
      <c r="A876" s="6" t="s">
        <v>0</v>
      </c>
      <c r="B876" s="7"/>
      <c r="C876" s="8" t="s">
        <v>83</v>
      </c>
      <c r="D876" s="8" t="s">
        <v>84</v>
      </c>
      <c r="E876" s="9" t="s">
        <v>85</v>
      </c>
      <c r="F876" s="9" t="s">
        <v>86</v>
      </c>
      <c r="G876" s="9" t="s">
        <v>87</v>
      </c>
      <c r="H876" s="10"/>
      <c r="I876" s="112"/>
    </row>
    <row r="877" spans="1:9" x14ac:dyDescent="0.25">
      <c r="A877" s="11" t="s">
        <v>88</v>
      </c>
      <c r="B877" s="12"/>
      <c r="C877" s="13"/>
      <c r="D877" s="13"/>
      <c r="E877" s="14"/>
      <c r="F877" s="14"/>
      <c r="G877" s="14">
        <f>ROUND(H900*0.05,0)+8-16</f>
        <v>995</v>
      </c>
      <c r="H877" s="15"/>
      <c r="I877" s="112"/>
    </row>
    <row r="878" spans="1:9" x14ac:dyDescent="0.25">
      <c r="A878" s="11" t="s">
        <v>327</v>
      </c>
      <c r="B878" s="12"/>
      <c r="C878" s="13"/>
      <c r="D878" s="13"/>
      <c r="E878" s="14">
        <v>350000</v>
      </c>
      <c r="F878" s="14">
        <v>0.12</v>
      </c>
      <c r="G878" s="14">
        <f>ROUND(E878*F878,0)</f>
        <v>42000</v>
      </c>
      <c r="H878" s="15"/>
      <c r="I878" s="112"/>
    </row>
    <row r="879" spans="1:9" x14ac:dyDescent="0.25">
      <c r="A879" s="11" t="s">
        <v>353</v>
      </c>
      <c r="B879" s="12"/>
      <c r="C879" s="13"/>
      <c r="D879" s="13"/>
      <c r="E879" s="74">
        <v>15000</v>
      </c>
      <c r="F879" s="16">
        <v>0.4</v>
      </c>
      <c r="G879" s="14">
        <f>ROUND(E879*F879,0)</f>
        <v>6000</v>
      </c>
      <c r="H879" s="15"/>
      <c r="I879" s="112"/>
    </row>
    <row r="880" spans="1:9" x14ac:dyDescent="0.25">
      <c r="A880" s="11" t="s">
        <v>328</v>
      </c>
      <c r="B880" s="12"/>
      <c r="C880" s="13"/>
      <c r="D880" s="13"/>
      <c r="E880" s="14">
        <v>50000</v>
      </c>
      <c r="F880" s="14">
        <v>0.2</v>
      </c>
      <c r="G880" s="14">
        <f>ROUND(E880*F880,0)</f>
        <v>10000</v>
      </c>
      <c r="H880" s="17"/>
      <c r="I880" s="112"/>
    </row>
    <row r="881" spans="1:9" x14ac:dyDescent="0.25">
      <c r="A881" s="18"/>
      <c r="B881" s="19"/>
      <c r="C881" s="19"/>
      <c r="D881" s="19"/>
      <c r="E881" s="20"/>
      <c r="F881" s="21" t="s">
        <v>90</v>
      </c>
      <c r="G881" s="22"/>
      <c r="H881" s="23">
        <f>SUM(G877:G880)</f>
        <v>58995</v>
      </c>
      <c r="I881" s="112"/>
    </row>
    <row r="882" spans="1:9" x14ac:dyDescent="0.25">
      <c r="A882" s="291" t="s">
        <v>91</v>
      </c>
      <c r="B882" s="228"/>
      <c r="C882" s="228"/>
      <c r="D882" s="228"/>
      <c r="E882" s="47"/>
      <c r="F882" s="47"/>
      <c r="G882" s="47"/>
      <c r="H882" s="233"/>
      <c r="I882" s="112"/>
    </row>
    <row r="883" spans="1:9" x14ac:dyDescent="0.25">
      <c r="A883" s="24" t="s">
        <v>0</v>
      </c>
      <c r="B883" s="24"/>
      <c r="C883" s="8" t="s">
        <v>92</v>
      </c>
      <c r="D883" s="8" t="s">
        <v>93</v>
      </c>
      <c r="E883" s="9" t="s">
        <v>94</v>
      </c>
      <c r="F883" s="9" t="s">
        <v>95</v>
      </c>
      <c r="G883" s="25" t="s">
        <v>96</v>
      </c>
      <c r="H883" s="10"/>
      <c r="I883" s="112"/>
    </row>
    <row r="884" spans="1:9" ht="34.15" customHeight="1" x14ac:dyDescent="0.25">
      <c r="A884" s="487" t="s">
        <v>199</v>
      </c>
      <c r="B884" s="488"/>
      <c r="C884" s="110" t="s">
        <v>8</v>
      </c>
      <c r="D884" s="111">
        <v>0.05</v>
      </c>
      <c r="E884" s="61">
        <v>0.1</v>
      </c>
      <c r="F884" s="87">
        <v>205000</v>
      </c>
      <c r="G884" s="62">
        <f t="shared" ref="G884:G891" si="25">ROUND(E884*F884,0)</f>
        <v>20500</v>
      </c>
      <c r="H884" s="15"/>
      <c r="I884" s="112"/>
    </row>
    <row r="885" spans="1:9" x14ac:dyDescent="0.25">
      <c r="A885" s="106" t="s">
        <v>200</v>
      </c>
      <c r="B885" s="107"/>
      <c r="C885" s="104" t="s">
        <v>18</v>
      </c>
      <c r="D885" s="105"/>
      <c r="E885" s="30">
        <v>0.1</v>
      </c>
      <c r="F885" s="14">
        <f>+$F$780</f>
        <v>8500</v>
      </c>
      <c r="G885" s="14">
        <f t="shared" si="25"/>
        <v>850</v>
      </c>
      <c r="H885" s="15"/>
      <c r="I885" s="112"/>
    </row>
    <row r="886" spans="1:9" x14ac:dyDescent="0.25">
      <c r="A886" s="480" t="s">
        <v>201</v>
      </c>
      <c r="B886" s="481"/>
      <c r="C886" s="104" t="s">
        <v>18</v>
      </c>
      <c r="D886" s="31"/>
      <c r="E886" s="30">
        <v>0.2</v>
      </c>
      <c r="F886" s="14">
        <f>+$F$781</f>
        <v>1900</v>
      </c>
      <c r="G886" s="14">
        <f t="shared" si="25"/>
        <v>380</v>
      </c>
      <c r="H886" s="15"/>
      <c r="I886" s="112"/>
    </row>
    <row r="887" spans="1:9" x14ac:dyDescent="0.25">
      <c r="A887" s="108" t="s">
        <v>202</v>
      </c>
      <c r="B887" s="109"/>
      <c r="C887" s="104" t="s">
        <v>140</v>
      </c>
      <c r="D887" s="105">
        <v>0.05</v>
      </c>
      <c r="E887" s="30">
        <v>7.4999999999999997E-2</v>
      </c>
      <c r="F887" s="74">
        <v>109000</v>
      </c>
      <c r="G887" s="14">
        <f t="shared" si="25"/>
        <v>8175</v>
      </c>
      <c r="H887" s="15"/>
      <c r="I887" s="112"/>
    </row>
    <row r="888" spans="1:9" x14ac:dyDescent="0.25">
      <c r="A888" s="108" t="s">
        <v>203</v>
      </c>
      <c r="B888" s="109"/>
      <c r="C888" s="35" t="s">
        <v>204</v>
      </c>
      <c r="D888" s="31">
        <v>0.05</v>
      </c>
      <c r="E888" s="30">
        <v>0.05</v>
      </c>
      <c r="F888" s="14">
        <v>24000</v>
      </c>
      <c r="G888" s="14">
        <f t="shared" si="25"/>
        <v>1200</v>
      </c>
      <c r="H888" s="15"/>
      <c r="I888" s="112"/>
    </row>
    <row r="889" spans="1:9" x14ac:dyDescent="0.25">
      <c r="A889" s="108" t="s">
        <v>218</v>
      </c>
      <c r="B889" s="109"/>
      <c r="C889" s="35" t="s">
        <v>140</v>
      </c>
      <c r="D889" s="34">
        <v>0.05</v>
      </c>
      <c r="E889" s="30">
        <v>0.05</v>
      </c>
      <c r="F889" s="14">
        <v>58000</v>
      </c>
      <c r="G889" s="14">
        <f t="shared" si="25"/>
        <v>2900</v>
      </c>
      <c r="H889" s="15"/>
      <c r="I889" s="112"/>
    </row>
    <row r="890" spans="1:9" x14ac:dyDescent="0.25">
      <c r="A890" s="108"/>
      <c r="B890" s="109"/>
      <c r="C890" s="35"/>
      <c r="D890" s="31"/>
      <c r="E890" s="30"/>
      <c r="F890" s="14"/>
      <c r="G890" s="14">
        <f t="shared" si="25"/>
        <v>0</v>
      </c>
      <c r="H890" s="15"/>
      <c r="I890" s="112"/>
    </row>
    <row r="891" spans="1:9" x14ac:dyDescent="0.25">
      <c r="A891" s="108"/>
      <c r="B891" s="109"/>
      <c r="C891" s="35"/>
      <c r="D891" s="31"/>
      <c r="E891" s="30"/>
      <c r="F891" s="14"/>
      <c r="G891" s="14">
        <f t="shared" si="25"/>
        <v>0</v>
      </c>
      <c r="H891" s="17"/>
      <c r="I891" s="112"/>
    </row>
    <row r="892" spans="1:9" x14ac:dyDescent="0.25">
      <c r="A892" s="297"/>
      <c r="B892" s="255"/>
      <c r="C892" s="228"/>
      <c r="D892" s="228"/>
      <c r="E892" s="36"/>
      <c r="F892" s="37" t="s">
        <v>102</v>
      </c>
      <c r="G892" s="38"/>
      <c r="H892" s="23">
        <f>SUM(G884:G891)</f>
        <v>34005</v>
      </c>
      <c r="I892" s="112"/>
    </row>
    <row r="893" spans="1:9" x14ac:dyDescent="0.25">
      <c r="A893" s="291"/>
      <c r="B893" s="228"/>
      <c r="C893" s="228"/>
      <c r="D893" s="228"/>
      <c r="E893" s="36"/>
      <c r="F893" s="39" t="s">
        <v>103</v>
      </c>
      <c r="G893" s="38"/>
      <c r="H893" s="23">
        <f>ROUND((D884*G884)+(D885*G885)+(D886*G886)+(D887*G887)+(D888*G888)+(D889*G889)+(D890*G890)+(D891*G891),0)</f>
        <v>1639</v>
      </c>
      <c r="I893" s="112"/>
    </row>
    <row r="894" spans="1:9" x14ac:dyDescent="0.25">
      <c r="A894" s="291"/>
      <c r="B894" s="228"/>
      <c r="C894" s="228"/>
      <c r="D894" s="228"/>
      <c r="E894" s="36"/>
      <c r="F894" s="20" t="s">
        <v>104</v>
      </c>
      <c r="G894" s="40"/>
      <c r="H894" s="23">
        <f>SUM(H892:H893)</f>
        <v>35644</v>
      </c>
      <c r="I894" s="112"/>
    </row>
    <row r="895" spans="1:9" x14ac:dyDescent="0.25">
      <c r="A895" s="291" t="s">
        <v>105</v>
      </c>
      <c r="B895" s="228"/>
      <c r="C895" s="228"/>
      <c r="D895" s="228"/>
      <c r="E895" s="47"/>
      <c r="F895" s="47"/>
      <c r="G895" s="47"/>
      <c r="H895" s="233"/>
      <c r="I895" s="112"/>
    </row>
    <row r="896" spans="1:9" x14ac:dyDescent="0.25">
      <c r="A896" s="24" t="s">
        <v>0</v>
      </c>
      <c r="B896" s="24"/>
      <c r="C896" s="8" t="s">
        <v>106</v>
      </c>
      <c r="D896" s="8" t="s">
        <v>107</v>
      </c>
      <c r="E896" s="9" t="s">
        <v>108</v>
      </c>
      <c r="F896" s="9" t="s">
        <v>109</v>
      </c>
      <c r="G896" s="41" t="s">
        <v>96</v>
      </c>
      <c r="H896" s="10"/>
      <c r="I896" s="112"/>
    </row>
    <row r="897" spans="1:9" x14ac:dyDescent="0.25">
      <c r="A897" s="18" t="s">
        <v>110</v>
      </c>
      <c r="B897" s="42"/>
      <c r="C897" s="13">
        <f>104000+26000</f>
        <v>130000</v>
      </c>
      <c r="D897" s="13">
        <f>+C897*0.16</f>
        <v>20800</v>
      </c>
      <c r="E897" s="14">
        <f>C897+D897</f>
        <v>150800</v>
      </c>
      <c r="F897" s="30">
        <v>0.08</v>
      </c>
      <c r="G897" s="14">
        <f>ROUND(E897*F897,0)</f>
        <v>12064</v>
      </c>
      <c r="H897" s="15"/>
      <c r="I897" s="112"/>
    </row>
    <row r="898" spans="1:9" x14ac:dyDescent="0.25">
      <c r="A898" s="18" t="s">
        <v>111</v>
      </c>
      <c r="B898" s="42"/>
      <c r="C898" s="13">
        <f>60400+25850</f>
        <v>86250</v>
      </c>
      <c r="D898" s="13">
        <f>+C898*0.16</f>
        <v>13800</v>
      </c>
      <c r="E898" s="14">
        <f>C898+D898</f>
        <v>100050</v>
      </c>
      <c r="F898" s="30">
        <v>0.08</v>
      </c>
      <c r="G898" s="14">
        <f>ROUND(E898*F898,0)</f>
        <v>8004</v>
      </c>
      <c r="H898" s="15"/>
      <c r="I898" s="112"/>
    </row>
    <row r="899" spans="1:9" x14ac:dyDescent="0.25">
      <c r="A899" s="18"/>
      <c r="B899" s="42"/>
      <c r="C899" s="43"/>
      <c r="D899" s="43"/>
      <c r="E899" s="44">
        <f>C899+D899</f>
        <v>0</v>
      </c>
      <c r="F899" s="45"/>
      <c r="G899" s="14">
        <f>ROUND(E899*F899,0)</f>
        <v>0</v>
      </c>
      <c r="H899" s="15"/>
      <c r="I899" s="112"/>
    </row>
    <row r="900" spans="1:9" x14ac:dyDescent="0.25">
      <c r="A900" s="291"/>
      <c r="B900" s="228"/>
      <c r="C900" s="228"/>
      <c r="D900" s="228"/>
      <c r="E900" s="277" t="s">
        <v>112</v>
      </c>
      <c r="F900" s="277"/>
      <c r="G900" s="277"/>
      <c r="H900" s="82">
        <f>SUM(G897:G899)</f>
        <v>20068</v>
      </c>
      <c r="I900" s="112"/>
    </row>
    <row r="901" spans="1:9" x14ac:dyDescent="0.25">
      <c r="A901" s="291"/>
      <c r="B901" s="228"/>
      <c r="C901" s="228"/>
      <c r="D901" s="228"/>
      <c r="E901" s="47"/>
      <c r="F901" s="47"/>
      <c r="G901" s="47"/>
      <c r="H901" s="233"/>
      <c r="I901" s="112"/>
    </row>
    <row r="902" spans="1:9" x14ac:dyDescent="0.25">
      <c r="A902" s="18"/>
      <c r="B902" s="19"/>
      <c r="C902" s="19"/>
      <c r="D902" s="19"/>
      <c r="E902" s="48" t="s">
        <v>113</v>
      </c>
      <c r="F902" s="48"/>
      <c r="G902" s="48"/>
      <c r="H902" s="25">
        <f>H900+H894+H881</f>
        <v>114707</v>
      </c>
      <c r="I902" s="112"/>
    </row>
    <row r="903" spans="1:9" x14ac:dyDescent="0.25">
      <c r="A903" s="291"/>
      <c r="B903" s="228"/>
      <c r="C903" s="228"/>
      <c r="D903" s="228"/>
      <c r="E903" s="47"/>
      <c r="F903" s="47"/>
      <c r="G903" s="47"/>
      <c r="H903" s="233"/>
      <c r="I903" s="112"/>
    </row>
    <row r="904" spans="1:9" x14ac:dyDescent="0.25">
      <c r="A904" s="291" t="s">
        <v>114</v>
      </c>
      <c r="B904" s="228"/>
      <c r="C904" s="228"/>
      <c r="D904" s="228"/>
      <c r="E904" s="47"/>
      <c r="F904" s="47"/>
      <c r="G904" s="47"/>
      <c r="H904" s="233"/>
      <c r="I904" s="112"/>
    </row>
    <row r="905" spans="1:9" x14ac:dyDescent="0.25">
      <c r="A905" s="6" t="s">
        <v>0</v>
      </c>
      <c r="B905" s="49"/>
      <c r="C905" s="49"/>
      <c r="D905" s="49"/>
      <c r="E905" s="50"/>
      <c r="F905" s="9" t="s">
        <v>115</v>
      </c>
      <c r="G905" s="41" t="s">
        <v>116</v>
      </c>
      <c r="H905" s="10"/>
      <c r="I905" s="112"/>
    </row>
    <row r="906" spans="1:9" x14ac:dyDescent="0.25">
      <c r="A906" s="11" t="s">
        <v>117</v>
      </c>
      <c r="B906" s="51"/>
      <c r="C906" s="51"/>
      <c r="D906" s="51"/>
      <c r="E906" s="52"/>
      <c r="F906" s="53"/>
      <c r="G906" s="14">
        <f>F906*H902</f>
        <v>0</v>
      </c>
      <c r="H906" s="15"/>
      <c r="I906" s="112"/>
    </row>
    <row r="907" spans="1:9" hidden="1" x14ac:dyDescent="0.25">
      <c r="A907" s="11"/>
      <c r="B907" s="51"/>
      <c r="C907" s="51"/>
      <c r="D907" s="51"/>
      <c r="E907" s="52"/>
      <c r="F907" s="53"/>
      <c r="G907" s="14">
        <f>F907*H902</f>
        <v>0</v>
      </c>
      <c r="H907" s="15"/>
      <c r="I907" s="112"/>
    </row>
    <row r="908" spans="1:9" hidden="1" x14ac:dyDescent="0.25">
      <c r="A908" s="11"/>
      <c r="B908" s="51"/>
      <c r="C908" s="51"/>
      <c r="D908" s="51"/>
      <c r="E908" s="52"/>
      <c r="F908" s="53"/>
      <c r="G908" s="14">
        <f>F908*H902</f>
        <v>0</v>
      </c>
      <c r="H908" s="17"/>
      <c r="I908" s="112"/>
    </row>
    <row r="909" spans="1:9" x14ac:dyDescent="0.25">
      <c r="A909" s="4"/>
      <c r="B909" s="4"/>
      <c r="C909" s="4"/>
      <c r="D909" s="4"/>
      <c r="E909" s="46" t="s">
        <v>118</v>
      </c>
      <c r="F909" s="46"/>
      <c r="G909" s="46"/>
      <c r="H909" s="36">
        <f>SUM(G906:G908)</f>
        <v>0</v>
      </c>
      <c r="I909" s="112"/>
    </row>
    <row r="910" spans="1:9" ht="15.75" thickBot="1" x14ac:dyDescent="0.3">
      <c r="A910" s="4"/>
      <c r="B910" s="4"/>
      <c r="C910" s="4"/>
      <c r="D910" s="4"/>
      <c r="E910" s="5"/>
      <c r="F910" s="5"/>
      <c r="G910" s="5"/>
      <c r="H910" s="5"/>
      <c r="I910" s="112"/>
    </row>
    <row r="911" spans="1:9" ht="15.75" thickBot="1" x14ac:dyDescent="0.3">
      <c r="A911" s="4"/>
      <c r="B911" s="4"/>
      <c r="C911" s="4"/>
      <c r="D911" s="4"/>
      <c r="E911" s="54"/>
      <c r="F911" s="54" t="s">
        <v>119</v>
      </c>
      <c r="G911" s="54"/>
      <c r="H911" s="240">
        <f>SUM(H909+H902)</f>
        <v>114707</v>
      </c>
      <c r="I911" s="112"/>
    </row>
    <row r="912" spans="1:9" x14ac:dyDescent="0.25">
      <c r="A912" s="4"/>
      <c r="B912" s="4"/>
      <c r="C912" s="4"/>
      <c r="D912" s="4"/>
      <c r="E912" s="54"/>
      <c r="F912" s="54"/>
      <c r="G912" s="54"/>
      <c r="H912" s="112"/>
      <c r="I912" s="112"/>
    </row>
    <row r="913" spans="1:9" x14ac:dyDescent="0.25">
      <c r="A913" s="4"/>
      <c r="B913" s="4"/>
      <c r="C913" s="4"/>
      <c r="D913" s="4"/>
      <c r="E913" s="54"/>
      <c r="F913" s="54"/>
      <c r="G913" s="54"/>
      <c r="H913" s="112"/>
      <c r="I913" s="112"/>
    </row>
    <row r="914" spans="1:9" x14ac:dyDescent="0.25">
      <c r="A914" s="4"/>
      <c r="B914" s="4"/>
      <c r="C914" s="4"/>
      <c r="D914" s="4"/>
      <c r="E914" s="54"/>
      <c r="F914" s="54"/>
      <c r="G914" s="54"/>
      <c r="H914" s="112"/>
      <c r="I914" s="112"/>
    </row>
    <row r="915" spans="1:9" x14ac:dyDescent="0.25">
      <c r="A915" s="4"/>
      <c r="B915" s="4"/>
      <c r="C915" s="4"/>
      <c r="D915" s="4"/>
      <c r="E915" s="54"/>
      <c r="F915" s="54"/>
      <c r="G915" s="54"/>
      <c r="H915" s="112"/>
      <c r="I915" s="112"/>
    </row>
    <row r="916" spans="1:9" x14ac:dyDescent="0.25">
      <c r="A916" s="4"/>
      <c r="B916" s="4"/>
      <c r="C916" s="4"/>
      <c r="D916" s="4"/>
      <c r="E916" s="54"/>
      <c r="F916" s="54"/>
      <c r="G916" s="54"/>
      <c r="H916" s="112"/>
      <c r="I916" s="112"/>
    </row>
    <row r="917" spans="1:9" x14ac:dyDescent="0.25">
      <c r="A917" s="4"/>
      <c r="B917" s="4"/>
      <c r="C917" s="4"/>
      <c r="D917" s="4"/>
      <c r="E917" s="54"/>
      <c r="F917" s="54"/>
      <c r="G917" s="54"/>
      <c r="H917" s="112"/>
      <c r="I917" s="112"/>
    </row>
    <row r="919" spans="1:9" x14ac:dyDescent="0.25">
      <c r="A919" s="412" t="s">
        <v>79</v>
      </c>
      <c r="B919" s="412"/>
      <c r="C919" s="412"/>
      <c r="D919" s="412"/>
      <c r="E919" s="412"/>
      <c r="F919" s="412"/>
      <c r="G919" s="412"/>
      <c r="H919" s="412"/>
      <c r="I919" s="250"/>
    </row>
    <row r="920" spans="1:9" x14ac:dyDescent="0.25">
      <c r="A920" s="4"/>
      <c r="B920" s="4"/>
      <c r="C920" s="4"/>
      <c r="D920" s="4"/>
      <c r="E920" s="5"/>
      <c r="F920" s="5"/>
      <c r="G920" s="411" t="s">
        <v>326</v>
      </c>
      <c r="H920" s="411"/>
      <c r="I920" s="251"/>
    </row>
    <row r="921" spans="1:9" ht="15" customHeight="1" x14ac:dyDescent="0.25">
      <c r="A921" s="434" t="s">
        <v>462</v>
      </c>
      <c r="B921" s="434"/>
      <c r="C921" s="434"/>
      <c r="D921" s="434"/>
      <c r="E921" s="434"/>
      <c r="F921" s="434"/>
      <c r="G921" s="434"/>
      <c r="H921" s="434"/>
      <c r="I921" s="252"/>
    </row>
    <row r="922" spans="1:9" x14ac:dyDescent="0.25">
      <c r="A922" s="4"/>
      <c r="B922" s="4"/>
      <c r="C922" s="4"/>
      <c r="D922" s="4"/>
      <c r="E922" s="5"/>
      <c r="F922" s="5"/>
      <c r="G922" s="414" t="s">
        <v>81</v>
      </c>
      <c r="H922" s="414"/>
      <c r="I922" s="253"/>
    </row>
    <row r="923" spans="1:9" x14ac:dyDescent="0.25">
      <c r="A923" s="4" t="s">
        <v>82</v>
      </c>
      <c r="B923" s="4"/>
      <c r="C923" s="4"/>
      <c r="D923" s="4"/>
      <c r="E923" s="5"/>
      <c r="F923" s="5"/>
      <c r="G923" s="5"/>
      <c r="H923" s="5"/>
      <c r="I923" s="47"/>
    </row>
    <row r="924" spans="1:9" x14ac:dyDescent="0.25">
      <c r="A924" s="6" t="s">
        <v>0</v>
      </c>
      <c r="B924" s="7"/>
      <c r="C924" s="8" t="s">
        <v>83</v>
      </c>
      <c r="D924" s="8" t="s">
        <v>84</v>
      </c>
      <c r="E924" s="9" t="s">
        <v>85</v>
      </c>
      <c r="F924" s="9" t="s">
        <v>86</v>
      </c>
      <c r="G924" s="9" t="s">
        <v>87</v>
      </c>
      <c r="H924" s="10"/>
      <c r="I924" s="47"/>
    </row>
    <row r="925" spans="1:9" x14ac:dyDescent="0.25">
      <c r="A925" s="11" t="s">
        <v>88</v>
      </c>
      <c r="B925" s="12"/>
      <c r="C925" s="13"/>
      <c r="D925" s="13"/>
      <c r="E925" s="14"/>
      <c r="F925" s="14"/>
      <c r="G925" s="14">
        <f>ROUND(H948*0.05,0)+8-16</f>
        <v>444</v>
      </c>
      <c r="H925" s="15"/>
      <c r="I925" s="47"/>
    </row>
    <row r="926" spans="1:9" x14ac:dyDescent="0.25">
      <c r="A926" s="11" t="s">
        <v>327</v>
      </c>
      <c r="B926" s="12"/>
      <c r="C926" s="13"/>
      <c r="D926" s="13"/>
      <c r="E926" s="14">
        <v>350000</v>
      </c>
      <c r="F926" s="14">
        <v>0.05</v>
      </c>
      <c r="G926" s="14">
        <f>ROUND(E926*F926,0)</f>
        <v>17500</v>
      </c>
      <c r="H926" s="15"/>
      <c r="I926" s="47"/>
    </row>
    <row r="927" spans="1:9" x14ac:dyDescent="0.25">
      <c r="A927" s="11" t="s">
        <v>352</v>
      </c>
      <c r="B927" s="12"/>
      <c r="C927" s="13"/>
      <c r="D927" s="13"/>
      <c r="E927" s="74">
        <v>15000</v>
      </c>
      <c r="F927" s="16">
        <v>7.4999999999999997E-2</v>
      </c>
      <c r="G927" s="14">
        <f>ROUND(E927*F927,0)</f>
        <v>1125</v>
      </c>
      <c r="H927" s="15"/>
      <c r="I927" s="47"/>
    </row>
    <row r="928" spans="1:9" x14ac:dyDescent="0.25">
      <c r="A928" s="11" t="s">
        <v>328</v>
      </c>
      <c r="B928" s="12"/>
      <c r="C928" s="13"/>
      <c r="D928" s="13"/>
      <c r="E928" s="14">
        <v>50000</v>
      </c>
      <c r="F928" s="14">
        <v>0.2</v>
      </c>
      <c r="G928" s="14">
        <f>ROUND(E928*F928,0)</f>
        <v>10000</v>
      </c>
      <c r="H928" s="17"/>
      <c r="I928" s="47"/>
    </row>
    <row r="929" spans="1:9" x14ac:dyDescent="0.25">
      <c r="A929" s="18"/>
      <c r="B929" s="19"/>
      <c r="C929" s="19"/>
      <c r="D929" s="19"/>
      <c r="E929" s="20"/>
      <c r="F929" s="21" t="s">
        <v>90</v>
      </c>
      <c r="G929" s="22"/>
      <c r="H929" s="23">
        <f>SUM(G925:G928)</f>
        <v>29069</v>
      </c>
      <c r="I929" s="220"/>
    </row>
    <row r="930" spans="1:9" x14ac:dyDescent="0.25">
      <c r="A930" s="291" t="s">
        <v>91</v>
      </c>
      <c r="B930" s="228"/>
      <c r="C930" s="228"/>
      <c r="D930" s="228"/>
      <c r="E930" s="47"/>
      <c r="F930" s="47"/>
      <c r="G930" s="47"/>
      <c r="H930" s="233"/>
      <c r="I930" s="47"/>
    </row>
    <row r="931" spans="1:9" x14ac:dyDescent="0.25">
      <c r="A931" s="24" t="s">
        <v>0</v>
      </c>
      <c r="B931" s="24"/>
      <c r="C931" s="8" t="s">
        <v>92</v>
      </c>
      <c r="D931" s="8" t="s">
        <v>93</v>
      </c>
      <c r="E931" s="9" t="s">
        <v>94</v>
      </c>
      <c r="F931" s="9" t="s">
        <v>95</v>
      </c>
      <c r="G931" s="25" t="s">
        <v>96</v>
      </c>
      <c r="H931" s="10"/>
      <c r="I931" s="47"/>
    </row>
    <row r="932" spans="1:9" ht="29.45" customHeight="1" x14ac:dyDescent="0.25">
      <c r="A932" s="478" t="s">
        <v>199</v>
      </c>
      <c r="B932" s="479"/>
      <c r="C932" s="110" t="s">
        <v>8</v>
      </c>
      <c r="D932" s="111">
        <v>0.05</v>
      </c>
      <c r="E932" s="61">
        <v>0.05</v>
      </c>
      <c r="F932" s="62">
        <v>205000</v>
      </c>
      <c r="G932" s="62">
        <f t="shared" ref="G932:G939" si="26">ROUND(E932*F932,0)</f>
        <v>10250</v>
      </c>
      <c r="H932" s="15"/>
      <c r="I932" s="47"/>
    </row>
    <row r="933" spans="1:9" x14ac:dyDescent="0.25">
      <c r="A933" s="106" t="s">
        <v>200</v>
      </c>
      <c r="B933" s="107"/>
      <c r="C933" s="104" t="s">
        <v>18</v>
      </c>
      <c r="D933" s="105"/>
      <c r="E933" s="30">
        <v>0.1</v>
      </c>
      <c r="F933" s="14">
        <f>+$F$780</f>
        <v>8500</v>
      </c>
      <c r="G933" s="14">
        <f t="shared" si="26"/>
        <v>850</v>
      </c>
      <c r="H933" s="15"/>
      <c r="I933" s="47"/>
    </row>
    <row r="934" spans="1:9" x14ac:dyDescent="0.25">
      <c r="A934" s="480" t="s">
        <v>201</v>
      </c>
      <c r="B934" s="481"/>
      <c r="C934" s="104" t="s">
        <v>18</v>
      </c>
      <c r="D934" s="31"/>
      <c r="E934" s="30">
        <v>0.2</v>
      </c>
      <c r="F934" s="14">
        <f>+$F$781</f>
        <v>1900</v>
      </c>
      <c r="G934" s="14">
        <f t="shared" si="26"/>
        <v>380</v>
      </c>
      <c r="H934" s="15"/>
      <c r="I934" s="47"/>
    </row>
    <row r="935" spans="1:9" x14ac:dyDescent="0.25">
      <c r="A935" s="108" t="s">
        <v>202</v>
      </c>
      <c r="B935" s="109"/>
      <c r="C935" s="104" t="s">
        <v>140</v>
      </c>
      <c r="D935" s="105">
        <v>0.05</v>
      </c>
      <c r="E935" s="30">
        <v>3.5000000000000003E-2</v>
      </c>
      <c r="F935" s="14">
        <v>109000</v>
      </c>
      <c r="G935" s="14">
        <f t="shared" si="26"/>
        <v>3815</v>
      </c>
      <c r="H935" s="15"/>
      <c r="I935" s="47"/>
    </row>
    <row r="936" spans="1:9" x14ac:dyDescent="0.25">
      <c r="A936" s="108" t="s">
        <v>203</v>
      </c>
      <c r="B936" s="109"/>
      <c r="C936" s="35" t="s">
        <v>204</v>
      </c>
      <c r="D936" s="31">
        <v>0.05</v>
      </c>
      <c r="E936" s="30">
        <v>2.5000000000000001E-2</v>
      </c>
      <c r="F936" s="14">
        <v>24000</v>
      </c>
      <c r="G936" s="14">
        <f t="shared" si="26"/>
        <v>600</v>
      </c>
      <c r="H936" s="15"/>
      <c r="I936" s="47"/>
    </row>
    <row r="937" spans="1:9" x14ac:dyDescent="0.25">
      <c r="A937" s="108" t="s">
        <v>218</v>
      </c>
      <c r="B937" s="109"/>
      <c r="C937" s="35" t="s">
        <v>140</v>
      </c>
      <c r="D937" s="34">
        <v>0.05</v>
      </c>
      <c r="E937" s="30">
        <v>1.4999999999999999E-2</v>
      </c>
      <c r="F937" s="14">
        <v>58000</v>
      </c>
      <c r="G937" s="14">
        <f t="shared" si="26"/>
        <v>870</v>
      </c>
      <c r="H937" s="15"/>
      <c r="I937" s="47"/>
    </row>
    <row r="938" spans="1:9" x14ac:dyDescent="0.25">
      <c r="A938" s="108"/>
      <c r="B938" s="109"/>
      <c r="C938" s="35"/>
      <c r="D938" s="31"/>
      <c r="E938" s="30"/>
      <c r="F938" s="14"/>
      <c r="G938" s="14">
        <f t="shared" si="26"/>
        <v>0</v>
      </c>
      <c r="H938" s="15"/>
      <c r="I938" s="47"/>
    </row>
    <row r="939" spans="1:9" x14ac:dyDescent="0.25">
      <c r="A939" s="108"/>
      <c r="B939" s="109"/>
      <c r="C939" s="35"/>
      <c r="D939" s="31"/>
      <c r="E939" s="30"/>
      <c r="F939" s="14"/>
      <c r="G939" s="14">
        <f t="shared" si="26"/>
        <v>0</v>
      </c>
      <c r="H939" s="17"/>
      <c r="I939" s="47"/>
    </row>
    <row r="940" spans="1:9" x14ac:dyDescent="0.25">
      <c r="A940" s="297"/>
      <c r="B940" s="255"/>
      <c r="C940" s="228"/>
      <c r="D940" s="228"/>
      <c r="E940" s="36"/>
      <c r="F940" s="37" t="s">
        <v>102</v>
      </c>
      <c r="G940" s="38"/>
      <c r="H940" s="23">
        <f>SUM(G932:G939)</f>
        <v>16765</v>
      </c>
      <c r="I940" s="220"/>
    </row>
    <row r="941" spans="1:9" x14ac:dyDescent="0.25">
      <c r="A941" s="291"/>
      <c r="B941" s="228"/>
      <c r="C941" s="228"/>
      <c r="D941" s="228"/>
      <c r="E941" s="36"/>
      <c r="F941" s="39" t="s">
        <v>103</v>
      </c>
      <c r="G941" s="38"/>
      <c r="H941" s="23">
        <f>ROUND((D932*G932)+(D933*G933)+(D934*G934)+(D935*G935)+(D936*G936)+(D937*G937)+(D938*G938)+(D939*G939),0)</f>
        <v>777</v>
      </c>
      <c r="I941" s="220"/>
    </row>
    <row r="942" spans="1:9" x14ac:dyDescent="0.25">
      <c r="A942" s="291"/>
      <c r="B942" s="228"/>
      <c r="C942" s="228"/>
      <c r="D942" s="228"/>
      <c r="E942" s="36"/>
      <c r="F942" s="20" t="s">
        <v>104</v>
      </c>
      <c r="G942" s="40"/>
      <c r="H942" s="23">
        <f>SUM(H940:H941)</f>
        <v>17542</v>
      </c>
      <c r="I942" s="220"/>
    </row>
    <row r="943" spans="1:9" x14ac:dyDescent="0.25">
      <c r="A943" s="291" t="s">
        <v>105</v>
      </c>
      <c r="B943" s="228"/>
      <c r="C943" s="228"/>
      <c r="D943" s="228"/>
      <c r="E943" s="47"/>
      <c r="F943" s="47"/>
      <c r="G943" s="47"/>
      <c r="H943" s="233"/>
      <c r="I943" s="47"/>
    </row>
    <row r="944" spans="1:9" x14ac:dyDescent="0.25">
      <c r="A944" s="24" t="s">
        <v>0</v>
      </c>
      <c r="B944" s="24"/>
      <c r="C944" s="8" t="s">
        <v>106</v>
      </c>
      <c r="D944" s="8" t="s">
        <v>107</v>
      </c>
      <c r="E944" s="9" t="s">
        <v>108</v>
      </c>
      <c r="F944" s="9" t="s">
        <v>109</v>
      </c>
      <c r="G944" s="41" t="s">
        <v>96</v>
      </c>
      <c r="H944" s="10"/>
      <c r="I944" s="47"/>
    </row>
    <row r="945" spans="1:9" x14ac:dyDescent="0.25">
      <c r="A945" s="18" t="s">
        <v>110</v>
      </c>
      <c r="B945" s="42"/>
      <c r="C945" s="13">
        <f>104000+26000</f>
        <v>130000</v>
      </c>
      <c r="D945" s="13">
        <f>+C945*0.16</f>
        <v>20800</v>
      </c>
      <c r="E945" s="14">
        <f>C945+D945</f>
        <v>150800</v>
      </c>
      <c r="F945" s="30">
        <v>0.04</v>
      </c>
      <c r="G945" s="14">
        <f>ROUND(E945*F945,0)</f>
        <v>6032</v>
      </c>
      <c r="H945" s="15"/>
      <c r="I945" s="47"/>
    </row>
    <row r="946" spans="1:9" x14ac:dyDescent="0.25">
      <c r="A946" s="18" t="s">
        <v>111</v>
      </c>
      <c r="B946" s="42"/>
      <c r="C946" s="13">
        <f>60400+25850</f>
        <v>86250</v>
      </c>
      <c r="D946" s="13">
        <f>+C946*0.16</f>
        <v>13800</v>
      </c>
      <c r="E946" s="14">
        <f>C946+D946</f>
        <v>100050</v>
      </c>
      <c r="F946" s="30">
        <v>0.03</v>
      </c>
      <c r="G946" s="14">
        <f>ROUND(E946*F946,0)</f>
        <v>3002</v>
      </c>
      <c r="H946" s="15"/>
      <c r="I946" s="47"/>
    </row>
    <row r="947" spans="1:9" x14ac:dyDescent="0.25">
      <c r="A947" s="18"/>
      <c r="B947" s="42"/>
      <c r="C947" s="43"/>
      <c r="D947" s="43"/>
      <c r="E947" s="44">
        <f>C947+D947</f>
        <v>0</v>
      </c>
      <c r="F947" s="45"/>
      <c r="G947" s="14">
        <f>ROUND(E947*F947,0)</f>
        <v>0</v>
      </c>
      <c r="H947" s="15"/>
      <c r="I947" s="47"/>
    </row>
    <row r="948" spans="1:9" x14ac:dyDescent="0.25">
      <c r="A948" s="291"/>
      <c r="B948" s="228"/>
      <c r="C948" s="228"/>
      <c r="D948" s="228"/>
      <c r="E948" s="277" t="s">
        <v>112</v>
      </c>
      <c r="F948" s="277"/>
      <c r="G948" s="277"/>
      <c r="H948" s="82">
        <f>SUM(G945:G947)</f>
        <v>9034</v>
      </c>
      <c r="I948" s="221"/>
    </row>
    <row r="949" spans="1:9" x14ac:dyDescent="0.25">
      <c r="A949" s="291"/>
      <c r="B949" s="228"/>
      <c r="C949" s="228"/>
      <c r="D949" s="228"/>
      <c r="E949" s="47"/>
      <c r="F949" s="47"/>
      <c r="G949" s="47"/>
      <c r="H949" s="233"/>
      <c r="I949" s="47"/>
    </row>
    <row r="950" spans="1:9" x14ac:dyDescent="0.25">
      <c r="A950" s="18"/>
      <c r="B950" s="19"/>
      <c r="C950" s="19"/>
      <c r="D950" s="19"/>
      <c r="E950" s="48" t="s">
        <v>113</v>
      </c>
      <c r="F950" s="48"/>
      <c r="G950" s="48"/>
      <c r="H950" s="25">
        <f>H948+H942+H929</f>
        <v>55645</v>
      </c>
      <c r="I950" s="222"/>
    </row>
    <row r="951" spans="1:9" x14ac:dyDescent="0.25">
      <c r="A951" s="291"/>
      <c r="B951" s="228"/>
      <c r="C951" s="228"/>
      <c r="D951" s="228"/>
      <c r="E951" s="47"/>
      <c r="F951" s="47"/>
      <c r="G951" s="47"/>
      <c r="H951" s="233"/>
      <c r="I951" s="47"/>
    </row>
    <row r="952" spans="1:9" x14ac:dyDescent="0.25">
      <c r="A952" s="291" t="s">
        <v>114</v>
      </c>
      <c r="B952" s="228"/>
      <c r="C952" s="228"/>
      <c r="D952" s="228"/>
      <c r="E952" s="47"/>
      <c r="F952" s="47"/>
      <c r="G952" s="47"/>
      <c r="H952" s="233"/>
      <c r="I952" s="47"/>
    </row>
    <row r="953" spans="1:9" x14ac:dyDescent="0.25">
      <c r="A953" s="6" t="s">
        <v>0</v>
      </c>
      <c r="B953" s="49"/>
      <c r="C953" s="49"/>
      <c r="D953" s="49"/>
      <c r="E953" s="50"/>
      <c r="F953" s="9" t="s">
        <v>115</v>
      </c>
      <c r="G953" s="41" t="s">
        <v>116</v>
      </c>
      <c r="H953" s="10"/>
      <c r="I953" s="47"/>
    </row>
    <row r="954" spans="1:9" x14ac:dyDescent="0.25">
      <c r="A954" s="11" t="s">
        <v>117</v>
      </c>
      <c r="B954" s="51"/>
      <c r="C954" s="51"/>
      <c r="D954" s="51"/>
      <c r="E954" s="52"/>
      <c r="F954" s="53"/>
      <c r="G954" s="14">
        <f>F954*H950</f>
        <v>0</v>
      </c>
      <c r="H954" s="15"/>
      <c r="I954" s="47"/>
    </row>
    <row r="955" spans="1:9" x14ac:dyDescent="0.25">
      <c r="A955" s="11"/>
      <c r="B955" s="51"/>
      <c r="C955" s="51"/>
      <c r="D955" s="51"/>
      <c r="E955" s="52"/>
      <c r="F955" s="53"/>
      <c r="G955" s="14">
        <f>F955*H950</f>
        <v>0</v>
      </c>
      <c r="H955" s="15"/>
      <c r="I955" s="47"/>
    </row>
    <row r="956" spans="1:9" x14ac:dyDescent="0.25">
      <c r="A956" s="11"/>
      <c r="B956" s="51"/>
      <c r="C956" s="51"/>
      <c r="D956" s="51"/>
      <c r="E956" s="52"/>
      <c r="F956" s="53"/>
      <c r="G956" s="14">
        <f>F956*H950</f>
        <v>0</v>
      </c>
      <c r="H956" s="17"/>
      <c r="I956" s="47"/>
    </row>
    <row r="957" spans="1:9" x14ac:dyDescent="0.25">
      <c r="A957" s="4"/>
      <c r="B957" s="4"/>
      <c r="C957" s="4"/>
      <c r="D957" s="4"/>
      <c r="E957" s="46" t="s">
        <v>118</v>
      </c>
      <c r="F957" s="46"/>
      <c r="G957" s="46"/>
      <c r="H957" s="36">
        <f>SUM(G954:G956)</f>
        <v>0</v>
      </c>
      <c r="I957" s="220"/>
    </row>
    <row r="958" spans="1:9" ht="15.75" thickBot="1" x14ac:dyDescent="0.3">
      <c r="A958" s="4"/>
      <c r="B958" s="4"/>
      <c r="C958" s="4"/>
      <c r="D958" s="4"/>
      <c r="E958" s="5"/>
      <c r="F958" s="5"/>
      <c r="G958" s="5"/>
      <c r="H958" s="5"/>
      <c r="I958" s="47"/>
    </row>
    <row r="959" spans="1:9" ht="15.75" thickBot="1" x14ac:dyDescent="0.3">
      <c r="A959" s="4"/>
      <c r="B959" s="4"/>
      <c r="C959" s="4"/>
      <c r="D959" s="4"/>
      <c r="E959" s="54"/>
      <c r="F959" s="54" t="s">
        <v>119</v>
      </c>
      <c r="G959" s="54"/>
      <c r="H959" s="240">
        <f>SUM(H957+H950)</f>
        <v>55645</v>
      </c>
      <c r="I959" s="112"/>
    </row>
    <row r="967" spans="1:11" s="4" customFormat="1" x14ac:dyDescent="0.25">
      <c r="A967" s="489" t="s">
        <v>79</v>
      </c>
      <c r="B967" s="489"/>
      <c r="C967" s="489"/>
      <c r="D967" s="489"/>
      <c r="E967" s="489"/>
      <c r="F967" s="489"/>
      <c r="G967" s="489"/>
      <c r="H967" s="489"/>
      <c r="I967" s="258"/>
      <c r="K967" s="113"/>
    </row>
    <row r="968" spans="1:11" s="4" customFormat="1" x14ac:dyDescent="0.25">
      <c r="G968" s="411" t="s">
        <v>326</v>
      </c>
      <c r="H968" s="411"/>
      <c r="I968" s="251"/>
      <c r="K968" s="113"/>
    </row>
    <row r="969" spans="1:11" s="4" customFormat="1" ht="33.6" customHeight="1" x14ac:dyDescent="0.25">
      <c r="A969" s="451" t="s">
        <v>341</v>
      </c>
      <c r="B969" s="451"/>
      <c r="C969" s="451"/>
      <c r="D969" s="451"/>
      <c r="E969" s="451"/>
      <c r="F969" s="451"/>
      <c r="G969" s="451"/>
      <c r="H969" s="451"/>
      <c r="I969" s="343"/>
      <c r="J969" s="343"/>
      <c r="K969" s="113"/>
    </row>
    <row r="970" spans="1:11" s="4" customFormat="1" x14ac:dyDescent="0.25">
      <c r="G970" s="114" t="s">
        <v>81</v>
      </c>
      <c r="H970" s="114"/>
      <c r="I970" s="259"/>
      <c r="K970" s="113"/>
    </row>
    <row r="971" spans="1:11" s="4" customFormat="1" x14ac:dyDescent="0.25">
      <c r="A971" s="4" t="s">
        <v>82</v>
      </c>
      <c r="I971" s="228"/>
      <c r="K971" s="113"/>
    </row>
    <row r="972" spans="1:11" s="4" customFormat="1" x14ac:dyDescent="0.25">
      <c r="A972" s="6" t="s">
        <v>0</v>
      </c>
      <c r="B972" s="7"/>
      <c r="C972" s="8" t="s">
        <v>83</v>
      </c>
      <c r="D972" s="8" t="s">
        <v>84</v>
      </c>
      <c r="E972" s="8" t="s">
        <v>85</v>
      </c>
      <c r="F972" s="8" t="s">
        <v>86</v>
      </c>
      <c r="G972" s="8" t="s">
        <v>87</v>
      </c>
      <c r="H972" s="115"/>
      <c r="I972" s="228"/>
      <c r="K972" s="113"/>
    </row>
    <row r="973" spans="1:11" s="4" customFormat="1" x14ac:dyDescent="0.25">
      <c r="A973" s="11" t="s">
        <v>88</v>
      </c>
      <c r="B973" s="12"/>
      <c r="C973" s="13"/>
      <c r="D973" s="13"/>
      <c r="E973" s="13"/>
      <c r="F973" s="13"/>
      <c r="G973" s="14">
        <f>ROUND(H997*0.05,0)</f>
        <v>953</v>
      </c>
      <c r="H973" s="15"/>
      <c r="I973" s="47"/>
      <c r="K973" s="113"/>
    </row>
    <row r="974" spans="1:11" s="4" customFormat="1" x14ac:dyDescent="0.25">
      <c r="A974" s="11" t="s">
        <v>327</v>
      </c>
      <c r="B974" s="12"/>
      <c r="C974" s="13"/>
      <c r="D974" s="13"/>
      <c r="E974" s="181">
        <v>350000</v>
      </c>
      <c r="F974" s="182">
        <v>0.1</v>
      </c>
      <c r="G974" s="14">
        <f>ROUND(E974*F974,0)</f>
        <v>35000</v>
      </c>
      <c r="H974" s="15"/>
      <c r="I974" s="47"/>
      <c r="K974" s="113"/>
    </row>
    <row r="975" spans="1:11" s="4" customFormat="1" x14ac:dyDescent="0.25">
      <c r="A975" s="11" t="s">
        <v>352</v>
      </c>
      <c r="B975" s="12"/>
      <c r="C975" s="13"/>
      <c r="D975" s="13"/>
      <c r="E975" s="181">
        <v>15000</v>
      </c>
      <c r="F975" s="182">
        <v>7.4999999999999997E-2</v>
      </c>
      <c r="G975" s="14">
        <f>ROUND(E975*F975,0)</f>
        <v>1125</v>
      </c>
      <c r="H975" s="15"/>
      <c r="I975" s="47"/>
      <c r="K975" s="113"/>
    </row>
    <row r="976" spans="1:11" s="4" customFormat="1" x14ac:dyDescent="0.25">
      <c r="A976" s="11" t="s">
        <v>328</v>
      </c>
      <c r="B976" s="12"/>
      <c r="C976" s="13"/>
      <c r="D976" s="13"/>
      <c r="E976" s="180">
        <v>50000</v>
      </c>
      <c r="F976" s="35">
        <v>0.1</v>
      </c>
      <c r="G976" s="14">
        <f>ROUND(E976*F976,0)</f>
        <v>5000</v>
      </c>
      <c r="H976" s="17"/>
      <c r="I976" s="47"/>
      <c r="K976" s="113"/>
    </row>
    <row r="977" spans="1:11" s="4" customFormat="1" x14ac:dyDescent="0.25">
      <c r="A977" s="18"/>
      <c r="B977" s="19"/>
      <c r="C977" s="19"/>
      <c r="D977" s="19"/>
      <c r="E977" s="19"/>
      <c r="F977" s="116" t="s">
        <v>90</v>
      </c>
      <c r="G977" s="22"/>
      <c r="H977" s="23">
        <f>SUM(G973:G976)</f>
        <v>42078</v>
      </c>
      <c r="I977" s="220"/>
      <c r="K977" s="113"/>
    </row>
    <row r="978" spans="1:11" s="4" customFormat="1" x14ac:dyDescent="0.25">
      <c r="A978" s="291" t="s">
        <v>91</v>
      </c>
      <c r="B978" s="228"/>
      <c r="C978" s="228"/>
      <c r="D978" s="228"/>
      <c r="E978" s="228"/>
      <c r="F978" s="228"/>
      <c r="G978" s="47"/>
      <c r="H978" s="233"/>
      <c r="I978" s="47"/>
      <c r="K978" s="113"/>
    </row>
    <row r="979" spans="1:11" s="4" customFormat="1" x14ac:dyDescent="0.25">
      <c r="A979" s="24" t="s">
        <v>0</v>
      </c>
      <c r="B979" s="24"/>
      <c r="C979" s="8" t="s">
        <v>92</v>
      </c>
      <c r="D979" s="8" t="s">
        <v>93</v>
      </c>
      <c r="E979" s="8" t="s">
        <v>94</v>
      </c>
      <c r="F979" s="8" t="s">
        <v>95</v>
      </c>
      <c r="G979" s="25" t="s">
        <v>96</v>
      </c>
      <c r="H979" s="10"/>
      <c r="I979" s="47"/>
      <c r="K979" s="113"/>
    </row>
    <row r="980" spans="1:11" s="4" customFormat="1" x14ac:dyDescent="0.25">
      <c r="A980" s="11" t="s">
        <v>200</v>
      </c>
      <c r="B980" s="12"/>
      <c r="C980" s="35" t="s">
        <v>18</v>
      </c>
      <c r="D980" s="31">
        <v>0.05</v>
      </c>
      <c r="E980" s="117">
        <v>0.1</v>
      </c>
      <c r="F980" s="118">
        <v>8500</v>
      </c>
      <c r="G980" s="14">
        <f t="shared" ref="G980:G988" si="27">ROUND(E980*F980,0)</f>
        <v>850</v>
      </c>
      <c r="H980" s="15"/>
      <c r="I980" s="47"/>
      <c r="K980" s="113"/>
    </row>
    <row r="981" spans="1:11" s="4" customFormat="1" ht="28.9" customHeight="1" x14ac:dyDescent="0.25">
      <c r="A981" s="417" t="s">
        <v>153</v>
      </c>
      <c r="B981" s="418"/>
      <c r="C981" s="84" t="s">
        <v>206</v>
      </c>
      <c r="D981" s="70">
        <v>0.05</v>
      </c>
      <c r="E981" s="126">
        <v>0.15</v>
      </c>
      <c r="F981" s="126">
        <f>ROUND(146000/3,0)</f>
        <v>48667</v>
      </c>
      <c r="G981" s="62">
        <f t="shared" si="27"/>
        <v>7300</v>
      </c>
      <c r="H981" s="15"/>
      <c r="I981" s="47"/>
      <c r="K981" s="113"/>
    </row>
    <row r="982" spans="1:11" s="4" customFormat="1" x14ac:dyDescent="0.25">
      <c r="A982" s="11"/>
      <c r="B982" s="12"/>
      <c r="C982" s="35"/>
      <c r="D982" s="34"/>
      <c r="E982" s="118"/>
      <c r="F982" s="118"/>
      <c r="G982" s="14">
        <f t="shared" si="27"/>
        <v>0</v>
      </c>
      <c r="H982" s="15"/>
      <c r="I982" s="47"/>
      <c r="K982" s="113"/>
    </row>
    <row r="983" spans="1:11" s="4" customFormat="1" x14ac:dyDescent="0.25">
      <c r="A983" s="11"/>
      <c r="B983" s="12"/>
      <c r="C983" s="35"/>
      <c r="D983" s="34"/>
      <c r="E983" s="118"/>
      <c r="F983" s="118"/>
      <c r="G983" s="14">
        <f t="shared" si="27"/>
        <v>0</v>
      </c>
      <c r="H983" s="15"/>
      <c r="I983" s="47"/>
      <c r="K983" s="113"/>
    </row>
    <row r="984" spans="1:11" s="4" customFormat="1" x14ac:dyDescent="0.25">
      <c r="A984" s="11"/>
      <c r="B984" s="12"/>
      <c r="C984" s="35"/>
      <c r="D984" s="34"/>
      <c r="E984" s="118"/>
      <c r="F984" s="118"/>
      <c r="G984" s="14">
        <f t="shared" si="27"/>
        <v>0</v>
      </c>
      <c r="H984" s="15"/>
      <c r="I984" s="47"/>
      <c r="K984" s="113"/>
    </row>
    <row r="985" spans="1:11" s="4" customFormat="1" hidden="1" x14ac:dyDescent="0.25">
      <c r="A985" s="11"/>
      <c r="B985" s="12"/>
      <c r="C985" s="35"/>
      <c r="D985" s="34"/>
      <c r="E985" s="118"/>
      <c r="F985" s="118"/>
      <c r="G985" s="14">
        <f t="shared" si="27"/>
        <v>0</v>
      </c>
      <c r="H985" s="15"/>
      <c r="I985" s="47"/>
      <c r="K985" s="113"/>
    </row>
    <row r="986" spans="1:11" s="4" customFormat="1" hidden="1" x14ac:dyDescent="0.25">
      <c r="A986" s="11"/>
      <c r="B986" s="12"/>
      <c r="C986" s="35"/>
      <c r="D986" s="34"/>
      <c r="E986" s="118"/>
      <c r="F986" s="118"/>
      <c r="G986" s="14">
        <f t="shared" si="27"/>
        <v>0</v>
      </c>
      <c r="H986" s="15"/>
      <c r="I986" s="47"/>
      <c r="K986" s="113"/>
    </row>
    <row r="987" spans="1:11" s="4" customFormat="1" x14ac:dyDescent="0.25">
      <c r="A987" s="11"/>
      <c r="B987" s="12"/>
      <c r="C987" s="35"/>
      <c r="D987" s="34"/>
      <c r="E987" s="118"/>
      <c r="F987" s="118"/>
      <c r="G987" s="14">
        <f t="shared" si="27"/>
        <v>0</v>
      </c>
      <c r="H987" s="15"/>
      <c r="I987" s="47"/>
      <c r="K987" s="113"/>
    </row>
    <row r="988" spans="1:11" s="4" customFormat="1" x14ac:dyDescent="0.25">
      <c r="A988" s="11"/>
      <c r="B988" s="12"/>
      <c r="C988" s="35"/>
      <c r="D988" s="34"/>
      <c r="E988" s="118"/>
      <c r="F988" s="118"/>
      <c r="G988" s="14">
        <f t="shared" si="27"/>
        <v>0</v>
      </c>
      <c r="H988" s="17"/>
      <c r="I988" s="47"/>
      <c r="K988" s="113"/>
    </row>
    <row r="989" spans="1:11" s="4" customFormat="1" x14ac:dyDescent="0.25">
      <c r="A989" s="291"/>
      <c r="B989" s="228"/>
      <c r="C989" s="228"/>
      <c r="D989" s="228"/>
      <c r="E989" s="76"/>
      <c r="F989" s="119" t="s">
        <v>102</v>
      </c>
      <c r="G989" s="38"/>
      <c r="H989" s="23">
        <f>SUM(G980:G988)</f>
        <v>8150</v>
      </c>
      <c r="I989" s="220"/>
      <c r="K989" s="113"/>
    </row>
    <row r="990" spans="1:11" s="4" customFormat="1" x14ac:dyDescent="0.25">
      <c r="A990" s="291"/>
      <c r="B990" s="228"/>
      <c r="C990" s="228"/>
      <c r="D990" s="228"/>
      <c r="E990" s="76"/>
      <c r="F990" s="120" t="s">
        <v>103</v>
      </c>
      <c r="G990" s="38"/>
      <c r="H990" s="23">
        <f>ROUND((D980*G980)+(D981*G981)+(D982*G982)+(D983*G983)+(D984*G984)+(D985*G985)+(D986*G986)+(D987*G987)+(D988*G988),0)</f>
        <v>408</v>
      </c>
      <c r="I990" s="220"/>
      <c r="K990" s="113"/>
    </row>
    <row r="991" spans="1:11" s="4" customFormat="1" x14ac:dyDescent="0.25">
      <c r="A991" s="291"/>
      <c r="B991" s="228"/>
      <c r="C991" s="228"/>
      <c r="D991" s="228"/>
      <c r="E991" s="76"/>
      <c r="F991" s="121" t="s">
        <v>104</v>
      </c>
      <c r="G991" s="40"/>
      <c r="H991" s="23">
        <f>SUM(H989:H990)</f>
        <v>8558</v>
      </c>
      <c r="I991" s="220"/>
      <c r="K991" s="113"/>
    </row>
    <row r="992" spans="1:11" s="4" customFormat="1" x14ac:dyDescent="0.25">
      <c r="A992" s="291" t="s">
        <v>105</v>
      </c>
      <c r="B992" s="228"/>
      <c r="C992" s="228"/>
      <c r="D992" s="228"/>
      <c r="E992" s="228"/>
      <c r="F992" s="228"/>
      <c r="G992" s="47"/>
      <c r="H992" s="233"/>
      <c r="I992" s="47"/>
      <c r="K992" s="113"/>
    </row>
    <row r="993" spans="1:11" s="4" customFormat="1" x14ac:dyDescent="0.25">
      <c r="A993" s="24" t="s">
        <v>0</v>
      </c>
      <c r="B993" s="24"/>
      <c r="C993" s="8" t="s">
        <v>106</v>
      </c>
      <c r="D993" s="8" t="s">
        <v>107</v>
      </c>
      <c r="E993" s="8" t="s">
        <v>108</v>
      </c>
      <c r="F993" s="8" t="s">
        <v>109</v>
      </c>
      <c r="G993" s="41" t="s">
        <v>96</v>
      </c>
      <c r="H993" s="10"/>
      <c r="I993" s="47"/>
      <c r="K993" s="113"/>
    </row>
    <row r="994" spans="1:11" s="4" customFormat="1" x14ac:dyDescent="0.25">
      <c r="A994" s="11" t="s">
        <v>110</v>
      </c>
      <c r="B994" s="12"/>
      <c r="C994" s="13">
        <f>104000+26000</f>
        <v>130000</v>
      </c>
      <c r="D994" s="13">
        <f>+C994*0.16</f>
        <v>20800</v>
      </c>
      <c r="E994" s="14">
        <f>C994+D994</f>
        <v>150800</v>
      </c>
      <c r="F994" s="122">
        <v>0.08</v>
      </c>
      <c r="G994" s="14">
        <f>ROUND(E994*F994,0)</f>
        <v>12064</v>
      </c>
      <c r="H994" s="15"/>
      <c r="I994" s="47"/>
      <c r="K994" s="113"/>
    </row>
    <row r="995" spans="1:11" s="4" customFormat="1" x14ac:dyDescent="0.25">
      <c r="A995" s="11" t="s">
        <v>111</v>
      </c>
      <c r="B995" s="12"/>
      <c r="C995" s="13">
        <f>60400+25850</f>
        <v>86250</v>
      </c>
      <c r="D995" s="13">
        <f>+C995*0.16</f>
        <v>13800</v>
      </c>
      <c r="E995" s="14">
        <f>C995+D995</f>
        <v>100050</v>
      </c>
      <c r="F995" s="122">
        <v>7.0000000000000007E-2</v>
      </c>
      <c r="G995" s="14">
        <f>ROUND(E995*F995,0)</f>
        <v>7004</v>
      </c>
      <c r="H995" s="15"/>
      <c r="I995" s="47"/>
      <c r="K995" s="113"/>
    </row>
    <row r="996" spans="1:11" s="4" customFormat="1" x14ac:dyDescent="0.25">
      <c r="A996" s="11"/>
      <c r="B996" s="12"/>
      <c r="C996" s="13"/>
      <c r="D996" s="13"/>
      <c r="E996" s="118">
        <f>C996+D996</f>
        <v>0</v>
      </c>
      <c r="F996" s="13"/>
      <c r="G996" s="14">
        <f>ROUND(E996*F996,0)</f>
        <v>0</v>
      </c>
      <c r="H996" s="15"/>
      <c r="I996" s="47"/>
      <c r="K996" s="113"/>
    </row>
    <row r="997" spans="1:11" s="4" customFormat="1" x14ac:dyDescent="0.25">
      <c r="A997" s="291"/>
      <c r="B997" s="228"/>
      <c r="C997" s="228"/>
      <c r="D997" s="228"/>
      <c r="E997" s="123" t="s">
        <v>112</v>
      </c>
      <c r="F997" s="119"/>
      <c r="G997" s="277"/>
      <c r="H997" s="23">
        <f>SUM(G994:G996)</f>
        <v>19068</v>
      </c>
      <c r="I997" s="220"/>
      <c r="K997" s="113"/>
    </row>
    <row r="998" spans="1:11" s="4" customFormat="1" x14ac:dyDescent="0.25">
      <c r="A998" s="291"/>
      <c r="B998" s="228"/>
      <c r="C998" s="228"/>
      <c r="D998" s="228"/>
      <c r="E998" s="228"/>
      <c r="F998" s="228"/>
      <c r="G998" s="47"/>
      <c r="H998" s="233"/>
      <c r="I998" s="47"/>
      <c r="K998" s="113"/>
    </row>
    <row r="999" spans="1:11" s="4" customFormat="1" x14ac:dyDescent="0.25">
      <c r="A999" s="18"/>
      <c r="B999" s="19"/>
      <c r="C999" s="19"/>
      <c r="D999" s="19"/>
      <c r="E999" s="49" t="s">
        <v>113</v>
      </c>
      <c r="F999" s="49"/>
      <c r="G999" s="50"/>
      <c r="H999" s="25">
        <f>H997+H991+H977</f>
        <v>69704</v>
      </c>
      <c r="I999" s="222"/>
      <c r="K999" s="113"/>
    </row>
    <row r="1000" spans="1:11" s="4" customFormat="1" x14ac:dyDescent="0.25">
      <c r="A1000" s="291"/>
      <c r="B1000" s="228"/>
      <c r="C1000" s="228"/>
      <c r="D1000" s="228"/>
      <c r="E1000" s="228"/>
      <c r="F1000" s="228"/>
      <c r="G1000" s="47"/>
      <c r="H1000" s="233"/>
      <c r="I1000" s="47"/>
      <c r="K1000" s="113"/>
    </row>
    <row r="1001" spans="1:11" s="4" customFormat="1" x14ac:dyDescent="0.25">
      <c r="A1001" s="291" t="s">
        <v>114</v>
      </c>
      <c r="B1001" s="228"/>
      <c r="C1001" s="228"/>
      <c r="D1001" s="228"/>
      <c r="E1001" s="228"/>
      <c r="F1001" s="228"/>
      <c r="G1001" s="47"/>
      <c r="H1001" s="233"/>
      <c r="I1001" s="47"/>
      <c r="K1001" s="113"/>
    </row>
    <row r="1002" spans="1:11" s="4" customFormat="1" x14ac:dyDescent="0.25">
      <c r="A1002" s="6" t="s">
        <v>0</v>
      </c>
      <c r="B1002" s="49"/>
      <c r="C1002" s="49"/>
      <c r="D1002" s="49"/>
      <c r="E1002" s="7"/>
      <c r="F1002" s="124" t="s">
        <v>115</v>
      </c>
      <c r="G1002" s="9" t="s">
        <v>116</v>
      </c>
      <c r="H1002" s="10"/>
      <c r="I1002" s="47"/>
      <c r="K1002" s="113"/>
    </row>
    <row r="1003" spans="1:11" s="4" customFormat="1" x14ac:dyDescent="0.25">
      <c r="A1003" s="11" t="s">
        <v>205</v>
      </c>
      <c r="B1003" s="51"/>
      <c r="C1003" s="51"/>
      <c r="D1003" s="51"/>
      <c r="E1003" s="12"/>
      <c r="F1003" s="53"/>
      <c r="G1003" s="14">
        <f>ROUND(H999*F1003,0)</f>
        <v>0</v>
      </c>
      <c r="H1003" s="15"/>
      <c r="I1003" s="47"/>
      <c r="K1003" s="113"/>
    </row>
    <row r="1004" spans="1:11" s="4" customFormat="1" hidden="1" x14ac:dyDescent="0.25">
      <c r="A1004" s="11"/>
      <c r="B1004" s="51"/>
      <c r="C1004" s="51"/>
      <c r="D1004" s="51"/>
      <c r="E1004" s="12"/>
      <c r="F1004" s="53"/>
      <c r="G1004" s="14">
        <f>ROUND(H999*F1004,0)</f>
        <v>0</v>
      </c>
      <c r="H1004" s="15"/>
      <c r="I1004" s="47"/>
      <c r="K1004" s="113"/>
    </row>
    <row r="1005" spans="1:11" s="4" customFormat="1" x14ac:dyDescent="0.25">
      <c r="A1005" s="11"/>
      <c r="B1005" s="51"/>
      <c r="C1005" s="51"/>
      <c r="D1005" s="51"/>
      <c r="E1005" s="12"/>
      <c r="F1005" s="53"/>
      <c r="G1005" s="14">
        <f>ROUND(H999*F1005,0)</f>
        <v>0</v>
      </c>
      <c r="H1005" s="17"/>
      <c r="I1005" s="47"/>
      <c r="K1005" s="113"/>
    </row>
    <row r="1006" spans="1:11" s="4" customFormat="1" x14ac:dyDescent="0.25">
      <c r="E1006" s="123" t="s">
        <v>118</v>
      </c>
      <c r="F1006" s="119"/>
      <c r="G1006" s="46"/>
      <c r="H1006" s="36">
        <f>SUM(G1003:G1005)</f>
        <v>0</v>
      </c>
      <c r="I1006" s="220"/>
      <c r="K1006" s="113"/>
    </row>
    <row r="1007" spans="1:11" s="4" customFormat="1" ht="15.75" thickBot="1" x14ac:dyDescent="0.3">
      <c r="I1007" s="228"/>
      <c r="K1007" s="113"/>
    </row>
    <row r="1008" spans="1:11" s="4" customFormat="1" ht="15.75" thickBot="1" x14ac:dyDescent="0.3">
      <c r="E1008" s="125"/>
      <c r="F1008" s="125" t="s">
        <v>119</v>
      </c>
      <c r="G1008" s="125"/>
      <c r="H1008" s="245">
        <f>SUM(H1006+H999)</f>
        <v>69704</v>
      </c>
      <c r="I1008" s="229"/>
      <c r="K1008" s="113"/>
    </row>
    <row r="1015" spans="1:9" x14ac:dyDescent="0.25">
      <c r="A1015" s="412" t="s">
        <v>79</v>
      </c>
      <c r="B1015" s="412"/>
      <c r="C1015" s="412"/>
      <c r="D1015" s="412"/>
      <c r="E1015" s="412"/>
      <c r="F1015" s="412"/>
      <c r="G1015" s="412"/>
      <c r="H1015" s="412"/>
      <c r="I1015" s="250"/>
    </row>
    <row r="1016" spans="1:9" x14ac:dyDescent="0.25">
      <c r="A1016" s="4"/>
      <c r="B1016" s="4"/>
      <c r="C1016" s="4"/>
      <c r="D1016" s="4"/>
      <c r="E1016" s="5"/>
      <c r="F1016" s="5"/>
      <c r="G1016" s="411" t="s">
        <v>326</v>
      </c>
      <c r="H1016" s="411"/>
      <c r="I1016" s="251"/>
    </row>
    <row r="1017" spans="1:9" ht="46.9" customHeight="1" x14ac:dyDescent="0.25">
      <c r="A1017" s="434" t="s">
        <v>467</v>
      </c>
      <c r="B1017" s="434"/>
      <c r="C1017" s="434"/>
      <c r="D1017" s="434"/>
      <c r="E1017" s="434"/>
      <c r="F1017" s="434"/>
      <c r="G1017" s="434"/>
      <c r="H1017" s="434"/>
      <c r="I1017" s="252"/>
    </row>
    <row r="1018" spans="1:9" x14ac:dyDescent="0.25">
      <c r="A1018" s="4"/>
      <c r="B1018" s="4"/>
      <c r="C1018" s="4"/>
      <c r="D1018" s="4"/>
      <c r="E1018" s="5"/>
      <c r="F1018" s="5"/>
      <c r="G1018" s="414" t="s">
        <v>215</v>
      </c>
      <c r="H1018" s="414"/>
      <c r="I1018" s="253"/>
    </row>
    <row r="1019" spans="1:9" x14ac:dyDescent="0.25">
      <c r="A1019" s="4" t="s">
        <v>82</v>
      </c>
      <c r="B1019" s="4"/>
      <c r="C1019" s="4"/>
      <c r="D1019" s="4"/>
      <c r="E1019" s="5"/>
      <c r="F1019" s="5"/>
      <c r="G1019" s="5"/>
      <c r="H1019" s="5"/>
      <c r="I1019" s="47"/>
    </row>
    <row r="1020" spans="1:9" x14ac:dyDescent="0.25">
      <c r="A1020" s="6" t="s">
        <v>0</v>
      </c>
      <c r="B1020" s="7"/>
      <c r="C1020" s="8" t="s">
        <v>83</v>
      </c>
      <c r="D1020" s="8" t="s">
        <v>84</v>
      </c>
      <c r="E1020" s="9" t="s">
        <v>85</v>
      </c>
      <c r="F1020" s="9" t="s">
        <v>86</v>
      </c>
      <c r="G1020" s="9" t="s">
        <v>87</v>
      </c>
      <c r="H1020" s="10"/>
      <c r="I1020" s="47"/>
    </row>
    <row r="1021" spans="1:9" x14ac:dyDescent="0.25">
      <c r="A1021" s="11" t="s">
        <v>88</v>
      </c>
      <c r="B1021" s="12"/>
      <c r="C1021" s="13"/>
      <c r="D1021" s="13"/>
      <c r="E1021" s="14"/>
      <c r="F1021" s="14"/>
      <c r="G1021" s="14">
        <f>ROUND(H1049*0.05,0)+8-16</f>
        <v>43891</v>
      </c>
      <c r="H1021" s="15"/>
      <c r="I1021" s="47"/>
    </row>
    <row r="1022" spans="1:9" x14ac:dyDescent="0.25">
      <c r="A1022" s="11" t="s">
        <v>327</v>
      </c>
      <c r="B1022" s="12"/>
      <c r="C1022" s="13"/>
      <c r="D1022" s="13"/>
      <c r="E1022" s="14">
        <v>350000</v>
      </c>
      <c r="F1022" s="14">
        <v>1</v>
      </c>
      <c r="G1022" s="14">
        <f>ROUND(E1022*F1022,0)</f>
        <v>350000</v>
      </c>
      <c r="H1022" s="15"/>
      <c r="I1022" s="47"/>
    </row>
    <row r="1023" spans="1:9" x14ac:dyDescent="0.25">
      <c r="A1023" s="11" t="s">
        <v>161</v>
      </c>
      <c r="B1023" s="12"/>
      <c r="C1023" s="13"/>
      <c r="D1023" s="13"/>
      <c r="E1023" s="14"/>
      <c r="F1023" s="16"/>
      <c r="G1023" s="14">
        <f>ROUND(E1023*F1023,0)</f>
        <v>0</v>
      </c>
      <c r="H1023" s="15"/>
      <c r="I1023" s="47"/>
    </row>
    <row r="1024" spans="1:9" x14ac:dyDescent="0.25">
      <c r="A1024" s="11" t="s">
        <v>328</v>
      </c>
      <c r="B1024" s="12"/>
      <c r="C1024" s="13"/>
      <c r="D1024" s="13"/>
      <c r="E1024" s="14">
        <v>50000</v>
      </c>
      <c r="F1024" s="14">
        <v>4</v>
      </c>
      <c r="G1024" s="14">
        <f>ROUND(E1024*F1024,0)</f>
        <v>200000</v>
      </c>
      <c r="H1024" s="17"/>
      <c r="I1024" s="47"/>
    </row>
    <row r="1025" spans="1:9" x14ac:dyDescent="0.25">
      <c r="A1025" s="18"/>
      <c r="B1025" s="19"/>
      <c r="C1025" s="19"/>
      <c r="D1025" s="19"/>
      <c r="E1025" s="20"/>
      <c r="F1025" s="21" t="s">
        <v>90</v>
      </c>
      <c r="G1025" s="22"/>
      <c r="H1025" s="23">
        <f>SUM(G1021:G1024)</f>
        <v>593891</v>
      </c>
      <c r="I1025" s="220"/>
    </row>
    <row r="1026" spans="1:9" x14ac:dyDescent="0.25">
      <c r="A1026" s="291" t="s">
        <v>91</v>
      </c>
      <c r="B1026" s="228"/>
      <c r="C1026" s="228"/>
      <c r="D1026" s="228"/>
      <c r="E1026" s="47"/>
      <c r="F1026" s="47"/>
      <c r="G1026" s="47"/>
      <c r="H1026" s="233"/>
      <c r="I1026" s="47"/>
    </row>
    <row r="1027" spans="1:9" x14ac:dyDescent="0.25">
      <c r="A1027" s="24" t="s">
        <v>0</v>
      </c>
      <c r="B1027" s="24"/>
      <c r="C1027" s="8" t="s">
        <v>92</v>
      </c>
      <c r="D1027" s="8" t="s">
        <v>93</v>
      </c>
      <c r="E1027" s="9" t="s">
        <v>94</v>
      </c>
      <c r="F1027" s="9" t="s">
        <v>95</v>
      </c>
      <c r="G1027" s="25" t="s">
        <v>96</v>
      </c>
      <c r="H1027" s="10"/>
      <c r="I1027" s="47"/>
    </row>
    <row r="1028" spans="1:9" x14ac:dyDescent="0.25">
      <c r="A1028" s="490" t="s">
        <v>466</v>
      </c>
      <c r="B1028" s="491"/>
      <c r="C1028" s="104" t="s">
        <v>18</v>
      </c>
      <c r="D1028" s="105">
        <v>0.05</v>
      </c>
      <c r="E1028" s="30">
        <v>1</v>
      </c>
      <c r="F1028" s="14">
        <v>1405000</v>
      </c>
      <c r="G1028" s="14">
        <f t="shared" ref="G1028:G1040" si="28">ROUND(E1028*F1028,0)</f>
        <v>1405000</v>
      </c>
      <c r="H1028" s="15"/>
      <c r="I1028" s="47"/>
    </row>
    <row r="1029" spans="1:9" x14ac:dyDescent="0.25">
      <c r="A1029" s="470" t="s">
        <v>213</v>
      </c>
      <c r="B1029" s="471"/>
      <c r="C1029" s="104" t="s">
        <v>9</v>
      </c>
      <c r="D1029" s="105">
        <v>0.05</v>
      </c>
      <c r="E1029" s="30">
        <v>6</v>
      </c>
      <c r="F1029" s="14">
        <v>15000</v>
      </c>
      <c r="G1029" s="14">
        <f t="shared" si="28"/>
        <v>90000</v>
      </c>
      <c r="H1029" s="15"/>
      <c r="I1029" s="47"/>
    </row>
    <row r="1030" spans="1:9" hidden="1" x14ac:dyDescent="0.25">
      <c r="A1030" s="472"/>
      <c r="B1030" s="473"/>
      <c r="C1030" s="104"/>
      <c r="D1030" s="31"/>
      <c r="E1030" s="30"/>
      <c r="F1030" s="14"/>
      <c r="G1030" s="14">
        <f t="shared" si="28"/>
        <v>0</v>
      </c>
      <c r="H1030" s="15"/>
      <c r="I1030" s="47"/>
    </row>
    <row r="1031" spans="1:9" x14ac:dyDescent="0.25">
      <c r="A1031" s="472" t="s">
        <v>207</v>
      </c>
      <c r="B1031" s="473"/>
      <c r="C1031" s="104" t="s">
        <v>18</v>
      </c>
      <c r="D1031" s="105"/>
      <c r="E1031" s="30">
        <v>1</v>
      </c>
      <c r="F1031" s="14">
        <v>28000</v>
      </c>
      <c r="G1031" s="14">
        <f t="shared" si="28"/>
        <v>28000</v>
      </c>
      <c r="H1031" s="15"/>
      <c r="I1031" s="47"/>
    </row>
    <row r="1032" spans="1:9" x14ac:dyDescent="0.25">
      <c r="A1032" s="472" t="s">
        <v>214</v>
      </c>
      <c r="B1032" s="473"/>
      <c r="C1032" s="104" t="s">
        <v>18</v>
      </c>
      <c r="D1032" s="31"/>
      <c r="E1032" s="30">
        <v>1</v>
      </c>
      <c r="F1032" s="14">
        <v>97000</v>
      </c>
      <c r="G1032" s="14">
        <f t="shared" si="28"/>
        <v>97000</v>
      </c>
      <c r="H1032" s="15"/>
      <c r="I1032" s="47"/>
    </row>
    <row r="1033" spans="1:9" x14ac:dyDescent="0.25">
      <c r="A1033" s="472" t="s">
        <v>208</v>
      </c>
      <c r="B1033" s="473"/>
      <c r="C1033" s="35" t="s">
        <v>158</v>
      </c>
      <c r="D1033" s="34"/>
      <c r="E1033" s="30">
        <v>1</v>
      </c>
      <c r="F1033" s="14">
        <v>70000</v>
      </c>
      <c r="G1033" s="14">
        <f t="shared" si="28"/>
        <v>70000</v>
      </c>
      <c r="H1033" s="15"/>
      <c r="I1033" s="47"/>
    </row>
    <row r="1034" spans="1:9" x14ac:dyDescent="0.25">
      <c r="A1034" s="472" t="s">
        <v>209</v>
      </c>
      <c r="B1034" s="473"/>
      <c r="C1034" s="35" t="s">
        <v>18</v>
      </c>
      <c r="D1034" s="31"/>
      <c r="E1034" s="30">
        <v>0.5</v>
      </c>
      <c r="F1034" s="14">
        <v>88000</v>
      </c>
      <c r="G1034" s="14">
        <f t="shared" si="28"/>
        <v>44000</v>
      </c>
      <c r="H1034" s="15"/>
      <c r="I1034" s="47"/>
    </row>
    <row r="1035" spans="1:9" x14ac:dyDescent="0.25">
      <c r="A1035" s="472" t="s">
        <v>210</v>
      </c>
      <c r="B1035" s="473"/>
      <c r="C1035" s="35" t="s">
        <v>18</v>
      </c>
      <c r="D1035" s="31"/>
      <c r="E1035" s="30">
        <v>1</v>
      </c>
      <c r="F1035" s="14">
        <v>3500</v>
      </c>
      <c r="G1035" s="14">
        <f t="shared" si="28"/>
        <v>3500</v>
      </c>
      <c r="H1035" s="15"/>
      <c r="I1035" s="47"/>
    </row>
    <row r="1036" spans="1:9" x14ac:dyDescent="0.25">
      <c r="A1036" s="492" t="s">
        <v>361</v>
      </c>
      <c r="B1036" s="493"/>
      <c r="C1036" s="35" t="s">
        <v>212</v>
      </c>
      <c r="D1036" s="31"/>
      <c r="E1036" s="30">
        <f>1.5*1.5*0.1</f>
        <v>0.22500000000000001</v>
      </c>
      <c r="F1036" s="74">
        <f>+$H$3523</f>
        <v>2838505</v>
      </c>
      <c r="G1036" s="14">
        <f t="shared" si="28"/>
        <v>638664</v>
      </c>
      <c r="H1036" s="15"/>
      <c r="I1036" s="47"/>
    </row>
    <row r="1037" spans="1:9" x14ac:dyDescent="0.25">
      <c r="A1037" s="472" t="s">
        <v>211</v>
      </c>
      <c r="B1037" s="473"/>
      <c r="C1037" s="35" t="s">
        <v>7</v>
      </c>
      <c r="D1037" s="31"/>
      <c r="E1037" s="30">
        <v>1.5</v>
      </c>
      <c r="F1037" s="14">
        <f>ROUND(204000/(6*2.34),0)</f>
        <v>14530</v>
      </c>
      <c r="G1037" s="14">
        <f t="shared" si="28"/>
        <v>21795</v>
      </c>
      <c r="H1037" s="15"/>
      <c r="I1037" s="47"/>
    </row>
    <row r="1038" spans="1:9" x14ac:dyDescent="0.25">
      <c r="A1038" s="108"/>
      <c r="B1038" s="109"/>
      <c r="C1038" s="35"/>
      <c r="D1038" s="31"/>
      <c r="E1038" s="30"/>
      <c r="F1038" s="14"/>
      <c r="G1038" s="14"/>
      <c r="H1038" s="15"/>
      <c r="I1038" s="47"/>
    </row>
    <row r="1039" spans="1:9" hidden="1" x14ac:dyDescent="0.25">
      <c r="A1039" s="108"/>
      <c r="B1039" s="109"/>
      <c r="C1039" s="35"/>
      <c r="D1039" s="31"/>
      <c r="E1039" s="30"/>
      <c r="F1039" s="14"/>
      <c r="G1039" s="14"/>
      <c r="H1039" s="15"/>
      <c r="I1039" s="47"/>
    </row>
    <row r="1040" spans="1:9" hidden="1" x14ac:dyDescent="0.25">
      <c r="A1040" s="108"/>
      <c r="B1040" s="109"/>
      <c r="C1040" s="35"/>
      <c r="D1040" s="31"/>
      <c r="E1040" s="30"/>
      <c r="F1040" s="14"/>
      <c r="G1040" s="14">
        <f t="shared" si="28"/>
        <v>0</v>
      </c>
      <c r="H1040" s="17"/>
      <c r="I1040" s="47"/>
    </row>
    <row r="1041" spans="1:9" x14ac:dyDescent="0.25">
      <c r="A1041" s="297"/>
      <c r="B1041" s="255"/>
      <c r="C1041" s="228"/>
      <c r="D1041" s="228"/>
      <c r="E1041" s="36"/>
      <c r="F1041" s="37" t="s">
        <v>102</v>
      </c>
      <c r="G1041" s="38"/>
      <c r="H1041" s="23">
        <f>SUM(G1028:G1040)</f>
        <v>2397959</v>
      </c>
      <c r="I1041" s="220"/>
    </row>
    <row r="1042" spans="1:9" x14ac:dyDescent="0.25">
      <c r="A1042" s="291"/>
      <c r="B1042" s="228"/>
      <c r="C1042" s="228"/>
      <c r="D1042" s="228"/>
      <c r="E1042" s="36"/>
      <c r="F1042" s="39" t="s">
        <v>103</v>
      </c>
      <c r="G1042" s="38"/>
      <c r="H1042" s="23">
        <f>ROUND((D1028*G1028)+(D1029*G1029)+(D1030*G1030)+(D1031*G1031)+(D1032*G1032)+(D1033*G1033)+(D1034*G1034)+(D1040*G1040),0)</f>
        <v>74750</v>
      </c>
      <c r="I1042" s="220"/>
    </row>
    <row r="1043" spans="1:9" x14ac:dyDescent="0.25">
      <c r="A1043" s="291"/>
      <c r="B1043" s="228"/>
      <c r="C1043" s="228"/>
      <c r="D1043" s="228"/>
      <c r="E1043" s="36"/>
      <c r="F1043" s="20" t="s">
        <v>104</v>
      </c>
      <c r="G1043" s="40"/>
      <c r="H1043" s="23">
        <f>SUM(H1041:H1042)</f>
        <v>2472709</v>
      </c>
      <c r="I1043" s="220"/>
    </row>
    <row r="1044" spans="1:9" x14ac:dyDescent="0.25">
      <c r="A1044" s="291" t="s">
        <v>105</v>
      </c>
      <c r="B1044" s="228"/>
      <c r="C1044" s="228"/>
      <c r="D1044" s="228"/>
      <c r="E1044" s="47"/>
      <c r="F1044" s="47"/>
      <c r="G1044" s="47"/>
      <c r="H1044" s="233"/>
      <c r="I1044" s="47"/>
    </row>
    <row r="1045" spans="1:9" x14ac:dyDescent="0.25">
      <c r="A1045" s="24" t="s">
        <v>0</v>
      </c>
      <c r="B1045" s="24"/>
      <c r="C1045" s="8" t="s">
        <v>106</v>
      </c>
      <c r="D1045" s="8" t="s">
        <v>107</v>
      </c>
      <c r="E1045" s="9" t="s">
        <v>108</v>
      </c>
      <c r="F1045" s="9" t="s">
        <v>109</v>
      </c>
      <c r="G1045" s="41" t="s">
        <v>96</v>
      </c>
      <c r="H1045" s="10"/>
      <c r="I1045" s="47"/>
    </row>
    <row r="1046" spans="1:9" x14ac:dyDescent="0.25">
      <c r="A1046" s="18" t="s">
        <v>110</v>
      </c>
      <c r="B1046" s="42"/>
      <c r="C1046" s="13">
        <f>104000+26000</f>
        <v>130000</v>
      </c>
      <c r="D1046" s="13">
        <f>+C1046*0.16</f>
        <v>20800</v>
      </c>
      <c r="E1046" s="14">
        <f>C1046+D1046</f>
        <v>150800</v>
      </c>
      <c r="F1046" s="30">
        <v>3.5</v>
      </c>
      <c r="G1046" s="14">
        <f>ROUND(E1046*F1046,0)</f>
        <v>527800</v>
      </c>
      <c r="H1046" s="15"/>
      <c r="I1046" s="47"/>
    </row>
    <row r="1047" spans="1:9" x14ac:dyDescent="0.25">
      <c r="A1047" s="18" t="s">
        <v>111</v>
      </c>
      <c r="B1047" s="42"/>
      <c r="C1047" s="13">
        <f>60400+25850</f>
        <v>86250</v>
      </c>
      <c r="D1047" s="13">
        <f>+C1047*0.16</f>
        <v>13800</v>
      </c>
      <c r="E1047" s="14">
        <f>C1047+D1047</f>
        <v>100050</v>
      </c>
      <c r="F1047" s="30">
        <v>3.5</v>
      </c>
      <c r="G1047" s="14">
        <f>ROUND(E1047*F1047,0)</f>
        <v>350175</v>
      </c>
      <c r="H1047" s="15"/>
      <c r="I1047" s="47"/>
    </row>
    <row r="1048" spans="1:9" x14ac:dyDescent="0.25">
      <c r="A1048" s="18"/>
      <c r="B1048" s="42"/>
      <c r="C1048" s="43"/>
      <c r="D1048" s="43"/>
      <c r="E1048" s="44">
        <f>C1048+D1048</f>
        <v>0</v>
      </c>
      <c r="F1048" s="45"/>
      <c r="G1048" s="14">
        <f>ROUND(E1048*F1048,0)</f>
        <v>0</v>
      </c>
      <c r="H1048" s="15"/>
      <c r="I1048" s="47"/>
    </row>
    <row r="1049" spans="1:9" x14ac:dyDescent="0.25">
      <c r="A1049" s="291"/>
      <c r="B1049" s="228"/>
      <c r="C1049" s="228"/>
      <c r="D1049" s="228"/>
      <c r="E1049" s="277" t="s">
        <v>112</v>
      </c>
      <c r="F1049" s="277"/>
      <c r="G1049" s="277"/>
      <c r="H1049" s="82">
        <f>SUM(G1046:G1048)</f>
        <v>877975</v>
      </c>
      <c r="I1049" s="221"/>
    </row>
    <row r="1050" spans="1:9" x14ac:dyDescent="0.25">
      <c r="A1050" s="291"/>
      <c r="B1050" s="228"/>
      <c r="C1050" s="228"/>
      <c r="D1050" s="228"/>
      <c r="E1050" s="47"/>
      <c r="F1050" s="47"/>
      <c r="G1050" s="47"/>
      <c r="H1050" s="233"/>
      <c r="I1050" s="47"/>
    </row>
    <row r="1051" spans="1:9" x14ac:dyDescent="0.25">
      <c r="A1051" s="18"/>
      <c r="B1051" s="19"/>
      <c r="C1051" s="19"/>
      <c r="D1051" s="19"/>
      <c r="E1051" s="48" t="s">
        <v>113</v>
      </c>
      <c r="F1051" s="48"/>
      <c r="G1051" s="48"/>
      <c r="H1051" s="25">
        <f>H1049+H1043+H1025</f>
        <v>3944575</v>
      </c>
      <c r="I1051" s="222"/>
    </row>
    <row r="1052" spans="1:9" x14ac:dyDescent="0.25">
      <c r="A1052" s="291"/>
      <c r="B1052" s="228"/>
      <c r="C1052" s="228"/>
      <c r="D1052" s="228"/>
      <c r="E1052" s="47"/>
      <c r="F1052" s="47"/>
      <c r="G1052" s="47"/>
      <c r="H1052" s="233"/>
      <c r="I1052" s="47"/>
    </row>
    <row r="1053" spans="1:9" x14ac:dyDescent="0.25">
      <c r="A1053" s="291" t="s">
        <v>114</v>
      </c>
      <c r="B1053" s="228"/>
      <c r="C1053" s="228"/>
      <c r="D1053" s="228"/>
      <c r="E1053" s="47"/>
      <c r="F1053" s="47"/>
      <c r="G1053" s="47"/>
      <c r="H1053" s="233"/>
      <c r="I1053" s="47"/>
    </row>
    <row r="1054" spans="1:9" x14ac:dyDescent="0.25">
      <c r="A1054" s="6" t="s">
        <v>0</v>
      </c>
      <c r="B1054" s="49"/>
      <c r="C1054" s="49"/>
      <c r="D1054" s="49"/>
      <c r="E1054" s="50"/>
      <c r="F1054" s="9" t="s">
        <v>115</v>
      </c>
      <c r="G1054" s="41" t="s">
        <v>116</v>
      </c>
      <c r="H1054" s="10"/>
      <c r="I1054" s="47"/>
    </row>
    <row r="1055" spans="1:9" x14ac:dyDescent="0.25">
      <c r="A1055" s="11" t="s">
        <v>117</v>
      </c>
      <c r="B1055" s="51"/>
      <c r="C1055" s="51"/>
      <c r="D1055" s="51"/>
      <c r="E1055" s="52"/>
      <c r="F1055" s="53"/>
      <c r="G1055" s="14">
        <f>F1055*H1051</f>
        <v>0</v>
      </c>
      <c r="H1055" s="17"/>
      <c r="I1055" s="47"/>
    </row>
    <row r="1056" spans="1:9" hidden="1" x14ac:dyDescent="0.25">
      <c r="A1056" s="81"/>
      <c r="B1056" s="301"/>
      <c r="C1056" s="301"/>
      <c r="D1056" s="301"/>
      <c r="E1056" s="302"/>
      <c r="F1056" s="303"/>
      <c r="G1056" s="304">
        <f>F1056*H1051</f>
        <v>0</v>
      </c>
      <c r="H1056" s="236"/>
      <c r="I1056" s="47"/>
    </row>
    <row r="1057" spans="1:9" hidden="1" x14ac:dyDescent="0.25">
      <c r="A1057" s="11"/>
      <c r="B1057" s="51"/>
      <c r="C1057" s="51"/>
      <c r="D1057" s="51"/>
      <c r="E1057" s="52"/>
      <c r="F1057" s="53"/>
      <c r="G1057" s="14">
        <f>F1057*H1051</f>
        <v>0</v>
      </c>
      <c r="H1057" s="237"/>
      <c r="I1057" s="47"/>
    </row>
    <row r="1058" spans="1:9" x14ac:dyDescent="0.25">
      <c r="A1058" s="4"/>
      <c r="B1058" s="4"/>
      <c r="C1058" s="4"/>
      <c r="D1058" s="4"/>
      <c r="E1058" s="46" t="s">
        <v>118</v>
      </c>
      <c r="F1058" s="46"/>
      <c r="G1058" s="46"/>
      <c r="H1058" s="36">
        <f>SUM(G1055:G1057)</f>
        <v>0</v>
      </c>
      <c r="I1058" s="220"/>
    </row>
    <row r="1059" spans="1:9" ht="15.75" thickBot="1" x14ac:dyDescent="0.3">
      <c r="A1059" s="4"/>
      <c r="B1059" s="4"/>
      <c r="C1059" s="4"/>
      <c r="D1059" s="4"/>
      <c r="E1059" s="5"/>
      <c r="F1059" s="5"/>
      <c r="G1059" s="5"/>
      <c r="H1059" s="5"/>
      <c r="I1059" s="47"/>
    </row>
    <row r="1060" spans="1:9" ht="15.75" thickBot="1" x14ac:dyDescent="0.3">
      <c r="A1060" s="4"/>
      <c r="B1060" s="4"/>
      <c r="C1060" s="4"/>
      <c r="D1060" s="4"/>
      <c r="E1060" s="54"/>
      <c r="F1060" s="54" t="s">
        <v>119</v>
      </c>
      <c r="G1060" s="54"/>
      <c r="H1060" s="240">
        <f>SUM(H1058+H1051)</f>
        <v>3944575</v>
      </c>
      <c r="I1060" s="112"/>
    </row>
    <row r="1061" spans="1:9" x14ac:dyDescent="0.25">
      <c r="A1061" s="4"/>
      <c r="B1061" s="4"/>
      <c r="C1061" s="4"/>
      <c r="D1061" s="4"/>
      <c r="E1061" s="54"/>
      <c r="F1061" s="54"/>
      <c r="G1061" s="54"/>
      <c r="H1061" s="112"/>
      <c r="I1061" s="112"/>
    </row>
    <row r="1062" spans="1:9" x14ac:dyDescent="0.25">
      <c r="A1062" s="4"/>
      <c r="B1062" s="4"/>
      <c r="C1062" s="4"/>
      <c r="D1062" s="4"/>
      <c r="E1062" s="54"/>
      <c r="F1062" s="54"/>
      <c r="G1062" s="54"/>
      <c r="H1062" s="112"/>
      <c r="I1062" s="112"/>
    </row>
    <row r="1067" spans="1:9" x14ac:dyDescent="0.25">
      <c r="A1067" s="412" t="s">
        <v>79</v>
      </c>
      <c r="B1067" s="412"/>
      <c r="C1067" s="412"/>
      <c r="D1067" s="412"/>
      <c r="E1067" s="412"/>
      <c r="F1067" s="412"/>
      <c r="G1067" s="412"/>
      <c r="H1067" s="412"/>
      <c r="I1067" s="250"/>
    </row>
    <row r="1068" spans="1:9" x14ac:dyDescent="0.25">
      <c r="A1068" s="187"/>
      <c r="B1068" s="187"/>
      <c r="C1068" s="187"/>
      <c r="D1068" s="187"/>
      <c r="E1068" s="188"/>
      <c r="F1068" s="188"/>
      <c r="G1068" s="189"/>
      <c r="H1068" s="189"/>
      <c r="I1068" s="260"/>
    </row>
    <row r="1069" spans="1:9" x14ac:dyDescent="0.25">
      <c r="E1069" s="5"/>
      <c r="F1069" s="5"/>
      <c r="G1069" s="411" t="s">
        <v>326</v>
      </c>
      <c r="H1069" s="411"/>
      <c r="I1069" s="251"/>
    </row>
    <row r="1070" spans="1:9" x14ac:dyDescent="0.25">
      <c r="A1070" s="90" t="s">
        <v>216</v>
      </c>
      <c r="E1070" s="5"/>
      <c r="F1070" s="5"/>
      <c r="G1070" s="91"/>
      <c r="H1070" s="91"/>
      <c r="I1070" s="261"/>
    </row>
    <row r="1071" spans="1:9" x14ac:dyDescent="0.25">
      <c r="E1071" s="5"/>
      <c r="F1071" s="5"/>
      <c r="G1071" s="508" t="s">
        <v>81</v>
      </c>
      <c r="H1071" s="508"/>
      <c r="I1071" s="262"/>
    </row>
    <row r="1072" spans="1:9" x14ac:dyDescent="0.25">
      <c r="A1072" t="s">
        <v>82</v>
      </c>
      <c r="E1072" s="5"/>
      <c r="F1072" s="5"/>
      <c r="G1072" s="5"/>
      <c r="H1072" s="5"/>
      <c r="I1072" s="47"/>
    </row>
    <row r="1073" spans="1:9" x14ac:dyDescent="0.25">
      <c r="A1073" s="92" t="s">
        <v>0</v>
      </c>
      <c r="B1073" s="93"/>
      <c r="C1073" s="94" t="s">
        <v>83</v>
      </c>
      <c r="D1073" s="94" t="s">
        <v>84</v>
      </c>
      <c r="E1073" s="9" t="s">
        <v>85</v>
      </c>
      <c r="F1073" s="9" t="s">
        <v>86</v>
      </c>
      <c r="G1073" s="9" t="s">
        <v>87</v>
      </c>
      <c r="H1073" s="10"/>
      <c r="I1073" s="47"/>
    </row>
    <row r="1074" spans="1:9" x14ac:dyDescent="0.25">
      <c r="A1074" s="26" t="s">
        <v>88</v>
      </c>
      <c r="B1074" s="27"/>
      <c r="C1074" s="95"/>
      <c r="D1074" s="95"/>
      <c r="E1074" s="14"/>
      <c r="F1074" s="14"/>
      <c r="G1074" s="14">
        <f>ROUND(H1102*0.05,0)</f>
        <v>3036</v>
      </c>
      <c r="H1074" s="15"/>
      <c r="I1074" s="47"/>
    </row>
    <row r="1075" spans="1:9" x14ac:dyDescent="0.25">
      <c r="A1075" s="11" t="s">
        <v>327</v>
      </c>
      <c r="B1075" s="12"/>
      <c r="C1075" s="13"/>
      <c r="D1075" s="13"/>
      <c r="E1075" s="14">
        <v>350000</v>
      </c>
      <c r="F1075" s="14">
        <v>0.15</v>
      </c>
      <c r="G1075" s="14">
        <f>ROUND(E1075*F1075,0)</f>
        <v>52500</v>
      </c>
      <c r="H1075" s="15"/>
      <c r="I1075" s="47"/>
    </row>
    <row r="1076" spans="1:9" x14ac:dyDescent="0.25">
      <c r="A1076" s="26" t="s">
        <v>352</v>
      </c>
      <c r="B1076" s="27"/>
      <c r="C1076" s="95"/>
      <c r="D1076" s="95"/>
      <c r="E1076" s="74">
        <v>15000</v>
      </c>
      <c r="F1076" s="16">
        <v>0.25</v>
      </c>
      <c r="G1076" s="14">
        <f>ROUND(E1076*F1076,0)</f>
        <v>3750</v>
      </c>
      <c r="H1076" s="15"/>
      <c r="I1076" s="47"/>
    </row>
    <row r="1077" spans="1:9" x14ac:dyDescent="0.25">
      <c r="A1077" s="11" t="s">
        <v>328</v>
      </c>
      <c r="B1077" s="27"/>
      <c r="C1077" s="95"/>
      <c r="D1077" s="95"/>
      <c r="E1077" s="14">
        <v>50000</v>
      </c>
      <c r="F1077" s="14">
        <v>1</v>
      </c>
      <c r="G1077" s="14">
        <f>ROUND(E1077*F1077,0)</f>
        <v>50000</v>
      </c>
      <c r="H1077" s="17"/>
      <c r="I1077" s="47"/>
    </row>
    <row r="1078" spans="1:9" x14ac:dyDescent="0.25">
      <c r="A1078" s="96"/>
      <c r="B1078" s="97"/>
      <c r="C1078" s="97"/>
      <c r="D1078" s="97"/>
      <c r="E1078" s="98"/>
      <c r="F1078" s="99" t="s">
        <v>90</v>
      </c>
      <c r="G1078" s="22"/>
      <c r="H1078" s="23">
        <f>SUM(G1074:G1077)</f>
        <v>109286</v>
      </c>
      <c r="I1078" s="220"/>
    </row>
    <row r="1079" spans="1:9" x14ac:dyDescent="0.25">
      <c r="A1079" s="297" t="s">
        <v>91</v>
      </c>
      <c r="B1079" s="255"/>
      <c r="C1079" s="255"/>
      <c r="D1079" s="255"/>
      <c r="E1079" s="47"/>
      <c r="F1079" s="47"/>
      <c r="G1079" s="47"/>
      <c r="H1079" s="233"/>
      <c r="I1079" s="47"/>
    </row>
    <row r="1080" spans="1:9" x14ac:dyDescent="0.25">
      <c r="A1080" s="100" t="s">
        <v>0</v>
      </c>
      <c r="B1080" s="100"/>
      <c r="C1080" s="94" t="s">
        <v>92</v>
      </c>
      <c r="D1080" s="94" t="s">
        <v>93</v>
      </c>
      <c r="E1080" s="9" t="s">
        <v>94</v>
      </c>
      <c r="F1080" s="9" t="s">
        <v>95</v>
      </c>
      <c r="G1080" s="25" t="s">
        <v>96</v>
      </c>
      <c r="H1080" s="10"/>
      <c r="I1080" s="47"/>
    </row>
    <row r="1081" spans="1:9" x14ac:dyDescent="0.25">
      <c r="A1081" s="485" t="s">
        <v>180</v>
      </c>
      <c r="B1081" s="486"/>
      <c r="C1081" s="28" t="s">
        <v>9</v>
      </c>
      <c r="D1081" s="29">
        <v>0.05</v>
      </c>
      <c r="E1081" s="30">
        <v>1</v>
      </c>
      <c r="F1081" s="14">
        <f>(87000)/3</f>
        <v>29000</v>
      </c>
      <c r="G1081" s="14">
        <f t="shared" ref="G1081:G1093" si="29">ROUND(E1081*F1081,0)</f>
        <v>29000</v>
      </c>
      <c r="H1081" s="15"/>
      <c r="I1081" s="47"/>
    </row>
    <row r="1082" spans="1:9" x14ac:dyDescent="0.25">
      <c r="A1082" s="485" t="s">
        <v>181</v>
      </c>
      <c r="B1082" s="486"/>
      <c r="C1082" s="28" t="s">
        <v>18</v>
      </c>
      <c r="D1082" s="31"/>
      <c r="E1082" s="30">
        <v>0.35</v>
      </c>
      <c r="F1082" s="14">
        <v>19000</v>
      </c>
      <c r="G1082" s="14">
        <f t="shared" si="29"/>
        <v>6650</v>
      </c>
      <c r="H1082" s="15"/>
      <c r="I1082" s="47"/>
    </row>
    <row r="1083" spans="1:9" x14ac:dyDescent="0.25">
      <c r="A1083" s="485" t="s">
        <v>182</v>
      </c>
      <c r="B1083" s="486"/>
      <c r="C1083" s="28" t="s">
        <v>18</v>
      </c>
      <c r="D1083" s="29"/>
      <c r="E1083" s="30"/>
      <c r="F1083" s="14">
        <v>26000</v>
      </c>
      <c r="G1083" s="14">
        <f t="shared" si="29"/>
        <v>0</v>
      </c>
      <c r="H1083" s="15"/>
      <c r="I1083" s="47"/>
    </row>
    <row r="1084" spans="1:9" x14ac:dyDescent="0.25">
      <c r="A1084" s="485" t="s">
        <v>183</v>
      </c>
      <c r="B1084" s="486"/>
      <c r="C1084" s="28" t="s">
        <v>18</v>
      </c>
      <c r="D1084" s="31"/>
      <c r="E1084" s="30">
        <v>0.75</v>
      </c>
      <c r="F1084" s="14">
        <v>3400</v>
      </c>
      <c r="G1084" s="14">
        <f t="shared" si="29"/>
        <v>2550</v>
      </c>
      <c r="H1084" s="15"/>
      <c r="I1084" s="47"/>
    </row>
    <row r="1085" spans="1:9" x14ac:dyDescent="0.25">
      <c r="A1085" s="485" t="s">
        <v>184</v>
      </c>
      <c r="B1085" s="486"/>
      <c r="C1085" s="28" t="s">
        <v>18</v>
      </c>
      <c r="D1085" s="29"/>
      <c r="E1085" s="30"/>
      <c r="F1085" s="14">
        <v>6900</v>
      </c>
      <c r="G1085" s="14">
        <f t="shared" si="29"/>
        <v>0</v>
      </c>
      <c r="H1085" s="15"/>
      <c r="I1085" s="47"/>
    </row>
    <row r="1086" spans="1:9" x14ac:dyDescent="0.25">
      <c r="A1086" s="485" t="s">
        <v>185</v>
      </c>
      <c r="B1086" s="486"/>
      <c r="C1086" s="28" t="s">
        <v>18</v>
      </c>
      <c r="D1086" s="31"/>
      <c r="E1086" s="30"/>
      <c r="F1086" s="14">
        <v>8000</v>
      </c>
      <c r="G1086" s="14">
        <f t="shared" si="29"/>
        <v>0</v>
      </c>
      <c r="H1086" s="15"/>
      <c r="I1086" s="47"/>
    </row>
    <row r="1087" spans="1:9" x14ac:dyDescent="0.25">
      <c r="A1087" s="485" t="s">
        <v>186</v>
      </c>
      <c r="B1087" s="486"/>
      <c r="C1087" s="28" t="s">
        <v>18</v>
      </c>
      <c r="D1087" s="31"/>
      <c r="E1087" s="30">
        <v>0.35</v>
      </c>
      <c r="F1087" s="14">
        <v>4000</v>
      </c>
      <c r="G1087" s="14">
        <f t="shared" si="29"/>
        <v>1400</v>
      </c>
      <c r="H1087" s="15"/>
      <c r="I1087" s="47"/>
    </row>
    <row r="1088" spans="1:9" x14ac:dyDescent="0.25">
      <c r="A1088" s="485" t="s">
        <v>187</v>
      </c>
      <c r="B1088" s="486"/>
      <c r="C1088" s="28" t="s">
        <v>18</v>
      </c>
      <c r="D1088" s="29"/>
      <c r="E1088" s="30"/>
      <c r="F1088" s="14">
        <v>4800</v>
      </c>
      <c r="G1088" s="14">
        <f t="shared" si="29"/>
        <v>0</v>
      </c>
      <c r="H1088" s="15"/>
      <c r="I1088" s="47"/>
    </row>
    <row r="1089" spans="1:12" x14ac:dyDescent="0.25">
      <c r="A1089" s="485" t="s">
        <v>188</v>
      </c>
      <c r="B1089" s="486"/>
      <c r="C1089" s="28" t="s">
        <v>18</v>
      </c>
      <c r="D1089" s="31"/>
      <c r="E1089" s="30"/>
      <c r="F1089" s="14">
        <v>2600</v>
      </c>
      <c r="G1089" s="14">
        <f t="shared" si="29"/>
        <v>0</v>
      </c>
      <c r="H1089" s="15"/>
      <c r="I1089" s="47"/>
    </row>
    <row r="1090" spans="1:12" x14ac:dyDescent="0.25">
      <c r="A1090" s="485" t="s">
        <v>189</v>
      </c>
      <c r="B1090" s="486"/>
      <c r="C1090" s="28" t="s">
        <v>9</v>
      </c>
      <c r="D1090" s="31">
        <v>0.05</v>
      </c>
      <c r="E1090" s="30"/>
      <c r="F1090" s="14">
        <f>+(71000)/3</f>
        <v>23666.666666666668</v>
      </c>
      <c r="G1090" s="14">
        <f t="shared" si="29"/>
        <v>0</v>
      </c>
      <c r="H1090" s="15"/>
      <c r="I1090" s="47"/>
    </row>
    <row r="1091" spans="1:12" x14ac:dyDescent="0.25">
      <c r="A1091" s="485" t="s">
        <v>190</v>
      </c>
      <c r="B1091" s="486"/>
      <c r="C1091" s="28" t="s">
        <v>18</v>
      </c>
      <c r="D1091" s="29"/>
      <c r="E1091" s="30">
        <v>0.35</v>
      </c>
      <c r="F1091" s="14">
        <v>9000</v>
      </c>
      <c r="G1091" s="14">
        <f t="shared" si="29"/>
        <v>3150</v>
      </c>
      <c r="H1091" s="17"/>
      <c r="I1091" s="47"/>
    </row>
    <row r="1092" spans="1:12" x14ac:dyDescent="0.25">
      <c r="A1092" s="485" t="s">
        <v>191</v>
      </c>
      <c r="B1092" s="486"/>
      <c r="C1092" s="28" t="s">
        <v>158</v>
      </c>
      <c r="D1092" s="29"/>
      <c r="E1092" s="30">
        <v>1</v>
      </c>
      <c r="F1092" s="14">
        <v>10000</v>
      </c>
      <c r="G1092" s="14">
        <f t="shared" si="29"/>
        <v>10000</v>
      </c>
      <c r="H1092" s="17"/>
      <c r="I1092" s="47"/>
    </row>
    <row r="1093" spans="1:12" x14ac:dyDescent="0.25">
      <c r="A1093" s="485" t="s">
        <v>193</v>
      </c>
      <c r="B1093" s="486"/>
      <c r="C1093" s="28" t="s">
        <v>9</v>
      </c>
      <c r="D1093" s="29">
        <v>0.05</v>
      </c>
      <c r="E1093" s="30">
        <v>1</v>
      </c>
      <c r="F1093" s="14">
        <f>112300/4.2</f>
        <v>26738.095238095237</v>
      </c>
      <c r="G1093" s="14">
        <f t="shared" si="29"/>
        <v>26738</v>
      </c>
      <c r="H1093" s="17"/>
      <c r="I1093" s="47"/>
      <c r="K1093" s="63">
        <f>127800+15000+20000</f>
        <v>162800</v>
      </c>
      <c r="L1093" s="63">
        <f>+K1093/3.6</f>
        <v>45222.222222222219</v>
      </c>
    </row>
    <row r="1094" spans="1:12" x14ac:dyDescent="0.25">
      <c r="A1094" s="297"/>
      <c r="B1094" s="255"/>
      <c r="C1094" s="255"/>
      <c r="D1094" s="255"/>
      <c r="E1094" s="36"/>
      <c r="F1094" s="37" t="s">
        <v>102</v>
      </c>
      <c r="G1094" s="38"/>
      <c r="H1094" s="23">
        <f>SUM(G1081:G1093)</f>
        <v>79488</v>
      </c>
      <c r="I1094" s="220"/>
    </row>
    <row r="1095" spans="1:12" x14ac:dyDescent="0.25">
      <c r="A1095" s="297"/>
      <c r="B1095" s="255"/>
      <c r="C1095" s="255"/>
      <c r="D1095" s="255"/>
      <c r="E1095" s="36"/>
      <c r="F1095" s="39" t="s">
        <v>103</v>
      </c>
      <c r="G1095" s="38"/>
      <c r="H1095" s="23">
        <f>ROUND((D1081*G1081)+(D1083*G1083)+(D1084*G1084)+(D1085*G1085)+(D1086*G1086)+(D1088*G1088)+(D1089*G1089)+(D1090*G1090)+(D1091*G1091)+(D1093*G1093),0)</f>
        <v>2787</v>
      </c>
      <c r="I1095" s="220"/>
    </row>
    <row r="1096" spans="1:12" x14ac:dyDescent="0.25">
      <c r="A1096" s="297"/>
      <c r="B1096" s="255"/>
      <c r="C1096" s="255"/>
      <c r="D1096" s="255"/>
      <c r="E1096" s="36"/>
      <c r="F1096" s="20" t="s">
        <v>104</v>
      </c>
      <c r="G1096" s="40"/>
      <c r="H1096" s="23">
        <f>SUM(H1094:H1095)</f>
        <v>82275</v>
      </c>
      <c r="I1096" s="220"/>
    </row>
    <row r="1097" spans="1:12" x14ac:dyDescent="0.25">
      <c r="A1097" s="297" t="s">
        <v>105</v>
      </c>
      <c r="B1097" s="255"/>
      <c r="C1097" s="255"/>
      <c r="D1097" s="255"/>
      <c r="E1097" s="47"/>
      <c r="F1097" s="47"/>
      <c r="G1097" s="47"/>
      <c r="H1097" s="233"/>
      <c r="I1097" s="47"/>
    </row>
    <row r="1098" spans="1:12" x14ac:dyDescent="0.25">
      <c r="A1098" s="100" t="s">
        <v>0</v>
      </c>
      <c r="B1098" s="100"/>
      <c r="C1098" s="94" t="s">
        <v>106</v>
      </c>
      <c r="D1098" s="94" t="s">
        <v>107</v>
      </c>
      <c r="E1098" s="9" t="s">
        <v>108</v>
      </c>
      <c r="F1098" s="9" t="s">
        <v>109</v>
      </c>
      <c r="G1098" s="9" t="s">
        <v>96</v>
      </c>
      <c r="H1098" s="10"/>
      <c r="I1098" s="47"/>
    </row>
    <row r="1099" spans="1:12" x14ac:dyDescent="0.25">
      <c r="A1099" s="26" t="s">
        <v>110</v>
      </c>
      <c r="B1099" s="27"/>
      <c r="C1099" s="13">
        <f>104000+26000</f>
        <v>130000</v>
      </c>
      <c r="D1099" s="13">
        <f>+C1099*0.16</f>
        <v>20800</v>
      </c>
      <c r="E1099" s="14">
        <f>C1099+D1099</f>
        <v>150800</v>
      </c>
      <c r="F1099" s="30">
        <v>0.25</v>
      </c>
      <c r="G1099" s="14">
        <f>ROUND(E1099*F1099,0)</f>
        <v>37700</v>
      </c>
      <c r="H1099" s="15"/>
      <c r="I1099" s="47"/>
    </row>
    <row r="1100" spans="1:12" x14ac:dyDescent="0.25">
      <c r="A1100" s="26" t="s">
        <v>111</v>
      </c>
      <c r="B1100" s="27"/>
      <c r="C1100" s="13">
        <f>60400+25850</f>
        <v>86250</v>
      </c>
      <c r="D1100" s="13">
        <f>+C1100*0.16</f>
        <v>13800</v>
      </c>
      <c r="E1100" s="14">
        <f>C1100+D1100</f>
        <v>100050</v>
      </c>
      <c r="F1100" s="30">
        <v>0.23</v>
      </c>
      <c r="G1100" s="14">
        <f>ROUND(E1100*F1100,0)</f>
        <v>23012</v>
      </c>
      <c r="H1100" s="15"/>
      <c r="I1100" s="47"/>
    </row>
    <row r="1101" spans="1:12" x14ac:dyDescent="0.25">
      <c r="A1101" s="26"/>
      <c r="B1101" s="27"/>
      <c r="C1101" s="95"/>
      <c r="D1101" s="95"/>
      <c r="E1101" s="14">
        <f>C1101+D1101</f>
        <v>0</v>
      </c>
      <c r="F1101" s="30"/>
      <c r="G1101" s="14">
        <f>ROUND(E1101*F1101,0)</f>
        <v>0</v>
      </c>
      <c r="H1101" s="17"/>
      <c r="I1101" s="47"/>
    </row>
    <row r="1102" spans="1:12" x14ac:dyDescent="0.25">
      <c r="A1102" s="297"/>
      <c r="B1102" s="255"/>
      <c r="C1102" s="255"/>
      <c r="D1102" s="255"/>
      <c r="E1102" s="101" t="s">
        <v>112</v>
      </c>
      <c r="F1102" s="37"/>
      <c r="G1102" s="38"/>
      <c r="H1102" s="23">
        <f>SUM(G1099:G1101)</f>
        <v>60712</v>
      </c>
      <c r="I1102" s="220"/>
    </row>
    <row r="1103" spans="1:12" x14ac:dyDescent="0.25">
      <c r="A1103" s="297"/>
      <c r="B1103" s="255"/>
      <c r="C1103" s="255"/>
      <c r="D1103" s="255"/>
      <c r="E1103" s="47"/>
      <c r="F1103" s="47"/>
      <c r="G1103" s="47"/>
      <c r="H1103" s="233"/>
      <c r="I1103" s="47"/>
    </row>
    <row r="1104" spans="1:12" x14ac:dyDescent="0.25">
      <c r="A1104" s="96"/>
      <c r="B1104" s="97"/>
      <c r="C1104" s="97"/>
      <c r="D1104" s="97"/>
      <c r="E1104" s="48" t="s">
        <v>113</v>
      </c>
      <c r="F1104" s="48"/>
      <c r="G1104" s="50"/>
      <c r="H1104" s="25">
        <f>H1102+H1096+H1078</f>
        <v>252273</v>
      </c>
      <c r="I1104" s="222"/>
    </row>
    <row r="1105" spans="1:9" x14ac:dyDescent="0.25">
      <c r="A1105" s="297"/>
      <c r="B1105" s="255"/>
      <c r="C1105" s="255"/>
      <c r="D1105" s="255"/>
      <c r="E1105" s="47"/>
      <c r="F1105" s="47"/>
      <c r="G1105" s="47"/>
      <c r="H1105" s="233"/>
      <c r="I1105" s="47"/>
    </row>
    <row r="1106" spans="1:9" x14ac:dyDescent="0.25">
      <c r="A1106" s="297" t="s">
        <v>114</v>
      </c>
      <c r="B1106" s="255"/>
      <c r="C1106" s="255"/>
      <c r="D1106" s="255"/>
      <c r="E1106" s="47"/>
      <c r="F1106" s="47"/>
      <c r="G1106" s="47"/>
      <c r="H1106" s="233"/>
      <c r="I1106" s="47"/>
    </row>
    <row r="1107" spans="1:9" x14ac:dyDescent="0.25">
      <c r="A1107" s="92" t="s">
        <v>0</v>
      </c>
      <c r="B1107" s="102"/>
      <c r="C1107" s="102"/>
      <c r="D1107" s="102"/>
      <c r="E1107" s="50"/>
      <c r="F1107" s="9" t="s">
        <v>115</v>
      </c>
      <c r="G1107" s="9" t="s">
        <v>116</v>
      </c>
      <c r="H1107" s="10"/>
      <c r="I1107" s="47"/>
    </row>
    <row r="1108" spans="1:9" x14ac:dyDescent="0.25">
      <c r="A1108" s="26" t="s">
        <v>192</v>
      </c>
      <c r="B1108" s="103"/>
      <c r="C1108" s="103"/>
      <c r="D1108" s="103"/>
      <c r="E1108" s="52"/>
      <c r="F1108" s="53"/>
      <c r="G1108" s="14">
        <f>F1108*H1104</f>
        <v>0</v>
      </c>
      <c r="H1108" s="15"/>
      <c r="I1108" s="47"/>
    </row>
    <row r="1109" spans="1:9" hidden="1" x14ac:dyDescent="0.25">
      <c r="A1109" s="26"/>
      <c r="B1109" s="103"/>
      <c r="C1109" s="103"/>
      <c r="D1109" s="103"/>
      <c r="E1109" s="52"/>
      <c r="F1109" s="53"/>
      <c r="G1109" s="14">
        <f>F1109*H1104</f>
        <v>0</v>
      </c>
      <c r="H1109" s="15"/>
      <c r="I1109" s="47"/>
    </row>
    <row r="1110" spans="1:9" x14ac:dyDescent="0.25">
      <c r="A1110" s="26"/>
      <c r="B1110" s="103"/>
      <c r="C1110" s="103"/>
      <c r="D1110" s="103"/>
      <c r="E1110" s="52"/>
      <c r="F1110" s="53"/>
      <c r="G1110" s="14">
        <f>F1110*H1104</f>
        <v>0</v>
      </c>
      <c r="H1110" s="17"/>
      <c r="I1110" s="47"/>
    </row>
    <row r="1111" spans="1:9" x14ac:dyDescent="0.25">
      <c r="E1111" s="101" t="s">
        <v>118</v>
      </c>
      <c r="F1111" s="37"/>
      <c r="G1111" s="38"/>
      <c r="H1111" s="36">
        <f>SUM(G1108:G1110)</f>
        <v>0</v>
      </c>
      <c r="I1111" s="220"/>
    </row>
    <row r="1112" spans="1:9" ht="15.75" thickBot="1" x14ac:dyDescent="0.3">
      <c r="E1112" s="5"/>
      <c r="F1112" s="5"/>
      <c r="G1112" s="5"/>
      <c r="H1112" s="5"/>
      <c r="I1112" s="47"/>
    </row>
    <row r="1113" spans="1:9" ht="15.75" thickBot="1" x14ac:dyDescent="0.3">
      <c r="E1113" s="54"/>
      <c r="F1113" s="54" t="s">
        <v>119</v>
      </c>
      <c r="G1113" s="54"/>
      <c r="H1113" s="240">
        <f>SUM(H1111+H1104)</f>
        <v>252273</v>
      </c>
      <c r="I1113" s="112"/>
    </row>
    <row r="1118" spans="1:9" x14ac:dyDescent="0.25">
      <c r="A1118" s="412" t="s">
        <v>79</v>
      </c>
      <c r="B1118" s="412"/>
      <c r="C1118" s="412"/>
      <c r="D1118" s="412"/>
      <c r="E1118" s="412"/>
      <c r="F1118" s="412"/>
      <c r="G1118" s="412"/>
      <c r="H1118" s="412"/>
      <c r="I1118" s="250"/>
    </row>
    <row r="1119" spans="1:9" x14ac:dyDescent="0.25">
      <c r="A1119" s="88"/>
      <c r="B1119" s="88"/>
      <c r="C1119" s="88"/>
      <c r="D1119" s="88"/>
      <c r="E1119" s="89"/>
      <c r="F1119" s="89"/>
      <c r="G1119" s="5"/>
      <c r="H1119" s="5"/>
      <c r="I1119" s="47"/>
    </row>
    <row r="1120" spans="1:9" x14ac:dyDescent="0.25">
      <c r="E1120" s="5"/>
      <c r="F1120" s="5"/>
      <c r="G1120" s="411" t="s">
        <v>326</v>
      </c>
      <c r="H1120" s="411"/>
      <c r="I1120" s="251"/>
    </row>
    <row r="1121" spans="1:9" ht="27.6" customHeight="1" x14ac:dyDescent="0.25">
      <c r="A1121" s="469" t="s">
        <v>342</v>
      </c>
      <c r="B1121" s="469"/>
      <c r="C1121" s="469"/>
      <c r="D1121" s="469"/>
      <c r="E1121" s="469"/>
      <c r="F1121" s="469"/>
      <c r="G1121" s="469"/>
      <c r="H1121" s="469"/>
      <c r="I1121" s="263"/>
    </row>
    <row r="1122" spans="1:9" x14ac:dyDescent="0.25">
      <c r="E1122" s="5"/>
      <c r="F1122" s="5"/>
      <c r="G1122" s="91" t="s">
        <v>81</v>
      </c>
      <c r="H1122" s="91"/>
      <c r="I1122" s="261"/>
    </row>
    <row r="1123" spans="1:9" x14ac:dyDescent="0.25">
      <c r="A1123" t="s">
        <v>82</v>
      </c>
      <c r="E1123" s="5"/>
      <c r="F1123" s="5"/>
      <c r="G1123" s="5"/>
      <c r="H1123" s="5"/>
      <c r="I1123" s="47"/>
    </row>
    <row r="1124" spans="1:9" x14ac:dyDescent="0.25">
      <c r="A1124" s="92" t="s">
        <v>0</v>
      </c>
      <c r="B1124" s="93"/>
      <c r="C1124" s="94" t="s">
        <v>83</v>
      </c>
      <c r="D1124" s="94" t="s">
        <v>84</v>
      </c>
      <c r="E1124" s="9" t="s">
        <v>85</v>
      </c>
      <c r="F1124" s="9" t="s">
        <v>86</v>
      </c>
      <c r="G1124" s="9" t="s">
        <v>87</v>
      </c>
      <c r="H1124" s="10"/>
      <c r="I1124" s="47"/>
    </row>
    <row r="1125" spans="1:9" x14ac:dyDescent="0.25">
      <c r="A1125" s="26" t="s">
        <v>88</v>
      </c>
      <c r="B1125" s="27"/>
      <c r="C1125" s="95"/>
      <c r="D1125" s="95"/>
      <c r="E1125" s="14"/>
      <c r="F1125" s="14"/>
      <c r="G1125" s="14">
        <f>ROUND(H1153*0.05,0)</f>
        <v>1631</v>
      </c>
      <c r="H1125" s="15"/>
      <c r="I1125" s="47"/>
    </row>
    <row r="1126" spans="1:9" x14ac:dyDescent="0.25">
      <c r="A1126" s="11" t="s">
        <v>327</v>
      </c>
      <c r="B1126" s="12"/>
      <c r="C1126" s="13"/>
      <c r="D1126" s="13"/>
      <c r="E1126" s="14">
        <v>350000</v>
      </c>
      <c r="F1126" s="14">
        <v>0.15</v>
      </c>
      <c r="G1126" s="14">
        <f>ROUND(E1126*F1126,0)</f>
        <v>52500</v>
      </c>
      <c r="H1126" s="15"/>
      <c r="I1126" s="47"/>
    </row>
    <row r="1127" spans="1:9" x14ac:dyDescent="0.25">
      <c r="A1127" s="26" t="s">
        <v>352</v>
      </c>
      <c r="B1127" s="27"/>
      <c r="C1127" s="95"/>
      <c r="D1127" s="95"/>
      <c r="E1127" s="14">
        <v>15000</v>
      </c>
      <c r="F1127" s="16">
        <v>0.25</v>
      </c>
      <c r="G1127" s="14">
        <f>ROUND(E1127*F1127,0)</f>
        <v>3750</v>
      </c>
      <c r="H1127" s="15"/>
      <c r="I1127" s="47"/>
    </row>
    <row r="1128" spans="1:9" x14ac:dyDescent="0.25">
      <c r="A1128" s="11" t="s">
        <v>328</v>
      </c>
      <c r="B1128" s="27"/>
      <c r="C1128" s="95"/>
      <c r="D1128" s="95"/>
      <c r="E1128" s="14">
        <v>50000</v>
      </c>
      <c r="F1128" s="14">
        <v>0.25</v>
      </c>
      <c r="G1128" s="14">
        <f>ROUND(E1128*F1128,0)</f>
        <v>12500</v>
      </c>
      <c r="H1128" s="17"/>
      <c r="I1128" s="47"/>
    </row>
    <row r="1129" spans="1:9" x14ac:dyDescent="0.25">
      <c r="A1129" s="96"/>
      <c r="B1129" s="97"/>
      <c r="C1129" s="97"/>
      <c r="D1129" s="97"/>
      <c r="E1129" s="98"/>
      <c r="F1129" s="99" t="s">
        <v>90</v>
      </c>
      <c r="G1129" s="22"/>
      <c r="H1129" s="23">
        <f>SUM(G1125:G1128)</f>
        <v>70381</v>
      </c>
      <c r="I1129" s="220"/>
    </row>
    <row r="1130" spans="1:9" x14ac:dyDescent="0.25">
      <c r="A1130" s="297" t="s">
        <v>91</v>
      </c>
      <c r="B1130" s="255"/>
      <c r="C1130" s="255"/>
      <c r="D1130" s="255"/>
      <c r="E1130" s="47"/>
      <c r="F1130" s="47"/>
      <c r="G1130" s="47"/>
      <c r="H1130" s="233"/>
      <c r="I1130" s="47"/>
    </row>
    <row r="1131" spans="1:9" x14ac:dyDescent="0.25">
      <c r="A1131" s="100" t="s">
        <v>0</v>
      </c>
      <c r="B1131" s="100"/>
      <c r="C1131" s="94" t="s">
        <v>92</v>
      </c>
      <c r="D1131" s="94" t="s">
        <v>93</v>
      </c>
      <c r="E1131" s="9" t="s">
        <v>94</v>
      </c>
      <c r="F1131" s="9" t="s">
        <v>95</v>
      </c>
      <c r="G1131" s="25" t="s">
        <v>96</v>
      </c>
      <c r="H1131" s="10"/>
      <c r="I1131" s="47"/>
    </row>
    <row r="1132" spans="1:9" hidden="1" x14ac:dyDescent="0.25">
      <c r="A1132" s="26"/>
      <c r="B1132" s="27"/>
      <c r="C1132" s="28"/>
      <c r="D1132" s="29"/>
      <c r="E1132" s="30"/>
      <c r="F1132" s="14"/>
      <c r="G1132" s="14">
        <f t="shared" ref="G1132:G1144" si="30">ROUND(E1132*F1132,0)</f>
        <v>0</v>
      </c>
      <c r="H1132" s="15"/>
      <c r="I1132" s="47"/>
    </row>
    <row r="1133" spans="1:9" hidden="1" x14ac:dyDescent="0.25">
      <c r="A1133" s="26"/>
      <c r="B1133" s="27"/>
      <c r="C1133" s="28"/>
      <c r="D1133" s="31"/>
      <c r="E1133" s="30"/>
      <c r="F1133" s="14"/>
      <c r="G1133" s="14">
        <f t="shared" si="30"/>
        <v>0</v>
      </c>
      <c r="H1133" s="15"/>
      <c r="I1133" s="47"/>
    </row>
    <row r="1134" spans="1:9" hidden="1" x14ac:dyDescent="0.25">
      <c r="A1134" s="26"/>
      <c r="B1134" s="27"/>
      <c r="C1134" s="28"/>
      <c r="D1134" s="29"/>
      <c r="E1134" s="30"/>
      <c r="F1134" s="14"/>
      <c r="G1134" s="14">
        <f t="shared" si="30"/>
        <v>0</v>
      </c>
      <c r="H1134" s="15"/>
      <c r="I1134" s="47"/>
    </row>
    <row r="1135" spans="1:9" x14ac:dyDescent="0.25">
      <c r="A1135" s="26" t="s">
        <v>191</v>
      </c>
      <c r="B1135" s="27"/>
      <c r="C1135" s="28" t="s">
        <v>158</v>
      </c>
      <c r="D1135" s="29"/>
      <c r="E1135" s="30">
        <v>1</v>
      </c>
      <c r="F1135" s="14">
        <v>15000</v>
      </c>
      <c r="G1135" s="14">
        <f t="shared" si="30"/>
        <v>15000</v>
      </c>
      <c r="H1135" s="15"/>
      <c r="I1135" s="47"/>
    </row>
    <row r="1136" spans="1:9" x14ac:dyDescent="0.25">
      <c r="A1136" s="26" t="s">
        <v>184</v>
      </c>
      <c r="B1136" s="27"/>
      <c r="C1136" s="28" t="s">
        <v>18</v>
      </c>
      <c r="D1136" s="29"/>
      <c r="E1136" s="30">
        <v>0.35</v>
      </c>
      <c r="F1136" s="14">
        <v>6900</v>
      </c>
      <c r="G1136" s="14">
        <f t="shared" si="30"/>
        <v>2415</v>
      </c>
      <c r="H1136" s="15"/>
      <c r="I1136" s="47"/>
    </row>
    <row r="1137" spans="1:12" x14ac:dyDescent="0.25">
      <c r="A1137" s="26" t="s">
        <v>185</v>
      </c>
      <c r="B1137" s="27"/>
      <c r="C1137" s="28" t="s">
        <v>18</v>
      </c>
      <c r="D1137" s="31"/>
      <c r="E1137" s="30">
        <v>0.35</v>
      </c>
      <c r="F1137" s="14">
        <v>8000</v>
      </c>
      <c r="G1137" s="14">
        <f t="shared" si="30"/>
        <v>2800</v>
      </c>
      <c r="H1137" s="15"/>
      <c r="I1137" s="47"/>
    </row>
    <row r="1138" spans="1:12" x14ac:dyDescent="0.25">
      <c r="A1138" s="26" t="s">
        <v>186</v>
      </c>
      <c r="B1138" s="27"/>
      <c r="C1138" s="28" t="s">
        <v>18</v>
      </c>
      <c r="D1138" s="31"/>
      <c r="E1138" s="30">
        <v>0.35</v>
      </c>
      <c r="F1138" s="14">
        <v>6300</v>
      </c>
      <c r="G1138" s="14">
        <f t="shared" si="30"/>
        <v>2205</v>
      </c>
      <c r="H1138" s="15"/>
      <c r="I1138" s="47"/>
    </row>
    <row r="1139" spans="1:12" x14ac:dyDescent="0.25">
      <c r="A1139" s="26" t="s">
        <v>187</v>
      </c>
      <c r="B1139" s="27"/>
      <c r="C1139" s="28" t="s">
        <v>18</v>
      </c>
      <c r="D1139" s="29"/>
      <c r="E1139" s="30">
        <v>0.35</v>
      </c>
      <c r="F1139" s="14">
        <v>4800</v>
      </c>
      <c r="G1139" s="14">
        <f t="shared" si="30"/>
        <v>1680</v>
      </c>
      <c r="H1139" s="15"/>
      <c r="I1139" s="47"/>
    </row>
    <row r="1140" spans="1:12" x14ac:dyDescent="0.25">
      <c r="A1140" s="26" t="s">
        <v>188</v>
      </c>
      <c r="B1140" s="27"/>
      <c r="C1140" s="28" t="s">
        <v>18</v>
      </c>
      <c r="D1140" s="31"/>
      <c r="E1140" s="30">
        <v>1.2</v>
      </c>
      <c r="F1140" s="14">
        <v>2600</v>
      </c>
      <c r="G1140" s="14">
        <f t="shared" si="30"/>
        <v>3120</v>
      </c>
      <c r="H1140" s="15"/>
      <c r="I1140" s="47"/>
    </row>
    <row r="1141" spans="1:12" x14ac:dyDescent="0.25">
      <c r="A1141" s="26" t="s">
        <v>189</v>
      </c>
      <c r="B1141" s="27"/>
      <c r="C1141" s="28" t="s">
        <v>9</v>
      </c>
      <c r="D1141" s="31">
        <v>0.05</v>
      </c>
      <c r="E1141" s="30">
        <v>1</v>
      </c>
      <c r="F1141" s="14">
        <f>+(71000+10000)/3</f>
        <v>27000</v>
      </c>
      <c r="G1141" s="14">
        <f t="shared" si="30"/>
        <v>27000</v>
      </c>
      <c r="H1141" s="15"/>
      <c r="I1141" s="47"/>
    </row>
    <row r="1142" spans="1:12" x14ac:dyDescent="0.25">
      <c r="A1142" s="26"/>
      <c r="B1142" s="27"/>
      <c r="C1142" s="28"/>
      <c r="D1142" s="29"/>
      <c r="E1142" s="30"/>
      <c r="F1142" s="14"/>
      <c r="G1142" s="14">
        <f t="shared" si="30"/>
        <v>0</v>
      </c>
      <c r="H1142" s="17"/>
      <c r="I1142" s="47"/>
    </row>
    <row r="1143" spans="1:12" hidden="1" x14ac:dyDescent="0.25">
      <c r="A1143" s="26"/>
      <c r="B1143" s="27"/>
      <c r="C1143" s="28"/>
      <c r="D1143" s="29"/>
      <c r="E1143" s="30"/>
      <c r="F1143" s="14"/>
      <c r="G1143" s="14">
        <f t="shared" si="30"/>
        <v>0</v>
      </c>
      <c r="H1143" s="17"/>
      <c r="I1143" s="47"/>
    </row>
    <row r="1144" spans="1:12" x14ac:dyDescent="0.25">
      <c r="A1144" s="26"/>
      <c r="B1144" s="27"/>
      <c r="C1144" s="28"/>
      <c r="D1144" s="29"/>
      <c r="E1144" s="30"/>
      <c r="F1144" s="14"/>
      <c r="G1144" s="14">
        <f t="shared" si="30"/>
        <v>0</v>
      </c>
      <c r="H1144" s="17"/>
      <c r="I1144" s="47"/>
      <c r="K1144" s="63">
        <f>127800+15000+20000</f>
        <v>162800</v>
      </c>
      <c r="L1144" s="63">
        <f>+K1144/3.6</f>
        <v>45222.222222222219</v>
      </c>
    </row>
    <row r="1145" spans="1:12" x14ac:dyDescent="0.25">
      <c r="A1145" s="297"/>
      <c r="B1145" s="255"/>
      <c r="C1145" s="255"/>
      <c r="D1145" s="255"/>
      <c r="E1145" s="36"/>
      <c r="F1145" s="37" t="s">
        <v>102</v>
      </c>
      <c r="G1145" s="38"/>
      <c r="H1145" s="23">
        <f>SUM(G1132:G1144)</f>
        <v>54220</v>
      </c>
      <c r="I1145" s="220"/>
    </row>
    <row r="1146" spans="1:12" x14ac:dyDescent="0.25">
      <c r="A1146" s="297"/>
      <c r="B1146" s="255"/>
      <c r="C1146" s="255"/>
      <c r="D1146" s="255"/>
      <c r="E1146" s="36"/>
      <c r="F1146" s="39" t="s">
        <v>103</v>
      </c>
      <c r="G1146" s="38"/>
      <c r="H1146" s="23">
        <f>ROUND((D1132*G1132)+(D1134*G1134)+(D1135*G1135)+(D1136*G1136)+(D1137*G1137)+(D1139*G1139)+(D1140*G1140)+(D1141*G1141)+(D1142*G1142)+(D1144*G1144),0)</f>
        <v>1350</v>
      </c>
      <c r="I1146" s="220"/>
    </row>
    <row r="1147" spans="1:12" x14ac:dyDescent="0.25">
      <c r="A1147" s="297"/>
      <c r="B1147" s="255"/>
      <c r="C1147" s="255"/>
      <c r="D1147" s="255"/>
      <c r="E1147" s="36"/>
      <c r="F1147" s="20" t="s">
        <v>104</v>
      </c>
      <c r="G1147" s="40"/>
      <c r="H1147" s="23">
        <f>SUM(H1145:H1146)</f>
        <v>55570</v>
      </c>
      <c r="I1147" s="220"/>
    </row>
    <row r="1148" spans="1:12" x14ac:dyDescent="0.25">
      <c r="A1148" s="297" t="s">
        <v>105</v>
      </c>
      <c r="B1148" s="255"/>
      <c r="C1148" s="255"/>
      <c r="D1148" s="255"/>
      <c r="E1148" s="47"/>
      <c r="F1148" s="47"/>
      <c r="G1148" s="47"/>
      <c r="H1148" s="233"/>
      <c r="I1148" s="47"/>
    </row>
    <row r="1149" spans="1:12" x14ac:dyDescent="0.25">
      <c r="A1149" s="100" t="s">
        <v>0</v>
      </c>
      <c r="B1149" s="100"/>
      <c r="C1149" s="94" t="s">
        <v>106</v>
      </c>
      <c r="D1149" s="94" t="s">
        <v>107</v>
      </c>
      <c r="E1149" s="9" t="s">
        <v>108</v>
      </c>
      <c r="F1149" s="9" t="s">
        <v>109</v>
      </c>
      <c r="G1149" s="9" t="s">
        <v>96</v>
      </c>
      <c r="H1149" s="10"/>
      <c r="I1149" s="47"/>
    </row>
    <row r="1150" spans="1:12" x14ac:dyDescent="0.25">
      <c r="A1150" s="26" t="s">
        <v>110</v>
      </c>
      <c r="B1150" s="27"/>
      <c r="C1150" s="13">
        <f>104000+26000</f>
        <v>130000</v>
      </c>
      <c r="D1150" s="13">
        <f>+C1150*0.16</f>
        <v>20800</v>
      </c>
      <c r="E1150" s="14">
        <f>C1150+D1150</f>
        <v>150800</v>
      </c>
      <c r="F1150" s="30">
        <v>0.15</v>
      </c>
      <c r="G1150" s="14">
        <f>ROUND(E1150*F1150,0)</f>
        <v>22620</v>
      </c>
      <c r="H1150" s="15"/>
      <c r="I1150" s="47"/>
    </row>
    <row r="1151" spans="1:12" x14ac:dyDescent="0.25">
      <c r="A1151" s="26" t="s">
        <v>111</v>
      </c>
      <c r="B1151" s="27"/>
      <c r="C1151" s="13">
        <f>60400+25850</f>
        <v>86250</v>
      </c>
      <c r="D1151" s="13">
        <f>+C1151*0.16</f>
        <v>13800</v>
      </c>
      <c r="E1151" s="14">
        <f>C1151+D1151</f>
        <v>100050</v>
      </c>
      <c r="F1151" s="30">
        <v>0.1</v>
      </c>
      <c r="G1151" s="14">
        <f>ROUND(E1151*F1151,0)</f>
        <v>10005</v>
      </c>
      <c r="H1151" s="15"/>
      <c r="I1151" s="47"/>
    </row>
    <row r="1152" spans="1:12" x14ac:dyDescent="0.25">
      <c r="A1152" s="26"/>
      <c r="B1152" s="27"/>
      <c r="C1152" s="95"/>
      <c r="D1152" s="95"/>
      <c r="E1152" s="14">
        <f>C1152+D1152</f>
        <v>0</v>
      </c>
      <c r="F1152" s="30"/>
      <c r="G1152" s="14">
        <f>ROUND(E1152*F1152,0)</f>
        <v>0</v>
      </c>
      <c r="H1152" s="17"/>
      <c r="I1152" s="47"/>
    </row>
    <row r="1153" spans="1:9" x14ac:dyDescent="0.25">
      <c r="A1153" s="297"/>
      <c r="B1153" s="255"/>
      <c r="C1153" s="255"/>
      <c r="D1153" s="255"/>
      <c r="E1153" s="101" t="s">
        <v>112</v>
      </c>
      <c r="F1153" s="37"/>
      <c r="G1153" s="38"/>
      <c r="H1153" s="23">
        <f>SUM(G1150:G1152)</f>
        <v>32625</v>
      </c>
      <c r="I1153" s="220"/>
    </row>
    <row r="1154" spans="1:9" x14ac:dyDescent="0.25">
      <c r="A1154" s="297"/>
      <c r="B1154" s="255"/>
      <c r="C1154" s="255"/>
      <c r="D1154" s="255"/>
      <c r="E1154" s="47"/>
      <c r="F1154" s="47"/>
      <c r="G1154" s="47"/>
      <c r="H1154" s="233"/>
      <c r="I1154" s="47"/>
    </row>
    <row r="1155" spans="1:9" x14ac:dyDescent="0.25">
      <c r="A1155" s="96"/>
      <c r="B1155" s="97"/>
      <c r="C1155" s="97"/>
      <c r="D1155" s="97"/>
      <c r="E1155" s="48" t="s">
        <v>113</v>
      </c>
      <c r="F1155" s="48"/>
      <c r="G1155" s="50"/>
      <c r="H1155" s="25">
        <f>H1153+H1147+H1129</f>
        <v>158576</v>
      </c>
      <c r="I1155" s="222"/>
    </row>
    <row r="1156" spans="1:9" x14ac:dyDescent="0.25">
      <c r="A1156" s="297"/>
      <c r="B1156" s="255"/>
      <c r="C1156" s="255"/>
      <c r="D1156" s="255"/>
      <c r="E1156" s="47"/>
      <c r="F1156" s="47"/>
      <c r="G1156" s="47"/>
      <c r="H1156" s="233"/>
      <c r="I1156" s="47"/>
    </row>
    <row r="1157" spans="1:9" x14ac:dyDescent="0.25">
      <c r="A1157" s="297" t="s">
        <v>114</v>
      </c>
      <c r="B1157" s="255"/>
      <c r="C1157" s="255"/>
      <c r="D1157" s="255"/>
      <c r="E1157" s="47"/>
      <c r="F1157" s="47"/>
      <c r="G1157" s="47"/>
      <c r="H1157" s="233"/>
      <c r="I1157" s="47"/>
    </row>
    <row r="1158" spans="1:9" x14ac:dyDescent="0.25">
      <c r="A1158" s="92" t="s">
        <v>0</v>
      </c>
      <c r="B1158" s="102"/>
      <c r="C1158" s="102"/>
      <c r="D1158" s="102"/>
      <c r="E1158" s="50"/>
      <c r="F1158" s="9" t="s">
        <v>115</v>
      </c>
      <c r="G1158" s="9" t="s">
        <v>116</v>
      </c>
      <c r="H1158" s="10"/>
      <c r="I1158" s="47"/>
    </row>
    <row r="1159" spans="1:9" x14ac:dyDescent="0.25">
      <c r="A1159" s="26" t="s">
        <v>192</v>
      </c>
      <c r="B1159" s="103"/>
      <c r="C1159" s="103"/>
      <c r="D1159" s="103"/>
      <c r="E1159" s="52"/>
      <c r="F1159" s="53"/>
      <c r="G1159" s="14">
        <f>F1159*H1155</f>
        <v>0</v>
      </c>
      <c r="H1159" s="17"/>
      <c r="I1159" s="47"/>
    </row>
    <row r="1160" spans="1:9" hidden="1" x14ac:dyDescent="0.25">
      <c r="A1160" s="32"/>
      <c r="B1160" s="313"/>
      <c r="C1160" s="313"/>
      <c r="D1160" s="313"/>
      <c r="E1160" s="302"/>
      <c r="F1160" s="303"/>
      <c r="G1160" s="304">
        <f>F1160*H1155</f>
        <v>0</v>
      </c>
      <c r="H1160" s="236"/>
      <c r="I1160" s="47"/>
    </row>
    <row r="1161" spans="1:9" hidden="1" x14ac:dyDescent="0.25">
      <c r="A1161" s="26"/>
      <c r="B1161" s="103"/>
      <c r="C1161" s="103"/>
      <c r="D1161" s="103"/>
      <c r="E1161" s="52"/>
      <c r="F1161" s="53"/>
      <c r="G1161" s="14">
        <f>F1161*H1155</f>
        <v>0</v>
      </c>
      <c r="H1161" s="237"/>
      <c r="I1161" s="47"/>
    </row>
    <row r="1162" spans="1:9" x14ac:dyDescent="0.25">
      <c r="E1162" s="101" t="s">
        <v>118</v>
      </c>
      <c r="F1162" s="37"/>
      <c r="G1162" s="38"/>
      <c r="H1162" s="36">
        <f>SUM(G1159:G1161)</f>
        <v>0</v>
      </c>
      <c r="I1162" s="220"/>
    </row>
    <row r="1163" spans="1:9" ht="15.75" thickBot="1" x14ac:dyDescent="0.3">
      <c r="E1163" s="5"/>
      <c r="F1163" s="5"/>
      <c r="G1163" s="5"/>
      <c r="H1163" s="5"/>
      <c r="I1163" s="47"/>
    </row>
    <row r="1164" spans="1:9" ht="15.75" thickBot="1" x14ac:dyDescent="0.3">
      <c r="E1164" s="54"/>
      <c r="F1164" s="54" t="s">
        <v>119</v>
      </c>
      <c r="G1164" s="54"/>
      <c r="H1164" s="240">
        <f>SUM(H1162+H1155)</f>
        <v>158576</v>
      </c>
      <c r="I1164" s="112"/>
    </row>
    <row r="1165" spans="1:9" x14ac:dyDescent="0.25">
      <c r="E1165" s="54"/>
      <c r="F1165" s="54"/>
      <c r="G1165" s="54"/>
      <c r="H1165" s="112"/>
      <c r="I1165" s="112"/>
    </row>
    <row r="1166" spans="1:9" x14ac:dyDescent="0.25">
      <c r="E1166" s="54"/>
      <c r="F1166" s="54"/>
      <c r="G1166" s="54"/>
      <c r="H1166" s="112"/>
      <c r="I1166" s="112"/>
    </row>
    <row r="1167" spans="1:9" x14ac:dyDescent="0.25">
      <c r="E1167" s="54"/>
      <c r="F1167" s="54"/>
      <c r="G1167" s="54"/>
      <c r="H1167" s="112"/>
      <c r="I1167" s="112"/>
    </row>
    <row r="1168" spans="1:9" x14ac:dyDescent="0.25">
      <c r="E1168" s="54"/>
      <c r="F1168" s="54"/>
      <c r="G1168" s="54"/>
      <c r="H1168" s="112"/>
      <c r="I1168" s="112"/>
    </row>
    <row r="1171" spans="1:9" x14ac:dyDescent="0.25">
      <c r="A1171" s="412" t="s">
        <v>79</v>
      </c>
      <c r="B1171" s="412"/>
      <c r="C1171" s="412"/>
      <c r="D1171" s="412"/>
      <c r="E1171" s="412"/>
      <c r="F1171" s="412"/>
      <c r="G1171" s="412"/>
      <c r="H1171" s="412"/>
      <c r="I1171" s="250"/>
    </row>
    <row r="1172" spans="1:9" x14ac:dyDescent="0.25">
      <c r="A1172" s="4"/>
      <c r="B1172" s="4"/>
      <c r="C1172" s="4"/>
      <c r="D1172" s="4"/>
      <c r="E1172" s="5"/>
      <c r="F1172" s="5"/>
      <c r="G1172" s="411" t="s">
        <v>326</v>
      </c>
      <c r="H1172" s="411"/>
      <c r="I1172" s="251"/>
    </row>
    <row r="1173" spans="1:9" ht="28.15" customHeight="1" x14ac:dyDescent="0.25">
      <c r="A1173" s="410" t="s">
        <v>349</v>
      </c>
      <c r="B1173" s="410"/>
      <c r="C1173" s="410"/>
      <c r="D1173" s="410"/>
      <c r="E1173" s="410"/>
      <c r="F1173" s="410"/>
      <c r="G1173" s="410"/>
      <c r="H1173" s="410"/>
      <c r="I1173" s="254"/>
    </row>
    <row r="1174" spans="1:9" x14ac:dyDescent="0.25">
      <c r="A1174" s="4"/>
      <c r="B1174" s="4"/>
      <c r="C1174" s="4"/>
      <c r="D1174" s="4"/>
      <c r="E1174" s="5"/>
      <c r="F1174" s="5"/>
      <c r="G1174" s="414" t="s">
        <v>81</v>
      </c>
      <c r="H1174" s="414"/>
      <c r="I1174" s="253"/>
    </row>
    <row r="1175" spans="1:9" x14ac:dyDescent="0.25">
      <c r="A1175" s="4" t="s">
        <v>82</v>
      </c>
      <c r="B1175" s="4"/>
      <c r="C1175" s="4"/>
      <c r="D1175" s="4"/>
      <c r="E1175" s="5"/>
      <c r="F1175" s="5"/>
      <c r="G1175" s="5"/>
      <c r="H1175" s="5"/>
      <c r="I1175" s="47"/>
    </row>
    <row r="1176" spans="1:9" x14ac:dyDescent="0.25">
      <c r="A1176" s="6" t="s">
        <v>0</v>
      </c>
      <c r="B1176" s="7"/>
      <c r="C1176" s="8" t="s">
        <v>83</v>
      </c>
      <c r="D1176" s="8" t="s">
        <v>84</v>
      </c>
      <c r="E1176" s="9" t="s">
        <v>85</v>
      </c>
      <c r="F1176" s="9" t="s">
        <v>86</v>
      </c>
      <c r="G1176" s="9" t="s">
        <v>87</v>
      </c>
      <c r="H1176" s="10"/>
      <c r="I1176" s="47"/>
    </row>
    <row r="1177" spans="1:9" x14ac:dyDescent="0.25">
      <c r="A1177" s="11" t="s">
        <v>88</v>
      </c>
      <c r="B1177" s="12"/>
      <c r="C1177" s="13"/>
      <c r="D1177" s="13"/>
      <c r="E1177" s="14"/>
      <c r="F1177" s="14"/>
      <c r="G1177" s="14">
        <f>ROUND(H1201*0.05,0)+8-16</f>
        <v>1346</v>
      </c>
      <c r="H1177" s="15"/>
      <c r="I1177" s="47"/>
    </row>
    <row r="1178" spans="1:9" x14ac:dyDescent="0.25">
      <c r="A1178" s="11" t="s">
        <v>327</v>
      </c>
      <c r="B1178" s="12"/>
      <c r="C1178" s="13"/>
      <c r="D1178" s="13"/>
      <c r="E1178" s="14">
        <v>350000</v>
      </c>
      <c r="F1178" s="14">
        <v>0.15</v>
      </c>
      <c r="G1178" s="14">
        <f>ROUND(E1178*F1178,0)</f>
        <v>52500</v>
      </c>
      <c r="H1178" s="15"/>
      <c r="I1178" s="47"/>
    </row>
    <row r="1179" spans="1:9" x14ac:dyDescent="0.25">
      <c r="A1179" s="11" t="s">
        <v>172</v>
      </c>
      <c r="B1179" s="12"/>
      <c r="C1179" s="13"/>
      <c r="D1179" s="13"/>
      <c r="E1179" s="14">
        <v>350000</v>
      </c>
      <c r="F1179" s="16">
        <f>0.3*0.3</f>
        <v>0.09</v>
      </c>
      <c r="G1179" s="14">
        <f>ROUND(E1179*F1179,0)</f>
        <v>31500</v>
      </c>
      <c r="H1179" s="15"/>
      <c r="I1179" s="47"/>
    </row>
    <row r="1180" spans="1:9" x14ac:dyDescent="0.25">
      <c r="A1180" s="11" t="s">
        <v>328</v>
      </c>
      <c r="B1180" s="12"/>
      <c r="C1180" s="13"/>
      <c r="D1180" s="13"/>
      <c r="E1180" s="14">
        <v>50000</v>
      </c>
      <c r="F1180" s="14">
        <v>0.5</v>
      </c>
      <c r="G1180" s="14">
        <f>ROUND(E1180*F1180,0)</f>
        <v>25000</v>
      </c>
      <c r="H1180" s="17"/>
      <c r="I1180" s="47"/>
    </row>
    <row r="1181" spans="1:9" x14ac:dyDescent="0.25">
      <c r="A1181" s="18"/>
      <c r="B1181" s="19"/>
      <c r="C1181" s="19"/>
      <c r="D1181" s="19"/>
      <c r="E1181" s="20"/>
      <c r="F1181" s="21" t="s">
        <v>90</v>
      </c>
      <c r="G1181" s="22"/>
      <c r="H1181" s="23">
        <f>SUM(G1177:G1180)</f>
        <v>110346</v>
      </c>
      <c r="I1181" s="220"/>
    </row>
    <row r="1182" spans="1:9" x14ac:dyDescent="0.25">
      <c r="A1182" s="291" t="s">
        <v>91</v>
      </c>
      <c r="B1182" s="228"/>
      <c r="C1182" s="228"/>
      <c r="D1182" s="228"/>
      <c r="E1182" s="47"/>
      <c r="F1182" s="47"/>
      <c r="G1182" s="47"/>
      <c r="H1182" s="233"/>
      <c r="I1182" s="47"/>
    </row>
    <row r="1183" spans="1:9" x14ac:dyDescent="0.25">
      <c r="A1183" s="24" t="s">
        <v>0</v>
      </c>
      <c r="B1183" s="24"/>
      <c r="C1183" s="8" t="s">
        <v>92</v>
      </c>
      <c r="D1183" s="8" t="s">
        <v>93</v>
      </c>
      <c r="E1183" s="9" t="s">
        <v>94</v>
      </c>
      <c r="F1183" s="9" t="s">
        <v>95</v>
      </c>
      <c r="G1183" s="25" t="s">
        <v>96</v>
      </c>
      <c r="H1183" s="10"/>
      <c r="I1183" s="47"/>
    </row>
    <row r="1184" spans="1:9" x14ac:dyDescent="0.25">
      <c r="A1184" s="26" t="s">
        <v>97</v>
      </c>
      <c r="B1184" s="27"/>
      <c r="C1184" s="28" t="s">
        <v>9</v>
      </c>
      <c r="D1184" s="29"/>
      <c r="E1184" s="30">
        <v>1</v>
      </c>
      <c r="F1184" s="14">
        <f>ROUND(133000/6,0)</f>
        <v>22167</v>
      </c>
      <c r="G1184" s="14">
        <f t="shared" ref="G1184:G1192" si="31">ROUND(E1184*F1184,0)</f>
        <v>22167</v>
      </c>
      <c r="H1184" s="15"/>
      <c r="I1184" s="47"/>
    </row>
    <row r="1185" spans="1:9" x14ac:dyDescent="0.25">
      <c r="A1185" s="26" t="s">
        <v>98</v>
      </c>
      <c r="B1185" s="27"/>
      <c r="C1185" s="28" t="s">
        <v>18</v>
      </c>
      <c r="D1185" s="31"/>
      <c r="E1185" s="30">
        <v>0.2</v>
      </c>
      <c r="F1185" s="14">
        <v>7200</v>
      </c>
      <c r="G1185" s="14">
        <f t="shared" si="31"/>
        <v>1440</v>
      </c>
      <c r="H1185" s="15"/>
      <c r="I1185" s="47"/>
    </row>
    <row r="1186" spans="1:9" x14ac:dyDescent="0.25">
      <c r="A1186" s="32" t="s">
        <v>99</v>
      </c>
      <c r="B1186" s="33"/>
      <c r="C1186" s="28" t="s">
        <v>18</v>
      </c>
      <c r="D1186" s="29"/>
      <c r="E1186" s="30">
        <v>0.2</v>
      </c>
      <c r="F1186" s="14">
        <v>12500</v>
      </c>
      <c r="G1186" s="14">
        <f t="shared" si="31"/>
        <v>2500</v>
      </c>
      <c r="H1186" s="15"/>
      <c r="I1186" s="47"/>
    </row>
    <row r="1187" spans="1:9" x14ac:dyDescent="0.25">
      <c r="A1187" s="11" t="s">
        <v>100</v>
      </c>
      <c r="B1187" s="12"/>
      <c r="C1187" s="28" t="s">
        <v>8</v>
      </c>
      <c r="D1187" s="31"/>
      <c r="E1187" s="30">
        <v>0.1</v>
      </c>
      <c r="F1187" s="14">
        <v>42500</v>
      </c>
      <c r="G1187" s="14">
        <f t="shared" si="31"/>
        <v>4250</v>
      </c>
      <c r="H1187" s="15"/>
      <c r="I1187" s="47"/>
    </row>
    <row r="1188" spans="1:9" x14ac:dyDescent="0.25">
      <c r="A1188" s="11" t="s">
        <v>101</v>
      </c>
      <c r="B1188" s="12"/>
      <c r="C1188" s="28" t="s">
        <v>18</v>
      </c>
      <c r="D1188" s="34"/>
      <c r="E1188" s="30">
        <v>0.1</v>
      </c>
      <c r="F1188" s="14">
        <v>88000</v>
      </c>
      <c r="G1188" s="14">
        <f t="shared" si="31"/>
        <v>8800</v>
      </c>
      <c r="H1188" s="15"/>
      <c r="I1188" s="47"/>
    </row>
    <row r="1189" spans="1:9" x14ac:dyDescent="0.25">
      <c r="A1189" s="11" t="s">
        <v>217</v>
      </c>
      <c r="B1189" s="12"/>
      <c r="C1189" s="35" t="s">
        <v>212</v>
      </c>
      <c r="D1189" s="31">
        <v>0.05</v>
      </c>
      <c r="E1189" s="30">
        <f>0.3*0.3*0.4</f>
        <v>3.5999999999999997E-2</v>
      </c>
      <c r="F1189" s="14">
        <v>450000</v>
      </c>
      <c r="G1189" s="14">
        <f t="shared" si="31"/>
        <v>16200</v>
      </c>
      <c r="H1189" s="15"/>
      <c r="I1189" s="47"/>
    </row>
    <row r="1190" spans="1:9" x14ac:dyDescent="0.25">
      <c r="A1190" s="11"/>
      <c r="B1190" s="12"/>
      <c r="C1190" s="35"/>
      <c r="D1190" s="34"/>
      <c r="E1190" s="30"/>
      <c r="F1190" s="14"/>
      <c r="G1190" s="14">
        <f t="shared" si="31"/>
        <v>0</v>
      </c>
      <c r="H1190" s="15"/>
      <c r="I1190" s="47"/>
    </row>
    <row r="1191" spans="1:9" x14ac:dyDescent="0.25">
      <c r="A1191" s="11"/>
      <c r="B1191" s="12"/>
      <c r="C1191" s="35"/>
      <c r="D1191" s="31"/>
      <c r="E1191" s="30"/>
      <c r="F1191" s="14"/>
      <c r="G1191" s="14">
        <f t="shared" si="31"/>
        <v>0</v>
      </c>
      <c r="H1191" s="15"/>
      <c r="I1191" s="47"/>
    </row>
    <row r="1192" spans="1:9" x14ac:dyDescent="0.25">
      <c r="A1192" s="11"/>
      <c r="B1192" s="12"/>
      <c r="C1192" s="35"/>
      <c r="D1192" s="31"/>
      <c r="E1192" s="30"/>
      <c r="F1192" s="14"/>
      <c r="G1192" s="14">
        <f t="shared" si="31"/>
        <v>0</v>
      </c>
      <c r="H1192" s="17"/>
      <c r="I1192" s="47"/>
    </row>
    <row r="1193" spans="1:9" x14ac:dyDescent="0.25">
      <c r="A1193" s="291"/>
      <c r="B1193" s="228"/>
      <c r="C1193" s="228"/>
      <c r="D1193" s="228"/>
      <c r="E1193" s="36"/>
      <c r="F1193" s="37" t="s">
        <v>102</v>
      </c>
      <c r="G1193" s="38"/>
      <c r="H1193" s="23">
        <f>SUM(G1184:G1192)</f>
        <v>55357</v>
      </c>
      <c r="I1193" s="220"/>
    </row>
    <row r="1194" spans="1:9" x14ac:dyDescent="0.25">
      <c r="A1194" s="291"/>
      <c r="B1194" s="228"/>
      <c r="C1194" s="228"/>
      <c r="D1194" s="228"/>
      <c r="E1194" s="36"/>
      <c r="F1194" s="39" t="s">
        <v>103</v>
      </c>
      <c r="G1194" s="38"/>
      <c r="H1194" s="23">
        <f>ROUND((D1184*G1184)+(D1185*G1185)+(D1186*G1186)+(D1187*G1187)+(D1188*G1188)+(D1189*G1189)+(D1190*G1190)+(D1191*G1191)+(D1192*G1192),0)</f>
        <v>810</v>
      </c>
      <c r="I1194" s="220"/>
    </row>
    <row r="1195" spans="1:9" x14ac:dyDescent="0.25">
      <c r="A1195" s="291"/>
      <c r="B1195" s="228"/>
      <c r="C1195" s="228"/>
      <c r="D1195" s="228"/>
      <c r="E1195" s="36"/>
      <c r="F1195" s="20" t="s">
        <v>104</v>
      </c>
      <c r="G1195" s="40"/>
      <c r="H1195" s="23">
        <f>SUM(H1193:H1194)</f>
        <v>56167</v>
      </c>
      <c r="I1195" s="220"/>
    </row>
    <row r="1196" spans="1:9" x14ac:dyDescent="0.25">
      <c r="A1196" s="291" t="s">
        <v>105</v>
      </c>
      <c r="B1196" s="228"/>
      <c r="C1196" s="228"/>
      <c r="D1196" s="228"/>
      <c r="E1196" s="47"/>
      <c r="F1196" s="47"/>
      <c r="G1196" s="47"/>
      <c r="H1196" s="233"/>
      <c r="I1196" s="47"/>
    </row>
    <row r="1197" spans="1:9" x14ac:dyDescent="0.25">
      <c r="A1197" s="24" t="s">
        <v>0</v>
      </c>
      <c r="B1197" s="24"/>
      <c r="C1197" s="8" t="s">
        <v>106</v>
      </c>
      <c r="D1197" s="8" t="s">
        <v>107</v>
      </c>
      <c r="E1197" s="9" t="s">
        <v>108</v>
      </c>
      <c r="F1197" s="9" t="s">
        <v>109</v>
      </c>
      <c r="G1197" s="41" t="s">
        <v>96</v>
      </c>
      <c r="H1197" s="10"/>
      <c r="I1197" s="47"/>
    </row>
    <row r="1198" spans="1:9" x14ac:dyDescent="0.25">
      <c r="A1198" s="18" t="s">
        <v>110</v>
      </c>
      <c r="B1198" s="42"/>
      <c r="C1198" s="13">
        <f>104000+26000</f>
        <v>130000</v>
      </c>
      <c r="D1198" s="13">
        <f>+C1198*0.16</f>
        <v>20800</v>
      </c>
      <c r="E1198" s="14">
        <f>C1198+D1198</f>
        <v>150800</v>
      </c>
      <c r="F1198" s="30">
        <v>0.1</v>
      </c>
      <c r="G1198" s="14">
        <f>ROUND(E1198*F1198,0)</f>
        <v>15080</v>
      </c>
      <c r="H1198" s="15"/>
      <c r="I1198" s="47"/>
    </row>
    <row r="1199" spans="1:9" x14ac:dyDescent="0.25">
      <c r="A1199" s="18" t="s">
        <v>111</v>
      </c>
      <c r="B1199" s="42"/>
      <c r="C1199" s="13">
        <f>60400+25850</f>
        <v>86250</v>
      </c>
      <c r="D1199" s="13">
        <f>+C1199*0.16</f>
        <v>13800</v>
      </c>
      <c r="E1199" s="14">
        <f>C1199+D1199</f>
        <v>100050</v>
      </c>
      <c r="F1199" s="30">
        <v>0.12</v>
      </c>
      <c r="G1199" s="14">
        <f>ROUND(E1199*F1199,0)</f>
        <v>12006</v>
      </c>
      <c r="H1199" s="15"/>
      <c r="I1199" s="47"/>
    </row>
    <row r="1200" spans="1:9" x14ac:dyDescent="0.25">
      <c r="A1200" s="18"/>
      <c r="B1200" s="42"/>
      <c r="C1200" s="43"/>
      <c r="D1200" s="43"/>
      <c r="E1200" s="44">
        <f>C1200+D1200</f>
        <v>0</v>
      </c>
      <c r="F1200" s="45"/>
      <c r="G1200" s="14">
        <f>ROUND(E1200*F1200,0)</f>
        <v>0</v>
      </c>
      <c r="H1200" s="15"/>
      <c r="I1200" s="47"/>
    </row>
    <row r="1201" spans="1:9" x14ac:dyDescent="0.25">
      <c r="A1201" s="291"/>
      <c r="B1201" s="228"/>
      <c r="C1201" s="228"/>
      <c r="D1201" s="228"/>
      <c r="E1201" s="277" t="s">
        <v>112</v>
      </c>
      <c r="F1201" s="277"/>
      <c r="G1201" s="277"/>
      <c r="H1201" s="82">
        <f>SUM(G1198:G1200)</f>
        <v>27086</v>
      </c>
      <c r="I1201" s="221"/>
    </row>
    <row r="1202" spans="1:9" x14ac:dyDescent="0.25">
      <c r="A1202" s="291"/>
      <c r="B1202" s="228"/>
      <c r="C1202" s="228"/>
      <c r="D1202" s="228"/>
      <c r="E1202" s="47"/>
      <c r="F1202" s="47"/>
      <c r="G1202" s="47"/>
      <c r="H1202" s="233"/>
      <c r="I1202" s="47"/>
    </row>
    <row r="1203" spans="1:9" x14ac:dyDescent="0.25">
      <c r="A1203" s="18"/>
      <c r="B1203" s="19"/>
      <c r="C1203" s="19"/>
      <c r="D1203" s="19"/>
      <c r="E1203" s="48" t="s">
        <v>113</v>
      </c>
      <c r="F1203" s="48"/>
      <c r="G1203" s="48"/>
      <c r="H1203" s="25">
        <f>H1201+H1195+H1181</f>
        <v>193599</v>
      </c>
      <c r="I1203" s="222"/>
    </row>
    <row r="1204" spans="1:9" x14ac:dyDescent="0.25">
      <c r="A1204" s="291"/>
      <c r="B1204" s="228"/>
      <c r="C1204" s="228"/>
      <c r="D1204" s="228"/>
      <c r="E1204" s="47"/>
      <c r="F1204" s="47"/>
      <c r="G1204" s="47"/>
      <c r="H1204" s="233"/>
      <c r="I1204" s="47"/>
    </row>
    <row r="1205" spans="1:9" x14ac:dyDescent="0.25">
      <c r="A1205" s="291" t="s">
        <v>114</v>
      </c>
      <c r="B1205" s="228"/>
      <c r="C1205" s="228"/>
      <c r="D1205" s="228"/>
      <c r="E1205" s="47"/>
      <c r="F1205" s="47"/>
      <c r="G1205" s="47"/>
      <c r="H1205" s="233"/>
      <c r="I1205" s="47"/>
    </row>
    <row r="1206" spans="1:9" x14ac:dyDescent="0.25">
      <c r="A1206" s="6" t="s">
        <v>0</v>
      </c>
      <c r="B1206" s="49"/>
      <c r="C1206" s="49"/>
      <c r="D1206" s="49"/>
      <c r="E1206" s="50"/>
      <c r="F1206" s="9" t="s">
        <v>115</v>
      </c>
      <c r="G1206" s="41" t="s">
        <v>116</v>
      </c>
      <c r="H1206" s="10"/>
      <c r="I1206" s="47"/>
    </row>
    <row r="1207" spans="1:9" x14ac:dyDescent="0.25">
      <c r="A1207" s="11" t="s">
        <v>117</v>
      </c>
      <c r="B1207" s="51"/>
      <c r="C1207" s="51"/>
      <c r="D1207" s="51"/>
      <c r="E1207" s="52"/>
      <c r="F1207" s="53"/>
      <c r="G1207" s="14">
        <f>F1207*H1203</f>
        <v>0</v>
      </c>
      <c r="H1207" s="15"/>
      <c r="I1207" s="47"/>
    </row>
    <row r="1208" spans="1:9" hidden="1" x14ac:dyDescent="0.25">
      <c r="A1208" s="11"/>
      <c r="B1208" s="51"/>
      <c r="C1208" s="51"/>
      <c r="D1208" s="51"/>
      <c r="E1208" s="52"/>
      <c r="F1208" s="53"/>
      <c r="G1208" s="14">
        <f>F1208*H1203</f>
        <v>0</v>
      </c>
      <c r="H1208" s="15"/>
      <c r="I1208" s="47"/>
    </row>
    <row r="1209" spans="1:9" hidden="1" x14ac:dyDescent="0.25">
      <c r="A1209" s="11"/>
      <c r="B1209" s="51"/>
      <c r="C1209" s="51"/>
      <c r="D1209" s="51"/>
      <c r="E1209" s="52"/>
      <c r="F1209" s="53"/>
      <c r="G1209" s="14">
        <f>F1209*H1203</f>
        <v>0</v>
      </c>
      <c r="H1209" s="17"/>
      <c r="I1209" s="47"/>
    </row>
    <row r="1210" spans="1:9" x14ac:dyDescent="0.25">
      <c r="A1210" s="4"/>
      <c r="B1210" s="4"/>
      <c r="C1210" s="4"/>
      <c r="D1210" s="4"/>
      <c r="E1210" s="46" t="s">
        <v>118</v>
      </c>
      <c r="F1210" s="46"/>
      <c r="G1210" s="46"/>
      <c r="H1210" s="36">
        <f>SUM(G1207:G1209)</f>
        <v>0</v>
      </c>
      <c r="I1210" s="220"/>
    </row>
    <row r="1211" spans="1:9" ht="15.75" thickBot="1" x14ac:dyDescent="0.3">
      <c r="A1211" s="4"/>
      <c r="B1211" s="4"/>
      <c r="C1211" s="4"/>
      <c r="D1211" s="4"/>
      <c r="E1211" s="5"/>
      <c r="F1211" s="5"/>
      <c r="G1211" s="5"/>
      <c r="H1211" s="5"/>
      <c r="I1211" s="47"/>
    </row>
    <row r="1212" spans="1:9" ht="15.75" thickBot="1" x14ac:dyDescent="0.3">
      <c r="A1212" s="4"/>
      <c r="B1212" s="4"/>
      <c r="C1212" s="4"/>
      <c r="D1212" s="4"/>
      <c r="E1212" s="54"/>
      <c r="F1212" s="54" t="s">
        <v>119</v>
      </c>
      <c r="G1212" s="54"/>
      <c r="H1212" s="240">
        <f>SUM(H1210+H1203)</f>
        <v>193599</v>
      </c>
      <c r="I1212" s="112"/>
    </row>
    <row r="1213" spans="1:9" ht="36" customHeight="1" x14ac:dyDescent="0.25">
      <c r="A1213" s="4"/>
      <c r="B1213" s="4"/>
      <c r="C1213" s="4"/>
      <c r="D1213" s="4"/>
      <c r="E1213" s="54"/>
      <c r="F1213" s="54"/>
      <c r="G1213" s="54"/>
      <c r="H1213" s="112"/>
      <c r="I1213" s="112"/>
    </row>
    <row r="1214" spans="1:9" x14ac:dyDescent="0.25">
      <c r="A1214" s="4"/>
      <c r="B1214" s="4"/>
      <c r="C1214" s="4"/>
      <c r="D1214" s="4"/>
      <c r="E1214" s="54"/>
      <c r="F1214" s="54"/>
      <c r="G1214" s="54"/>
      <c r="H1214" s="112"/>
      <c r="I1214" s="112"/>
    </row>
    <row r="1215" spans="1:9" x14ac:dyDescent="0.25">
      <c r="A1215" s="4"/>
      <c r="B1215" s="4"/>
      <c r="C1215" s="4"/>
      <c r="D1215" s="4"/>
      <c r="E1215" s="54"/>
      <c r="F1215" s="54"/>
      <c r="G1215" s="54"/>
      <c r="H1215" s="112"/>
      <c r="I1215" s="112"/>
    </row>
    <row r="1216" spans="1:9" x14ac:dyDescent="0.25">
      <c r="A1216" s="4"/>
      <c r="B1216" s="4"/>
      <c r="C1216" s="4"/>
      <c r="D1216" s="4"/>
      <c r="E1216" s="54"/>
      <c r="F1216" s="54"/>
      <c r="G1216" s="54"/>
      <c r="H1216" s="112"/>
      <c r="I1216" s="112"/>
    </row>
    <row r="1217" spans="1:9" x14ac:dyDescent="0.25">
      <c r="A1217" s="4"/>
      <c r="B1217" s="4"/>
      <c r="C1217" s="4"/>
      <c r="D1217" s="4"/>
      <c r="E1217" s="54"/>
      <c r="F1217" s="54"/>
      <c r="G1217" s="54"/>
      <c r="H1217" s="112"/>
      <c r="I1217" s="112"/>
    </row>
    <row r="1221" spans="1:9" x14ac:dyDescent="0.25">
      <c r="A1221" s="412" t="s">
        <v>79</v>
      </c>
      <c r="B1221" s="412"/>
      <c r="C1221" s="412"/>
      <c r="D1221" s="412"/>
      <c r="E1221" s="412"/>
      <c r="F1221" s="412"/>
      <c r="G1221" s="412"/>
      <c r="H1221" s="412"/>
      <c r="I1221" s="250"/>
    </row>
    <row r="1222" spans="1:9" x14ac:dyDescent="0.25">
      <c r="A1222" s="4"/>
      <c r="B1222" s="4"/>
      <c r="C1222" s="4"/>
      <c r="D1222" s="4"/>
      <c r="E1222" s="5"/>
      <c r="F1222" s="5"/>
      <c r="G1222" s="411" t="s">
        <v>326</v>
      </c>
      <c r="H1222" s="411"/>
      <c r="I1222" s="251"/>
    </row>
    <row r="1223" spans="1:9" ht="29.45" customHeight="1" x14ac:dyDescent="0.25">
      <c r="A1223" s="434" t="s">
        <v>219</v>
      </c>
      <c r="B1223" s="434"/>
      <c r="C1223" s="434"/>
      <c r="D1223" s="434"/>
      <c r="E1223" s="434"/>
      <c r="F1223" s="434"/>
      <c r="G1223" s="434"/>
      <c r="H1223" s="434"/>
      <c r="I1223" s="252"/>
    </row>
    <row r="1224" spans="1:9" x14ac:dyDescent="0.25">
      <c r="A1224" s="4"/>
      <c r="B1224" s="4"/>
      <c r="C1224" s="4"/>
      <c r="D1224" s="4"/>
      <c r="E1224" s="5"/>
      <c r="F1224" s="5"/>
      <c r="G1224" s="414" t="s">
        <v>120</v>
      </c>
      <c r="H1224" s="414"/>
      <c r="I1224" s="253"/>
    </row>
    <row r="1225" spans="1:9" x14ac:dyDescent="0.25">
      <c r="A1225" s="4" t="s">
        <v>82</v>
      </c>
      <c r="B1225" s="4"/>
      <c r="C1225" s="4"/>
      <c r="D1225" s="4"/>
      <c r="E1225" s="5"/>
      <c r="F1225" s="5"/>
      <c r="G1225" s="5"/>
      <c r="H1225" s="5"/>
      <c r="I1225" s="47"/>
    </row>
    <row r="1226" spans="1:9" x14ac:dyDescent="0.25">
      <c r="A1226" s="6" t="s">
        <v>0</v>
      </c>
      <c r="B1226" s="7"/>
      <c r="C1226" s="8" t="s">
        <v>83</v>
      </c>
      <c r="D1226" s="8" t="s">
        <v>84</v>
      </c>
      <c r="E1226" s="9" t="s">
        <v>85</v>
      </c>
      <c r="F1226" s="9" t="s">
        <v>86</v>
      </c>
      <c r="G1226" s="9" t="s">
        <v>87</v>
      </c>
      <c r="H1226" s="10"/>
      <c r="I1226" s="47"/>
    </row>
    <row r="1227" spans="1:9" x14ac:dyDescent="0.25">
      <c r="A1227" s="11" t="s">
        <v>88</v>
      </c>
      <c r="B1227" s="12"/>
      <c r="C1227" s="13"/>
      <c r="D1227" s="13"/>
      <c r="E1227" s="14"/>
      <c r="F1227" s="14"/>
      <c r="G1227" s="14">
        <f>ROUND(H1251*0.05,0)+8-16</f>
        <v>9149</v>
      </c>
      <c r="H1227" s="15"/>
      <c r="I1227" s="47"/>
    </row>
    <row r="1228" spans="1:9" x14ac:dyDescent="0.25">
      <c r="A1228" s="11" t="s">
        <v>327</v>
      </c>
      <c r="B1228" s="12"/>
      <c r="C1228" s="13"/>
      <c r="D1228" s="13"/>
      <c r="E1228" s="14">
        <v>350000</v>
      </c>
      <c r="F1228" s="14">
        <v>0.1</v>
      </c>
      <c r="G1228" s="14">
        <f>ROUND(E1228*F1228,0)</f>
        <v>35000</v>
      </c>
      <c r="H1228" s="15"/>
      <c r="I1228" s="47"/>
    </row>
    <row r="1229" spans="1:9" x14ac:dyDescent="0.25">
      <c r="A1229" s="11" t="s">
        <v>328</v>
      </c>
      <c r="B1229" s="12"/>
      <c r="C1229" s="13"/>
      <c r="D1229" s="13"/>
      <c r="E1229" s="14">
        <v>50000</v>
      </c>
      <c r="F1229" s="16">
        <v>0.1</v>
      </c>
      <c r="G1229" s="14">
        <f>ROUND(E1229*F1229,0)</f>
        <v>5000</v>
      </c>
      <c r="H1229" s="15"/>
      <c r="I1229" s="47"/>
    </row>
    <row r="1230" spans="1:9" x14ac:dyDescent="0.25">
      <c r="A1230" s="11"/>
      <c r="B1230" s="12"/>
      <c r="C1230" s="13"/>
      <c r="D1230" s="13"/>
      <c r="E1230" s="14"/>
      <c r="F1230" s="14"/>
      <c r="G1230" s="14">
        <f>ROUND(E1230*F1230,0)</f>
        <v>0</v>
      </c>
      <c r="H1230" s="17"/>
      <c r="I1230" s="47"/>
    </row>
    <row r="1231" spans="1:9" x14ac:dyDescent="0.25">
      <c r="A1231" s="18"/>
      <c r="B1231" s="19"/>
      <c r="C1231" s="19"/>
      <c r="D1231" s="19"/>
      <c r="E1231" s="20"/>
      <c r="F1231" s="21" t="s">
        <v>90</v>
      </c>
      <c r="G1231" s="22"/>
      <c r="H1231" s="23">
        <f>SUM(G1227:G1230)</f>
        <v>49149</v>
      </c>
      <c r="I1231" s="220"/>
    </row>
    <row r="1232" spans="1:9" x14ac:dyDescent="0.25">
      <c r="A1232" s="291" t="s">
        <v>91</v>
      </c>
      <c r="B1232" s="228"/>
      <c r="C1232" s="228"/>
      <c r="D1232" s="228"/>
      <c r="E1232" s="47"/>
      <c r="F1232" s="47"/>
      <c r="G1232" s="47"/>
      <c r="H1232" s="233"/>
      <c r="I1232" s="47"/>
    </row>
    <row r="1233" spans="1:9" x14ac:dyDescent="0.25">
      <c r="A1233" s="24" t="s">
        <v>0</v>
      </c>
      <c r="B1233" s="24"/>
      <c r="C1233" s="8" t="s">
        <v>92</v>
      </c>
      <c r="D1233" s="8" t="s">
        <v>93</v>
      </c>
      <c r="E1233" s="9" t="s">
        <v>94</v>
      </c>
      <c r="F1233" s="9" t="s">
        <v>95</v>
      </c>
      <c r="G1233" s="25" t="s">
        <v>96</v>
      </c>
      <c r="H1233" s="10"/>
      <c r="I1233" s="47"/>
    </row>
    <row r="1234" spans="1:9" x14ac:dyDescent="0.25">
      <c r="A1234" s="474" t="s">
        <v>121</v>
      </c>
      <c r="B1234" s="474"/>
      <c r="C1234" s="56" t="s">
        <v>8</v>
      </c>
      <c r="D1234" s="29"/>
      <c r="E1234" s="57">
        <v>1</v>
      </c>
      <c r="F1234" s="14">
        <v>50000</v>
      </c>
      <c r="G1234" s="14">
        <f t="shared" ref="G1234:G1242" si="32">ROUND(E1234*F1234,0)</f>
        <v>50000</v>
      </c>
      <c r="H1234" s="15"/>
      <c r="I1234" s="47"/>
    </row>
    <row r="1235" spans="1:9" x14ac:dyDescent="0.25">
      <c r="A1235" s="474" t="s">
        <v>122</v>
      </c>
      <c r="B1235" s="474"/>
      <c r="C1235" s="56" t="s">
        <v>123</v>
      </c>
      <c r="D1235" s="31"/>
      <c r="E1235" s="57">
        <v>1</v>
      </c>
      <c r="F1235" s="14">
        <v>25000</v>
      </c>
      <c r="G1235" s="14">
        <f t="shared" si="32"/>
        <v>25000</v>
      </c>
      <c r="H1235" s="15"/>
      <c r="I1235" s="47"/>
    </row>
    <row r="1236" spans="1:9" x14ac:dyDescent="0.25">
      <c r="A1236" s="474" t="s">
        <v>125</v>
      </c>
      <c r="B1236" s="474"/>
      <c r="C1236" s="56" t="s">
        <v>124</v>
      </c>
      <c r="D1236" s="29"/>
      <c r="E1236" s="57">
        <v>1</v>
      </c>
      <c r="F1236" s="14">
        <v>50000</v>
      </c>
      <c r="G1236" s="14">
        <f t="shared" si="32"/>
        <v>50000</v>
      </c>
      <c r="H1236" s="15"/>
      <c r="I1236" s="47"/>
    </row>
    <row r="1237" spans="1:9" x14ac:dyDescent="0.25">
      <c r="A1237" s="475"/>
      <c r="B1237" s="475"/>
      <c r="C1237" s="28"/>
      <c r="D1237" s="31"/>
      <c r="E1237" s="30"/>
      <c r="F1237" s="14"/>
      <c r="G1237" s="14">
        <f t="shared" si="32"/>
        <v>0</v>
      </c>
      <c r="H1237" s="15"/>
      <c r="I1237" s="47"/>
    </row>
    <row r="1238" spans="1:9" x14ac:dyDescent="0.25">
      <c r="A1238" s="11"/>
      <c r="B1238" s="12"/>
      <c r="C1238" s="28"/>
      <c r="D1238" s="34"/>
      <c r="E1238" s="30"/>
      <c r="F1238" s="14"/>
      <c r="G1238" s="14">
        <f t="shared" si="32"/>
        <v>0</v>
      </c>
      <c r="H1238" s="15"/>
      <c r="I1238" s="47"/>
    </row>
    <row r="1239" spans="1:9" x14ac:dyDescent="0.25">
      <c r="A1239" s="11"/>
      <c r="B1239" s="12"/>
      <c r="C1239" s="35"/>
      <c r="D1239" s="31"/>
      <c r="E1239" s="30"/>
      <c r="F1239" s="14"/>
      <c r="G1239" s="14">
        <f t="shared" si="32"/>
        <v>0</v>
      </c>
      <c r="H1239" s="15"/>
      <c r="I1239" s="47"/>
    </row>
    <row r="1240" spans="1:9" x14ac:dyDescent="0.25">
      <c r="A1240" s="11"/>
      <c r="B1240" s="12"/>
      <c r="C1240" s="35"/>
      <c r="D1240" s="34"/>
      <c r="E1240" s="30"/>
      <c r="F1240" s="14"/>
      <c r="G1240" s="14">
        <f t="shared" si="32"/>
        <v>0</v>
      </c>
      <c r="H1240" s="15"/>
      <c r="I1240" s="47"/>
    </row>
    <row r="1241" spans="1:9" x14ac:dyDescent="0.25">
      <c r="A1241" s="11"/>
      <c r="B1241" s="12"/>
      <c r="C1241" s="35"/>
      <c r="D1241" s="31"/>
      <c r="E1241" s="30"/>
      <c r="F1241" s="14"/>
      <c r="G1241" s="14">
        <f t="shared" si="32"/>
        <v>0</v>
      </c>
      <c r="H1241" s="15"/>
      <c r="I1241" s="47"/>
    </row>
    <row r="1242" spans="1:9" x14ac:dyDescent="0.25">
      <c r="A1242" s="11"/>
      <c r="B1242" s="12"/>
      <c r="C1242" s="35"/>
      <c r="D1242" s="31"/>
      <c r="E1242" s="30"/>
      <c r="F1242" s="14"/>
      <c r="G1242" s="14">
        <f t="shared" si="32"/>
        <v>0</v>
      </c>
      <c r="H1242" s="17"/>
      <c r="I1242" s="47"/>
    </row>
    <row r="1243" spans="1:9" x14ac:dyDescent="0.25">
      <c r="A1243" s="291"/>
      <c r="B1243" s="228"/>
      <c r="C1243" s="228"/>
      <c r="D1243" s="228"/>
      <c r="E1243" s="36"/>
      <c r="F1243" s="37" t="s">
        <v>102</v>
      </c>
      <c r="G1243" s="38"/>
      <c r="H1243" s="23">
        <f>SUM(G1234:G1242)</f>
        <v>125000</v>
      </c>
      <c r="I1243" s="220"/>
    </row>
    <row r="1244" spans="1:9" x14ac:dyDescent="0.25">
      <c r="A1244" s="291"/>
      <c r="B1244" s="228"/>
      <c r="C1244" s="228"/>
      <c r="D1244" s="228"/>
      <c r="E1244" s="36"/>
      <c r="F1244" s="39" t="s">
        <v>103</v>
      </c>
      <c r="G1244" s="38"/>
      <c r="H1244" s="23">
        <f>ROUND((D1234*G1234)+(D1235*G1235)+(D1236*G1236)+(D1237*G1237)+(D1238*G1238)+(D1239*G1239)+(D1240*G1240)+(D1241*G1241)+(D1242*G1242),0)</f>
        <v>0</v>
      </c>
      <c r="I1244" s="220"/>
    </row>
    <row r="1245" spans="1:9" x14ac:dyDescent="0.25">
      <c r="A1245" s="291"/>
      <c r="B1245" s="228"/>
      <c r="C1245" s="228"/>
      <c r="D1245" s="228"/>
      <c r="E1245" s="36"/>
      <c r="F1245" s="20" t="s">
        <v>104</v>
      </c>
      <c r="G1245" s="40"/>
      <c r="H1245" s="23">
        <f>SUM(H1243:H1244)</f>
        <v>125000</v>
      </c>
      <c r="I1245" s="220"/>
    </row>
    <row r="1246" spans="1:9" x14ac:dyDescent="0.25">
      <c r="A1246" s="291" t="s">
        <v>105</v>
      </c>
      <c r="B1246" s="228"/>
      <c r="C1246" s="228"/>
      <c r="D1246" s="228"/>
      <c r="E1246" s="47"/>
      <c r="F1246" s="47"/>
      <c r="G1246" s="47"/>
      <c r="H1246" s="233"/>
      <c r="I1246" s="47"/>
    </row>
    <row r="1247" spans="1:9" x14ac:dyDescent="0.25">
      <c r="A1247" s="24" t="s">
        <v>0</v>
      </c>
      <c r="B1247" s="24"/>
      <c r="C1247" s="8" t="s">
        <v>106</v>
      </c>
      <c r="D1247" s="8" t="s">
        <v>107</v>
      </c>
      <c r="E1247" s="9" t="s">
        <v>108</v>
      </c>
      <c r="F1247" s="9" t="s">
        <v>109</v>
      </c>
      <c r="G1247" s="41" t="s">
        <v>96</v>
      </c>
      <c r="H1247" s="10"/>
      <c r="I1247" s="47"/>
    </row>
    <row r="1248" spans="1:9" x14ac:dyDescent="0.25">
      <c r="A1248" s="18" t="s">
        <v>110</v>
      </c>
      <c r="B1248" s="42"/>
      <c r="C1248" s="13">
        <f>104000+26000</f>
        <v>130000</v>
      </c>
      <c r="D1248" s="13">
        <f>+C1248*0.16</f>
        <v>20800</v>
      </c>
      <c r="E1248" s="14">
        <f>C1248+D1248</f>
        <v>150800</v>
      </c>
      <c r="F1248" s="30">
        <v>0.75</v>
      </c>
      <c r="G1248" s="14">
        <f>ROUND(E1248*F1248,0)</f>
        <v>113100</v>
      </c>
      <c r="H1248" s="15"/>
      <c r="I1248" s="47"/>
    </row>
    <row r="1249" spans="1:9" x14ac:dyDescent="0.25">
      <c r="A1249" s="18" t="s">
        <v>111</v>
      </c>
      <c r="B1249" s="42"/>
      <c r="C1249" s="13">
        <f>60400+25850</f>
        <v>86250</v>
      </c>
      <c r="D1249" s="13">
        <f>+C1249*0.16</f>
        <v>13800</v>
      </c>
      <c r="E1249" s="14">
        <f>C1249+D1249</f>
        <v>100050</v>
      </c>
      <c r="F1249" s="30">
        <v>0.7</v>
      </c>
      <c r="G1249" s="14">
        <f>ROUND(E1249*F1249,0)</f>
        <v>70035</v>
      </c>
      <c r="H1249" s="15"/>
      <c r="I1249" s="47"/>
    </row>
    <row r="1250" spans="1:9" x14ac:dyDescent="0.25">
      <c r="A1250" s="18"/>
      <c r="B1250" s="42"/>
      <c r="C1250" s="43"/>
      <c r="D1250" s="43"/>
      <c r="E1250" s="44">
        <f>C1250+D1250</f>
        <v>0</v>
      </c>
      <c r="F1250" s="45"/>
      <c r="G1250" s="14">
        <f>ROUND(E1250*F1250,0)</f>
        <v>0</v>
      </c>
      <c r="H1250" s="15"/>
      <c r="I1250" s="47"/>
    </row>
    <row r="1251" spans="1:9" x14ac:dyDescent="0.25">
      <c r="A1251" s="291"/>
      <c r="B1251" s="228"/>
      <c r="C1251" s="228"/>
      <c r="D1251" s="228"/>
      <c r="E1251" s="277" t="s">
        <v>112</v>
      </c>
      <c r="F1251" s="277"/>
      <c r="G1251" s="277"/>
      <c r="H1251" s="82">
        <f>SUM(G1248:G1250)</f>
        <v>183135</v>
      </c>
      <c r="I1251" s="221"/>
    </row>
    <row r="1252" spans="1:9" x14ac:dyDescent="0.25">
      <c r="A1252" s="291"/>
      <c r="B1252" s="228"/>
      <c r="C1252" s="228"/>
      <c r="D1252" s="228"/>
      <c r="E1252" s="47"/>
      <c r="F1252" s="47"/>
      <c r="G1252" s="47"/>
      <c r="H1252" s="233"/>
      <c r="I1252" s="47"/>
    </row>
    <row r="1253" spans="1:9" x14ac:dyDescent="0.25">
      <c r="A1253" s="18"/>
      <c r="B1253" s="19"/>
      <c r="C1253" s="19"/>
      <c r="D1253" s="19"/>
      <c r="E1253" s="48" t="s">
        <v>113</v>
      </c>
      <c r="F1253" s="48"/>
      <c r="G1253" s="48"/>
      <c r="H1253" s="25">
        <f>H1251+H1245+H1231</f>
        <v>357284</v>
      </c>
      <c r="I1253" s="222"/>
    </row>
    <row r="1254" spans="1:9" x14ac:dyDescent="0.25">
      <c r="A1254" s="291"/>
      <c r="B1254" s="228"/>
      <c r="C1254" s="228"/>
      <c r="D1254" s="228"/>
      <c r="E1254" s="47"/>
      <c r="F1254" s="47"/>
      <c r="G1254" s="47"/>
      <c r="H1254" s="233"/>
      <c r="I1254" s="47"/>
    </row>
    <row r="1255" spans="1:9" x14ac:dyDescent="0.25">
      <c r="A1255" s="291" t="s">
        <v>114</v>
      </c>
      <c r="B1255" s="228"/>
      <c r="C1255" s="228"/>
      <c r="D1255" s="228"/>
      <c r="E1255" s="47"/>
      <c r="F1255" s="47"/>
      <c r="G1255" s="47"/>
      <c r="H1255" s="233"/>
      <c r="I1255" s="47"/>
    </row>
    <row r="1256" spans="1:9" x14ac:dyDescent="0.25">
      <c r="A1256" s="6" t="s">
        <v>0</v>
      </c>
      <c r="B1256" s="49"/>
      <c r="C1256" s="49"/>
      <c r="D1256" s="49"/>
      <c r="E1256" s="50"/>
      <c r="F1256" s="9" t="s">
        <v>115</v>
      </c>
      <c r="G1256" s="41" t="s">
        <v>116</v>
      </c>
      <c r="H1256" s="10"/>
      <c r="I1256" s="47"/>
    </row>
    <row r="1257" spans="1:9" x14ac:dyDescent="0.25">
      <c r="A1257" s="11" t="s">
        <v>117</v>
      </c>
      <c r="B1257" s="51"/>
      <c r="C1257" s="51"/>
      <c r="D1257" s="51"/>
      <c r="E1257" s="52"/>
      <c r="F1257" s="53"/>
      <c r="G1257" s="14">
        <f>F1257*H1253</f>
        <v>0</v>
      </c>
      <c r="H1257" s="15"/>
      <c r="I1257" s="47"/>
    </row>
    <row r="1258" spans="1:9" x14ac:dyDescent="0.25">
      <c r="A1258" s="11"/>
      <c r="B1258" s="51"/>
      <c r="C1258" s="51"/>
      <c r="D1258" s="51"/>
      <c r="E1258" s="52"/>
      <c r="F1258" s="53"/>
      <c r="G1258" s="14">
        <f>F1258*H1253</f>
        <v>0</v>
      </c>
      <c r="H1258" s="15"/>
      <c r="I1258" s="47"/>
    </row>
    <row r="1259" spans="1:9" x14ac:dyDescent="0.25">
      <c r="A1259" s="11"/>
      <c r="B1259" s="51"/>
      <c r="C1259" s="51"/>
      <c r="D1259" s="51"/>
      <c r="E1259" s="52"/>
      <c r="F1259" s="53"/>
      <c r="G1259" s="14">
        <f>F1259*H1253</f>
        <v>0</v>
      </c>
      <c r="H1259" s="17"/>
      <c r="I1259" s="47"/>
    </row>
    <row r="1260" spans="1:9" x14ac:dyDescent="0.25">
      <c r="A1260" s="4"/>
      <c r="B1260" s="4"/>
      <c r="C1260" s="4"/>
      <c r="D1260" s="4"/>
      <c r="E1260" s="46" t="s">
        <v>118</v>
      </c>
      <c r="F1260" s="46"/>
      <c r="G1260" s="46"/>
      <c r="H1260" s="36">
        <f>SUM(G1257:G1259)</f>
        <v>0</v>
      </c>
      <c r="I1260" s="220"/>
    </row>
    <row r="1261" spans="1:9" ht="15.75" thickBot="1" x14ac:dyDescent="0.3">
      <c r="A1261" s="4"/>
      <c r="B1261" s="4"/>
      <c r="C1261" s="4"/>
      <c r="D1261" s="4"/>
      <c r="E1261" s="5"/>
      <c r="F1261" s="5"/>
      <c r="G1261" s="5"/>
      <c r="H1261" s="5"/>
      <c r="I1261" s="47"/>
    </row>
    <row r="1262" spans="1:9" ht="15.75" thickBot="1" x14ac:dyDescent="0.3">
      <c r="A1262" s="4"/>
      <c r="B1262" s="4"/>
      <c r="C1262" s="4"/>
      <c r="D1262" s="4"/>
      <c r="E1262" s="54"/>
      <c r="F1262" s="54" t="s">
        <v>119</v>
      </c>
      <c r="G1262" s="54"/>
      <c r="H1262" s="240">
        <f>SUM(H1260+H1253)</f>
        <v>357284</v>
      </c>
      <c r="I1262" s="112"/>
    </row>
    <row r="1267" spans="1:9" x14ac:dyDescent="0.25">
      <c r="A1267" s="412" t="s">
        <v>79</v>
      </c>
      <c r="B1267" s="412"/>
      <c r="C1267" s="412"/>
      <c r="D1267" s="412"/>
      <c r="E1267" s="412"/>
      <c r="F1267" s="412"/>
      <c r="G1267" s="412"/>
      <c r="H1267" s="412"/>
      <c r="I1267" s="250"/>
    </row>
    <row r="1268" spans="1:9" x14ac:dyDescent="0.25">
      <c r="A1268" s="4"/>
      <c r="B1268" s="4"/>
      <c r="C1268" s="4"/>
      <c r="D1268" s="4"/>
      <c r="E1268" s="5"/>
      <c r="F1268" s="5"/>
      <c r="G1268" s="411" t="s">
        <v>326</v>
      </c>
      <c r="H1268" s="411"/>
      <c r="I1268" s="251"/>
    </row>
    <row r="1269" spans="1:9" ht="28.15" customHeight="1" x14ac:dyDescent="0.25">
      <c r="A1269" s="434" t="s">
        <v>315</v>
      </c>
      <c r="B1269" s="434"/>
      <c r="C1269" s="434"/>
      <c r="D1269" s="434"/>
      <c r="E1269" s="434"/>
      <c r="F1269" s="434"/>
      <c r="G1269" s="434"/>
      <c r="H1269" s="434"/>
      <c r="I1269" s="252"/>
    </row>
    <row r="1270" spans="1:9" x14ac:dyDescent="0.25">
      <c r="A1270" s="4"/>
      <c r="B1270" s="4"/>
      <c r="C1270" s="4"/>
      <c r="D1270" s="4"/>
      <c r="E1270" s="5"/>
      <c r="F1270" s="5"/>
      <c r="G1270" s="414" t="s">
        <v>215</v>
      </c>
      <c r="H1270" s="414"/>
      <c r="I1270" s="253"/>
    </row>
    <row r="1271" spans="1:9" x14ac:dyDescent="0.25">
      <c r="A1271" s="4" t="s">
        <v>82</v>
      </c>
      <c r="B1271" s="4"/>
      <c r="C1271" s="4"/>
      <c r="D1271" s="4"/>
      <c r="E1271" s="5"/>
      <c r="F1271" s="5"/>
      <c r="G1271" s="5"/>
      <c r="H1271" s="5"/>
      <c r="I1271" s="47"/>
    </row>
    <row r="1272" spans="1:9" x14ac:dyDescent="0.25">
      <c r="A1272" s="6" t="s">
        <v>0</v>
      </c>
      <c r="B1272" s="7"/>
      <c r="C1272" s="8" t="s">
        <v>83</v>
      </c>
      <c r="D1272" s="8" t="s">
        <v>84</v>
      </c>
      <c r="E1272" s="9" t="s">
        <v>85</v>
      </c>
      <c r="F1272" s="9" t="s">
        <v>86</v>
      </c>
      <c r="G1272" s="9" t="s">
        <v>87</v>
      </c>
      <c r="H1272" s="10"/>
      <c r="I1272" s="47"/>
    </row>
    <row r="1273" spans="1:9" x14ac:dyDescent="0.25">
      <c r="A1273" s="11" t="s">
        <v>88</v>
      </c>
      <c r="B1273" s="12"/>
      <c r="C1273" s="13"/>
      <c r="D1273" s="13"/>
      <c r="E1273" s="14"/>
      <c r="F1273" s="14"/>
      <c r="G1273" s="14">
        <f>ROUND(H1297*0.05,0)+8-16</f>
        <v>7771</v>
      </c>
      <c r="H1273" s="15"/>
      <c r="I1273" s="47"/>
    </row>
    <row r="1274" spans="1:9" x14ac:dyDescent="0.25">
      <c r="A1274" s="11" t="s">
        <v>327</v>
      </c>
      <c r="B1274" s="12"/>
      <c r="C1274" s="13"/>
      <c r="D1274" s="13"/>
      <c r="E1274" s="14">
        <v>350000</v>
      </c>
      <c r="F1274" s="14">
        <v>0.05</v>
      </c>
      <c r="G1274" s="14">
        <f>ROUND(E1274*F1274,0)</f>
        <v>17500</v>
      </c>
      <c r="H1274" s="15"/>
      <c r="I1274" s="47"/>
    </row>
    <row r="1275" spans="1:9" x14ac:dyDescent="0.25">
      <c r="A1275" s="11" t="s">
        <v>328</v>
      </c>
      <c r="B1275" s="12"/>
      <c r="C1275" s="13"/>
      <c r="D1275" s="13"/>
      <c r="E1275" s="14">
        <v>50000</v>
      </c>
      <c r="F1275" s="16">
        <v>1</v>
      </c>
      <c r="G1275" s="14">
        <f>ROUND(E1275*F1275,0)</f>
        <v>50000</v>
      </c>
      <c r="H1275" s="15"/>
      <c r="I1275" s="47"/>
    </row>
    <row r="1276" spans="1:9" x14ac:dyDescent="0.25">
      <c r="A1276" s="11"/>
      <c r="B1276" s="12"/>
      <c r="C1276" s="13"/>
      <c r="D1276" s="13"/>
      <c r="E1276" s="14"/>
      <c r="F1276" s="14"/>
      <c r="G1276" s="14">
        <f>ROUND(E1276*F1276,0)</f>
        <v>0</v>
      </c>
      <c r="H1276" s="17"/>
      <c r="I1276" s="47"/>
    </row>
    <row r="1277" spans="1:9" x14ac:dyDescent="0.25">
      <c r="A1277" s="18"/>
      <c r="B1277" s="19"/>
      <c r="C1277" s="19"/>
      <c r="D1277" s="19"/>
      <c r="E1277" s="20"/>
      <c r="F1277" s="21" t="s">
        <v>90</v>
      </c>
      <c r="G1277" s="22"/>
      <c r="H1277" s="23">
        <f>SUM(G1273:G1276)</f>
        <v>75271</v>
      </c>
      <c r="I1277" s="220"/>
    </row>
    <row r="1278" spans="1:9" x14ac:dyDescent="0.25">
      <c r="A1278" s="291" t="s">
        <v>91</v>
      </c>
      <c r="B1278" s="228"/>
      <c r="C1278" s="228"/>
      <c r="D1278" s="228"/>
      <c r="E1278" s="47"/>
      <c r="F1278" s="47"/>
      <c r="G1278" s="47"/>
      <c r="H1278" s="233"/>
      <c r="I1278" s="47"/>
    </row>
    <row r="1279" spans="1:9" ht="13.9" customHeight="1" x14ac:dyDescent="0.25">
      <c r="A1279" s="24" t="s">
        <v>0</v>
      </c>
      <c r="B1279" s="24"/>
      <c r="C1279" s="8" t="s">
        <v>92</v>
      </c>
      <c r="D1279" s="8" t="s">
        <v>93</v>
      </c>
      <c r="E1279" s="9" t="s">
        <v>94</v>
      </c>
      <c r="F1279" s="9" t="s">
        <v>95</v>
      </c>
      <c r="G1279" s="25" t="s">
        <v>96</v>
      </c>
      <c r="H1279" s="10"/>
      <c r="I1279" s="47"/>
    </row>
    <row r="1280" spans="1:9" hidden="1" x14ac:dyDescent="0.25">
      <c r="A1280" s="26"/>
      <c r="B1280" s="27"/>
      <c r="C1280" s="28"/>
      <c r="D1280" s="29"/>
      <c r="E1280" s="30"/>
      <c r="F1280" s="14">
        <f>323000</f>
        <v>323000</v>
      </c>
      <c r="G1280" s="14">
        <f t="shared" ref="G1280:G1288" si="33">ROUND(E1280*F1280,0)</f>
        <v>0</v>
      </c>
      <c r="H1280" s="15"/>
      <c r="I1280" s="47"/>
    </row>
    <row r="1281" spans="1:10" ht="28.9" customHeight="1" x14ac:dyDescent="0.25">
      <c r="A1281" s="420" t="s">
        <v>222</v>
      </c>
      <c r="B1281" s="421"/>
      <c r="C1281" s="59" t="s">
        <v>18</v>
      </c>
      <c r="D1281" s="65"/>
      <c r="E1281" s="61">
        <v>1</v>
      </c>
      <c r="F1281" s="62">
        <f>156000*1.1</f>
        <v>171600</v>
      </c>
      <c r="G1281" s="62">
        <f t="shared" si="33"/>
        <v>171600</v>
      </c>
      <c r="H1281" s="15"/>
      <c r="I1281" s="47"/>
    </row>
    <row r="1282" spans="1:10" ht="25.9" customHeight="1" x14ac:dyDescent="0.25">
      <c r="A1282" s="420" t="s">
        <v>223</v>
      </c>
      <c r="B1282" s="421"/>
      <c r="C1282" s="59" t="s">
        <v>18</v>
      </c>
      <c r="D1282" s="60"/>
      <c r="E1282" s="61">
        <v>1</v>
      </c>
      <c r="F1282" s="62">
        <f>59900*1.1</f>
        <v>65890</v>
      </c>
      <c r="G1282" s="62">
        <f t="shared" si="33"/>
        <v>65890</v>
      </c>
      <c r="H1282" s="15"/>
      <c r="I1282" s="47"/>
    </row>
    <row r="1283" spans="1:10" x14ac:dyDescent="0.25">
      <c r="A1283" s="11" t="s">
        <v>220</v>
      </c>
      <c r="B1283" s="12"/>
      <c r="C1283" s="35" t="s">
        <v>18</v>
      </c>
      <c r="D1283" s="31"/>
      <c r="E1283" s="30">
        <v>2</v>
      </c>
      <c r="F1283" s="14">
        <v>7000</v>
      </c>
      <c r="G1283" s="14">
        <f t="shared" si="33"/>
        <v>14000</v>
      </c>
      <c r="H1283" s="15"/>
      <c r="I1283" s="47"/>
      <c r="J1283" s="63"/>
    </row>
    <row r="1284" spans="1:10" x14ac:dyDescent="0.25">
      <c r="A1284" s="11" t="s">
        <v>313</v>
      </c>
      <c r="B1284" s="12"/>
      <c r="C1284" s="35" t="s">
        <v>18</v>
      </c>
      <c r="D1284" s="34"/>
      <c r="E1284" s="30">
        <v>1</v>
      </c>
      <c r="F1284" s="14">
        <f>93600*1.1</f>
        <v>102960.00000000001</v>
      </c>
      <c r="G1284" s="14">
        <f t="shared" si="33"/>
        <v>102960</v>
      </c>
      <c r="H1284" s="15"/>
      <c r="I1284" s="47"/>
    </row>
    <row r="1285" spans="1:10" x14ac:dyDescent="0.25">
      <c r="A1285" s="11"/>
      <c r="B1285" s="12"/>
      <c r="C1285" s="35"/>
      <c r="D1285" s="31"/>
      <c r="E1285" s="30"/>
      <c r="F1285" s="14"/>
      <c r="G1285" s="14">
        <f t="shared" si="33"/>
        <v>0</v>
      </c>
      <c r="H1285" s="15"/>
      <c r="I1285" s="47"/>
    </row>
    <row r="1286" spans="1:10" x14ac:dyDescent="0.25">
      <c r="A1286" s="11"/>
      <c r="B1286" s="12"/>
      <c r="C1286" s="35"/>
      <c r="D1286" s="34"/>
      <c r="E1286" s="30"/>
      <c r="F1286" s="14"/>
      <c r="G1286" s="14">
        <f t="shared" si="33"/>
        <v>0</v>
      </c>
      <c r="H1286" s="15"/>
      <c r="I1286" s="47"/>
    </row>
    <row r="1287" spans="1:10" x14ac:dyDescent="0.25">
      <c r="A1287" s="11"/>
      <c r="B1287" s="12"/>
      <c r="C1287" s="35"/>
      <c r="D1287" s="31"/>
      <c r="E1287" s="30"/>
      <c r="F1287" s="14"/>
      <c r="G1287" s="14">
        <f t="shared" si="33"/>
        <v>0</v>
      </c>
      <c r="H1287" s="15"/>
      <c r="I1287" s="47"/>
    </row>
    <row r="1288" spans="1:10" x14ac:dyDescent="0.25">
      <c r="A1288" s="11"/>
      <c r="B1288" s="12"/>
      <c r="C1288" s="35"/>
      <c r="D1288" s="31"/>
      <c r="E1288" s="30"/>
      <c r="F1288" s="14"/>
      <c r="G1288" s="14">
        <f t="shared" si="33"/>
        <v>0</v>
      </c>
      <c r="H1288" s="17"/>
      <c r="I1288" s="47"/>
    </row>
    <row r="1289" spans="1:10" x14ac:dyDescent="0.25">
      <c r="A1289" s="291"/>
      <c r="B1289" s="228"/>
      <c r="C1289" s="228"/>
      <c r="D1289" s="228"/>
      <c r="E1289" s="36"/>
      <c r="F1289" s="37" t="s">
        <v>102</v>
      </c>
      <c r="G1289" s="38"/>
      <c r="H1289" s="23">
        <f>SUM(G1280:G1288)</f>
        <v>354450</v>
      </c>
      <c r="I1289" s="220"/>
    </row>
    <row r="1290" spans="1:10" x14ac:dyDescent="0.25">
      <c r="A1290" s="291"/>
      <c r="B1290" s="228"/>
      <c r="C1290" s="228"/>
      <c r="D1290" s="228"/>
      <c r="E1290" s="36"/>
      <c r="F1290" s="39" t="s">
        <v>103</v>
      </c>
      <c r="G1290" s="38"/>
      <c r="H1290" s="23">
        <f>ROUND((D1280*G1280)+(D1281*G1281)+(D1282*G1282)+(D1283*G1283)+(D1284*G1284)+(D1285*G1285)+(D1286*G1286)+(D1287*G1287)+(D1288*G1288),0)</f>
        <v>0</v>
      </c>
      <c r="I1290" s="220"/>
    </row>
    <row r="1291" spans="1:10" x14ac:dyDescent="0.25">
      <c r="A1291" s="291"/>
      <c r="B1291" s="228"/>
      <c r="C1291" s="228"/>
      <c r="D1291" s="228"/>
      <c r="E1291" s="36"/>
      <c r="F1291" s="20" t="s">
        <v>104</v>
      </c>
      <c r="G1291" s="40"/>
      <c r="H1291" s="23">
        <f>SUM(H1289:H1290)</f>
        <v>354450</v>
      </c>
      <c r="I1291" s="220"/>
    </row>
    <row r="1292" spans="1:10" x14ac:dyDescent="0.25">
      <c r="A1292" s="291" t="s">
        <v>105</v>
      </c>
      <c r="B1292" s="228"/>
      <c r="C1292" s="228"/>
      <c r="D1292" s="228"/>
      <c r="E1292" s="47"/>
      <c r="F1292" s="47"/>
      <c r="G1292" s="47"/>
      <c r="H1292" s="233"/>
      <c r="I1292" s="47"/>
    </row>
    <row r="1293" spans="1:10" x14ac:dyDescent="0.25">
      <c r="A1293" s="24" t="s">
        <v>0</v>
      </c>
      <c r="B1293" s="24"/>
      <c r="C1293" s="8" t="s">
        <v>106</v>
      </c>
      <c r="D1293" s="8" t="s">
        <v>107</v>
      </c>
      <c r="E1293" s="9" t="s">
        <v>108</v>
      </c>
      <c r="F1293" s="9" t="s">
        <v>109</v>
      </c>
      <c r="G1293" s="41" t="s">
        <v>96</v>
      </c>
      <c r="H1293" s="10"/>
      <c r="I1293" s="47"/>
    </row>
    <row r="1294" spans="1:10" x14ac:dyDescent="0.25">
      <c r="A1294" s="18" t="s">
        <v>110</v>
      </c>
      <c r="B1294" s="42"/>
      <c r="C1294" s="13">
        <f>104000+26000</f>
        <v>130000</v>
      </c>
      <c r="D1294" s="13">
        <f>+C1294*0.16</f>
        <v>20800</v>
      </c>
      <c r="E1294" s="14">
        <f>C1294+D1294</f>
        <v>150800</v>
      </c>
      <c r="F1294" s="30">
        <v>0.7</v>
      </c>
      <c r="G1294" s="14">
        <f>ROUND(E1294*F1294,0)</f>
        <v>105560</v>
      </c>
      <c r="H1294" s="15"/>
      <c r="I1294" s="47"/>
    </row>
    <row r="1295" spans="1:10" x14ac:dyDescent="0.25">
      <c r="A1295" s="18" t="s">
        <v>111</v>
      </c>
      <c r="B1295" s="42"/>
      <c r="C1295" s="13">
        <f>60400+25850</f>
        <v>86250</v>
      </c>
      <c r="D1295" s="13">
        <f>+C1295*0.16</f>
        <v>13800</v>
      </c>
      <c r="E1295" s="14">
        <f>C1295+D1295</f>
        <v>100050</v>
      </c>
      <c r="F1295" s="30">
        <v>0.5</v>
      </c>
      <c r="G1295" s="14">
        <f>ROUND(E1295*F1295,0)</f>
        <v>50025</v>
      </c>
      <c r="H1295" s="15"/>
      <c r="I1295" s="47"/>
    </row>
    <row r="1296" spans="1:10" x14ac:dyDescent="0.25">
      <c r="A1296" s="18"/>
      <c r="B1296" s="42"/>
      <c r="C1296" s="43"/>
      <c r="D1296" s="43"/>
      <c r="E1296" s="44">
        <f>C1296+D1296</f>
        <v>0</v>
      </c>
      <c r="F1296" s="45"/>
      <c r="G1296" s="14">
        <f>ROUND(E1296*F1296,0)</f>
        <v>0</v>
      </c>
      <c r="H1296" s="15"/>
      <c r="I1296" s="47"/>
    </row>
    <row r="1297" spans="1:9" x14ac:dyDescent="0.25">
      <c r="A1297" s="291"/>
      <c r="B1297" s="228"/>
      <c r="C1297" s="228"/>
      <c r="D1297" s="228"/>
      <c r="E1297" s="277" t="s">
        <v>112</v>
      </c>
      <c r="F1297" s="277"/>
      <c r="G1297" s="277"/>
      <c r="H1297" s="23">
        <f>SUM(G1294:G1296)</f>
        <v>155585</v>
      </c>
      <c r="I1297" s="220"/>
    </row>
    <row r="1298" spans="1:9" x14ac:dyDescent="0.25">
      <c r="A1298" s="291"/>
      <c r="B1298" s="228"/>
      <c r="C1298" s="228"/>
      <c r="D1298" s="228"/>
      <c r="E1298" s="47"/>
      <c r="F1298" s="47"/>
      <c r="G1298" s="47"/>
      <c r="H1298" s="233"/>
      <c r="I1298" s="47"/>
    </row>
    <row r="1299" spans="1:9" x14ac:dyDescent="0.25">
      <c r="A1299" s="18"/>
      <c r="B1299" s="19"/>
      <c r="C1299" s="19"/>
      <c r="D1299" s="19"/>
      <c r="E1299" s="48" t="s">
        <v>113</v>
      </c>
      <c r="F1299" s="48"/>
      <c r="G1299" s="48"/>
      <c r="H1299" s="25">
        <f>H1297+H1291+H1277</f>
        <v>585306</v>
      </c>
      <c r="I1299" s="222"/>
    </row>
    <row r="1300" spans="1:9" x14ac:dyDescent="0.25">
      <c r="A1300" s="291"/>
      <c r="B1300" s="228"/>
      <c r="C1300" s="228"/>
      <c r="D1300" s="228"/>
      <c r="E1300" s="47"/>
      <c r="F1300" s="47"/>
      <c r="G1300" s="47"/>
      <c r="H1300" s="233"/>
      <c r="I1300" s="47"/>
    </row>
    <row r="1301" spans="1:9" x14ac:dyDescent="0.25">
      <c r="A1301" s="291" t="s">
        <v>114</v>
      </c>
      <c r="B1301" s="228"/>
      <c r="C1301" s="228"/>
      <c r="D1301" s="228"/>
      <c r="E1301" s="47"/>
      <c r="F1301" s="47"/>
      <c r="G1301" s="47"/>
      <c r="H1301" s="233"/>
      <c r="I1301" s="47"/>
    </row>
    <row r="1302" spans="1:9" x14ac:dyDescent="0.25">
      <c r="A1302" s="6" t="s">
        <v>0</v>
      </c>
      <c r="B1302" s="49"/>
      <c r="C1302" s="49"/>
      <c r="D1302" s="49"/>
      <c r="E1302" s="50"/>
      <c r="F1302" s="9" t="s">
        <v>115</v>
      </c>
      <c r="G1302" s="41" t="s">
        <v>116</v>
      </c>
      <c r="H1302" s="10"/>
      <c r="I1302" s="47"/>
    </row>
    <row r="1303" spans="1:9" x14ac:dyDescent="0.25">
      <c r="A1303" s="11" t="s">
        <v>117</v>
      </c>
      <c r="B1303" s="51"/>
      <c r="C1303" s="51"/>
      <c r="D1303" s="51"/>
      <c r="E1303" s="52"/>
      <c r="F1303" s="53"/>
      <c r="G1303" s="14">
        <f>F1303*H1299</f>
        <v>0</v>
      </c>
      <c r="H1303" s="15"/>
      <c r="I1303" s="47"/>
    </row>
    <row r="1304" spans="1:9" hidden="1" x14ac:dyDescent="0.25">
      <c r="A1304" s="11"/>
      <c r="B1304" s="51"/>
      <c r="C1304" s="51"/>
      <c r="D1304" s="51"/>
      <c r="E1304" s="52"/>
      <c r="F1304" s="53"/>
      <c r="G1304" s="14">
        <f>F1304*H1299</f>
        <v>0</v>
      </c>
      <c r="H1304" s="15"/>
      <c r="I1304" s="47"/>
    </row>
    <row r="1305" spans="1:9" x14ac:dyDescent="0.25">
      <c r="A1305" s="11"/>
      <c r="B1305" s="51"/>
      <c r="C1305" s="51"/>
      <c r="D1305" s="51"/>
      <c r="E1305" s="52"/>
      <c r="F1305" s="53"/>
      <c r="G1305" s="14">
        <f>F1305*H1299</f>
        <v>0</v>
      </c>
      <c r="H1305" s="17"/>
      <c r="I1305" s="47"/>
    </row>
    <row r="1306" spans="1:9" x14ac:dyDescent="0.25">
      <c r="A1306" s="4"/>
      <c r="B1306" s="4"/>
      <c r="C1306" s="4"/>
      <c r="D1306" s="4"/>
      <c r="E1306" s="46" t="s">
        <v>118</v>
      </c>
      <c r="F1306" s="46"/>
      <c r="G1306" s="46"/>
      <c r="H1306" s="36">
        <f>SUM(G1303:G1305)</f>
        <v>0</v>
      </c>
      <c r="I1306" s="220"/>
    </row>
    <row r="1307" spans="1:9" ht="15.75" thickBot="1" x14ac:dyDescent="0.3">
      <c r="A1307" s="4"/>
      <c r="B1307" s="4"/>
      <c r="C1307" s="4"/>
      <c r="D1307" s="4"/>
      <c r="E1307" s="5"/>
      <c r="F1307" s="5"/>
      <c r="G1307" s="5"/>
      <c r="H1307" s="5"/>
      <c r="I1307" s="47"/>
    </row>
    <row r="1308" spans="1:9" ht="15.75" thickBot="1" x14ac:dyDescent="0.3">
      <c r="A1308" s="4"/>
      <c r="B1308" s="4"/>
      <c r="C1308" s="4"/>
      <c r="D1308" s="4"/>
      <c r="E1308" s="54"/>
      <c r="F1308" s="54" t="s">
        <v>119</v>
      </c>
      <c r="G1308" s="54"/>
      <c r="H1308" s="240">
        <f>SUM(H1306+H1299)</f>
        <v>585306</v>
      </c>
      <c r="I1308" s="112"/>
    </row>
    <row r="1309" spans="1:9" x14ac:dyDescent="0.25">
      <c r="A1309" s="4"/>
      <c r="B1309" s="4"/>
      <c r="C1309" s="4"/>
      <c r="D1309" s="4"/>
      <c r="E1309" s="54"/>
      <c r="F1309" s="54"/>
      <c r="G1309" s="54"/>
      <c r="H1309" s="112"/>
      <c r="I1309" s="112"/>
    </row>
    <row r="1310" spans="1:9" x14ac:dyDescent="0.25">
      <c r="A1310" s="4"/>
      <c r="B1310" s="4"/>
      <c r="C1310" s="4"/>
      <c r="D1310" s="4"/>
      <c r="E1310" s="54"/>
      <c r="F1310" s="54"/>
      <c r="G1310" s="54"/>
      <c r="H1310" s="112"/>
      <c r="I1310" s="112"/>
    </row>
    <row r="1311" spans="1:9" x14ac:dyDescent="0.25">
      <c r="A1311" s="4"/>
      <c r="B1311" s="4"/>
      <c r="C1311" s="4"/>
      <c r="D1311" s="4"/>
      <c r="E1311" s="54"/>
      <c r="F1311" s="54"/>
      <c r="G1311" s="54"/>
      <c r="H1311" s="112"/>
      <c r="I1311" s="112"/>
    </row>
    <row r="1312" spans="1:9" x14ac:dyDescent="0.25">
      <c r="A1312" s="4"/>
      <c r="B1312" s="4"/>
      <c r="C1312" s="4"/>
      <c r="D1312" s="4"/>
      <c r="E1312" s="54"/>
      <c r="F1312" s="54"/>
      <c r="G1312" s="54"/>
      <c r="H1312" s="112"/>
      <c r="I1312" s="112"/>
    </row>
    <row r="1315" spans="1:9" x14ac:dyDescent="0.25">
      <c r="A1315" s="412" t="s">
        <v>79</v>
      </c>
      <c r="B1315" s="412"/>
      <c r="C1315" s="412"/>
      <c r="D1315" s="412"/>
      <c r="E1315" s="412"/>
      <c r="F1315" s="412"/>
      <c r="G1315" s="412"/>
      <c r="H1315" s="412"/>
      <c r="I1315" s="250"/>
    </row>
    <row r="1316" spans="1:9" x14ac:dyDescent="0.25">
      <c r="A1316" s="4"/>
      <c r="B1316" s="4"/>
      <c r="C1316" s="4"/>
      <c r="D1316" s="4"/>
      <c r="E1316" s="5"/>
      <c r="F1316" s="5"/>
      <c r="G1316" s="411" t="s">
        <v>326</v>
      </c>
      <c r="H1316" s="411"/>
      <c r="I1316" s="251"/>
    </row>
    <row r="1317" spans="1:9" x14ac:dyDescent="0.25">
      <c r="A1317" s="434" t="s">
        <v>224</v>
      </c>
      <c r="B1317" s="434"/>
      <c r="C1317" s="434"/>
      <c r="D1317" s="434"/>
      <c r="E1317" s="434"/>
      <c r="F1317" s="434"/>
      <c r="G1317" s="434"/>
      <c r="H1317" s="434"/>
      <c r="I1317" s="252"/>
    </row>
    <row r="1318" spans="1:9" x14ac:dyDescent="0.25">
      <c r="A1318" s="4"/>
      <c r="B1318" s="4"/>
      <c r="C1318" s="4"/>
      <c r="D1318" s="4"/>
      <c r="E1318" s="5"/>
      <c r="F1318" s="5"/>
      <c r="G1318" s="414" t="s">
        <v>215</v>
      </c>
      <c r="H1318" s="414"/>
      <c r="I1318" s="253"/>
    </row>
    <row r="1319" spans="1:9" x14ac:dyDescent="0.25">
      <c r="A1319" s="4" t="s">
        <v>82</v>
      </c>
      <c r="B1319" s="4"/>
      <c r="C1319" s="4"/>
      <c r="D1319" s="4"/>
      <c r="E1319" s="5"/>
      <c r="F1319" s="5"/>
      <c r="G1319" s="5"/>
      <c r="H1319" s="5"/>
      <c r="I1319" s="47"/>
    </row>
    <row r="1320" spans="1:9" x14ac:dyDescent="0.25">
      <c r="A1320" s="6" t="s">
        <v>0</v>
      </c>
      <c r="B1320" s="7"/>
      <c r="C1320" s="8" t="s">
        <v>83</v>
      </c>
      <c r="D1320" s="8" t="s">
        <v>84</v>
      </c>
      <c r="E1320" s="9" t="s">
        <v>85</v>
      </c>
      <c r="F1320" s="9" t="s">
        <v>86</v>
      </c>
      <c r="G1320" s="9" t="s">
        <v>87</v>
      </c>
      <c r="H1320" s="10"/>
      <c r="I1320" s="47"/>
    </row>
    <row r="1321" spans="1:9" x14ac:dyDescent="0.25">
      <c r="A1321" s="11" t="s">
        <v>88</v>
      </c>
      <c r="B1321" s="12"/>
      <c r="C1321" s="13"/>
      <c r="D1321" s="13"/>
      <c r="E1321" s="14"/>
      <c r="F1321" s="14"/>
      <c r="G1321" s="14">
        <f>ROUND(H1345*0.05,0)+8-16</f>
        <v>1747</v>
      </c>
      <c r="H1321" s="15"/>
      <c r="I1321" s="47"/>
    </row>
    <row r="1322" spans="1:9" x14ac:dyDescent="0.25">
      <c r="A1322" s="11" t="s">
        <v>327</v>
      </c>
      <c r="B1322" s="12"/>
      <c r="C1322" s="13"/>
      <c r="D1322" s="13"/>
      <c r="E1322" s="14">
        <v>350000</v>
      </c>
      <c r="F1322" s="14">
        <v>0.05</v>
      </c>
      <c r="G1322" s="14">
        <f>ROUND(E1322*F1322,0)</f>
        <v>17500</v>
      </c>
      <c r="H1322" s="15"/>
      <c r="I1322" s="47"/>
    </row>
    <row r="1323" spans="1:9" x14ac:dyDescent="0.25">
      <c r="A1323" s="11" t="s">
        <v>328</v>
      </c>
      <c r="B1323" s="12"/>
      <c r="C1323" s="13"/>
      <c r="D1323" s="13"/>
      <c r="E1323" s="14">
        <v>50000</v>
      </c>
      <c r="F1323" s="16">
        <v>0.35</v>
      </c>
      <c r="G1323" s="14">
        <f>ROUND(E1323*F1323,0)</f>
        <v>17500</v>
      </c>
      <c r="H1323" s="15"/>
      <c r="I1323" s="47"/>
    </row>
    <row r="1324" spans="1:9" x14ac:dyDescent="0.25">
      <c r="A1324" s="11"/>
      <c r="B1324" s="12"/>
      <c r="C1324" s="13"/>
      <c r="D1324" s="13"/>
      <c r="E1324" s="14"/>
      <c r="F1324" s="14"/>
      <c r="G1324" s="14">
        <f>ROUND(E1324*F1324,0)</f>
        <v>0</v>
      </c>
      <c r="H1324" s="17"/>
      <c r="I1324" s="47"/>
    </row>
    <row r="1325" spans="1:9" x14ac:dyDescent="0.25">
      <c r="A1325" s="18"/>
      <c r="B1325" s="19"/>
      <c r="C1325" s="19"/>
      <c r="D1325" s="19"/>
      <c r="E1325" s="20"/>
      <c r="F1325" s="21" t="s">
        <v>90</v>
      </c>
      <c r="G1325" s="22"/>
      <c r="H1325" s="23">
        <f>SUM(G1321:G1324)</f>
        <v>36747</v>
      </c>
      <c r="I1325" s="220"/>
    </row>
    <row r="1326" spans="1:9" x14ac:dyDescent="0.25">
      <c r="A1326" s="291" t="s">
        <v>91</v>
      </c>
      <c r="B1326" s="228"/>
      <c r="C1326" s="228"/>
      <c r="D1326" s="228"/>
      <c r="E1326" s="47"/>
      <c r="F1326" s="47"/>
      <c r="G1326" s="47"/>
      <c r="H1326" s="233"/>
      <c r="I1326" s="47"/>
    </row>
    <row r="1327" spans="1:9" ht="13.9" customHeight="1" x14ac:dyDescent="0.25">
      <c r="A1327" s="24" t="s">
        <v>0</v>
      </c>
      <c r="B1327" s="24"/>
      <c r="C1327" s="8" t="s">
        <v>92</v>
      </c>
      <c r="D1327" s="8" t="s">
        <v>93</v>
      </c>
      <c r="E1327" s="9" t="s">
        <v>94</v>
      </c>
      <c r="F1327" s="9" t="s">
        <v>95</v>
      </c>
      <c r="G1327" s="25" t="s">
        <v>96</v>
      </c>
      <c r="H1327" s="10"/>
      <c r="I1327" s="47"/>
    </row>
    <row r="1328" spans="1:9" hidden="1" x14ac:dyDescent="0.25">
      <c r="A1328" s="26"/>
      <c r="B1328" s="27"/>
      <c r="C1328" s="28"/>
      <c r="D1328" s="29"/>
      <c r="E1328" s="30"/>
      <c r="F1328" s="14">
        <f>323000</f>
        <v>323000</v>
      </c>
      <c r="G1328" s="14">
        <f t="shared" ref="G1328:G1336" si="34">ROUND(E1328*F1328,0)</f>
        <v>0</v>
      </c>
      <c r="H1328" s="15"/>
      <c r="I1328" s="47"/>
    </row>
    <row r="1329" spans="1:10" ht="33.6" customHeight="1" x14ac:dyDescent="0.25">
      <c r="A1329" s="420" t="s">
        <v>225</v>
      </c>
      <c r="B1329" s="421"/>
      <c r="C1329" s="59" t="s">
        <v>18</v>
      </c>
      <c r="D1329" s="65"/>
      <c r="E1329" s="61">
        <v>1</v>
      </c>
      <c r="F1329" s="62">
        <v>185000</v>
      </c>
      <c r="G1329" s="62">
        <f t="shared" si="34"/>
        <v>185000</v>
      </c>
      <c r="H1329" s="15"/>
      <c r="I1329" s="47"/>
    </row>
    <row r="1330" spans="1:10" x14ac:dyDescent="0.25">
      <c r="A1330" s="420" t="s">
        <v>226</v>
      </c>
      <c r="B1330" s="421"/>
      <c r="C1330" s="59" t="s">
        <v>18</v>
      </c>
      <c r="D1330" s="60"/>
      <c r="E1330" s="61">
        <v>8</v>
      </c>
      <c r="F1330" s="62">
        <v>1000</v>
      </c>
      <c r="G1330" s="62">
        <f t="shared" si="34"/>
        <v>8000</v>
      </c>
      <c r="H1330" s="15"/>
      <c r="I1330" s="47"/>
    </row>
    <row r="1331" spans="1:10" x14ac:dyDescent="0.25">
      <c r="A1331" s="11"/>
      <c r="B1331" s="12"/>
      <c r="C1331" s="35"/>
      <c r="D1331" s="31"/>
      <c r="E1331" s="30"/>
      <c r="F1331" s="14"/>
      <c r="G1331" s="14">
        <f t="shared" si="34"/>
        <v>0</v>
      </c>
      <c r="H1331" s="15"/>
      <c r="I1331" s="47"/>
      <c r="J1331" s="63"/>
    </row>
    <row r="1332" spans="1:10" x14ac:dyDescent="0.25">
      <c r="A1332" s="11"/>
      <c r="B1332" s="12"/>
      <c r="C1332" s="35"/>
      <c r="D1332" s="34"/>
      <c r="E1332" s="30"/>
      <c r="F1332" s="14"/>
      <c r="G1332" s="14">
        <f t="shared" si="34"/>
        <v>0</v>
      </c>
      <c r="H1332" s="15"/>
      <c r="I1332" s="47"/>
    </row>
    <row r="1333" spans="1:10" x14ac:dyDescent="0.25">
      <c r="A1333" s="11"/>
      <c r="B1333" s="12"/>
      <c r="C1333" s="35"/>
      <c r="D1333" s="31"/>
      <c r="E1333" s="30"/>
      <c r="F1333" s="14"/>
      <c r="G1333" s="14">
        <f t="shared" si="34"/>
        <v>0</v>
      </c>
      <c r="H1333" s="15"/>
      <c r="I1333" s="47"/>
    </row>
    <row r="1334" spans="1:10" x14ac:dyDescent="0.25">
      <c r="A1334" s="11"/>
      <c r="B1334" s="12"/>
      <c r="C1334" s="35"/>
      <c r="D1334" s="34"/>
      <c r="E1334" s="30"/>
      <c r="F1334" s="14"/>
      <c r="G1334" s="14">
        <f t="shared" si="34"/>
        <v>0</v>
      </c>
      <c r="H1334" s="15"/>
      <c r="I1334" s="47"/>
    </row>
    <row r="1335" spans="1:10" x14ac:dyDescent="0.25">
      <c r="A1335" s="11"/>
      <c r="B1335" s="12"/>
      <c r="C1335" s="35"/>
      <c r="D1335" s="31"/>
      <c r="E1335" s="30"/>
      <c r="F1335" s="14"/>
      <c r="G1335" s="14">
        <f t="shared" si="34"/>
        <v>0</v>
      </c>
      <c r="H1335" s="15"/>
      <c r="I1335" s="47"/>
    </row>
    <row r="1336" spans="1:10" x14ac:dyDescent="0.25">
      <c r="A1336" s="11"/>
      <c r="B1336" s="12"/>
      <c r="C1336" s="35"/>
      <c r="D1336" s="31"/>
      <c r="E1336" s="30"/>
      <c r="F1336" s="14"/>
      <c r="G1336" s="14">
        <f t="shared" si="34"/>
        <v>0</v>
      </c>
      <c r="H1336" s="17"/>
      <c r="I1336" s="47"/>
    </row>
    <row r="1337" spans="1:10" x14ac:dyDescent="0.25">
      <c r="A1337" s="291"/>
      <c r="B1337" s="228"/>
      <c r="C1337" s="228"/>
      <c r="D1337" s="228"/>
      <c r="E1337" s="36"/>
      <c r="F1337" s="37" t="s">
        <v>102</v>
      </c>
      <c r="G1337" s="38"/>
      <c r="H1337" s="23">
        <f>SUM(G1328:G1336)</f>
        <v>193000</v>
      </c>
      <c r="I1337" s="220"/>
    </row>
    <row r="1338" spans="1:10" x14ac:dyDescent="0.25">
      <c r="A1338" s="291"/>
      <c r="B1338" s="228"/>
      <c r="C1338" s="228"/>
      <c r="D1338" s="228"/>
      <c r="E1338" s="36"/>
      <c r="F1338" s="39" t="s">
        <v>103</v>
      </c>
      <c r="G1338" s="38"/>
      <c r="H1338" s="23">
        <f>ROUND((D1328*G1328)+(D1329*G1329)+(D1330*G1330)+(D1331*G1331)+(D1332*G1332)+(D1333*G1333)+(D1334*G1334)+(D1335*G1335)+(D1336*G1336),0)</f>
        <v>0</v>
      </c>
      <c r="I1338" s="220"/>
    </row>
    <row r="1339" spans="1:10" x14ac:dyDescent="0.25">
      <c r="A1339" s="291"/>
      <c r="B1339" s="228"/>
      <c r="C1339" s="228"/>
      <c r="D1339" s="228"/>
      <c r="E1339" s="36"/>
      <c r="F1339" s="20" t="s">
        <v>104</v>
      </c>
      <c r="G1339" s="40"/>
      <c r="H1339" s="23">
        <f>SUM(H1337:H1338)</f>
        <v>193000</v>
      </c>
      <c r="I1339" s="220"/>
    </row>
    <row r="1340" spans="1:10" x14ac:dyDescent="0.25">
      <c r="A1340" s="291" t="s">
        <v>105</v>
      </c>
      <c r="B1340" s="228"/>
      <c r="C1340" s="228"/>
      <c r="D1340" s="228"/>
      <c r="E1340" s="47"/>
      <c r="F1340" s="47"/>
      <c r="G1340" s="47"/>
      <c r="H1340" s="233"/>
      <c r="I1340" s="47"/>
    </row>
    <row r="1341" spans="1:10" x14ac:dyDescent="0.25">
      <c r="A1341" s="24" t="s">
        <v>0</v>
      </c>
      <c r="B1341" s="24"/>
      <c r="C1341" s="8" t="s">
        <v>106</v>
      </c>
      <c r="D1341" s="8" t="s">
        <v>107</v>
      </c>
      <c r="E1341" s="9" t="s">
        <v>108</v>
      </c>
      <c r="F1341" s="9" t="s">
        <v>109</v>
      </c>
      <c r="G1341" s="41" t="s">
        <v>96</v>
      </c>
      <c r="H1341" s="10"/>
      <c r="I1341" s="47"/>
    </row>
    <row r="1342" spans="1:10" x14ac:dyDescent="0.25">
      <c r="A1342" s="18" t="s">
        <v>110</v>
      </c>
      <c r="B1342" s="42"/>
      <c r="C1342" s="13">
        <f>104000+26000</f>
        <v>130000</v>
      </c>
      <c r="D1342" s="13">
        <f>+C1342*0.16</f>
        <v>20800</v>
      </c>
      <c r="E1342" s="14">
        <f>C1342+D1342</f>
        <v>150800</v>
      </c>
      <c r="F1342" s="30">
        <v>0.1</v>
      </c>
      <c r="G1342" s="14">
        <f>ROUND(E1342*F1342,0)</f>
        <v>15080</v>
      </c>
      <c r="H1342" s="15"/>
      <c r="I1342" s="47"/>
    </row>
    <row r="1343" spans="1:10" x14ac:dyDescent="0.25">
      <c r="A1343" s="18" t="s">
        <v>111</v>
      </c>
      <c r="B1343" s="42"/>
      <c r="C1343" s="13">
        <f>60400+25850</f>
        <v>86250</v>
      </c>
      <c r="D1343" s="13">
        <f>+C1343*0.16</f>
        <v>13800</v>
      </c>
      <c r="E1343" s="14">
        <f>C1343+D1343</f>
        <v>100050</v>
      </c>
      <c r="F1343" s="30">
        <v>0.2</v>
      </c>
      <c r="G1343" s="14">
        <f>ROUND(E1343*F1343,0)</f>
        <v>20010</v>
      </c>
      <c r="H1343" s="15"/>
      <c r="I1343" s="47"/>
    </row>
    <row r="1344" spans="1:10" x14ac:dyDescent="0.25">
      <c r="A1344" s="18"/>
      <c r="B1344" s="42"/>
      <c r="C1344" s="43"/>
      <c r="D1344" s="43"/>
      <c r="E1344" s="44">
        <f>C1344+D1344</f>
        <v>0</v>
      </c>
      <c r="F1344" s="45"/>
      <c r="G1344" s="14">
        <f>ROUND(E1344*F1344,0)</f>
        <v>0</v>
      </c>
      <c r="H1344" s="15"/>
      <c r="I1344" s="47"/>
    </row>
    <row r="1345" spans="1:9" x14ac:dyDescent="0.25">
      <c r="A1345" s="291"/>
      <c r="B1345" s="228"/>
      <c r="C1345" s="228"/>
      <c r="D1345" s="228"/>
      <c r="E1345" s="277" t="s">
        <v>112</v>
      </c>
      <c r="F1345" s="277"/>
      <c r="G1345" s="277"/>
      <c r="H1345" s="23">
        <f>SUM(G1342:G1344)</f>
        <v>35090</v>
      </c>
      <c r="I1345" s="220"/>
    </row>
    <row r="1346" spans="1:9" x14ac:dyDescent="0.25">
      <c r="A1346" s="291"/>
      <c r="B1346" s="228"/>
      <c r="C1346" s="228"/>
      <c r="D1346" s="228"/>
      <c r="E1346" s="47"/>
      <c r="F1346" s="47"/>
      <c r="G1346" s="47"/>
      <c r="H1346" s="233"/>
      <c r="I1346" s="47"/>
    </row>
    <row r="1347" spans="1:9" x14ac:dyDescent="0.25">
      <c r="A1347" s="18"/>
      <c r="B1347" s="19"/>
      <c r="C1347" s="19"/>
      <c r="D1347" s="19"/>
      <c r="E1347" s="48" t="s">
        <v>113</v>
      </c>
      <c r="F1347" s="48"/>
      <c r="G1347" s="48"/>
      <c r="H1347" s="25">
        <f>H1345+H1339+H1325</f>
        <v>264837</v>
      </c>
      <c r="I1347" s="222"/>
    </row>
    <row r="1348" spans="1:9" x14ac:dyDescent="0.25">
      <c r="A1348" s="291"/>
      <c r="B1348" s="228"/>
      <c r="C1348" s="228"/>
      <c r="D1348" s="228"/>
      <c r="E1348" s="47"/>
      <c r="F1348" s="47"/>
      <c r="G1348" s="47"/>
      <c r="H1348" s="233"/>
      <c r="I1348" s="47"/>
    </row>
    <row r="1349" spans="1:9" x14ac:dyDescent="0.25">
      <c r="A1349" s="291" t="s">
        <v>114</v>
      </c>
      <c r="B1349" s="228"/>
      <c r="C1349" s="228"/>
      <c r="D1349" s="228"/>
      <c r="E1349" s="47"/>
      <c r="F1349" s="47"/>
      <c r="G1349" s="47"/>
      <c r="H1349" s="233"/>
      <c r="I1349" s="47"/>
    </row>
    <row r="1350" spans="1:9" x14ac:dyDescent="0.25">
      <c r="A1350" s="6" t="s">
        <v>0</v>
      </c>
      <c r="B1350" s="49"/>
      <c r="C1350" s="49"/>
      <c r="D1350" s="49"/>
      <c r="E1350" s="50"/>
      <c r="F1350" s="9" t="s">
        <v>115</v>
      </c>
      <c r="G1350" s="41" t="s">
        <v>116</v>
      </c>
      <c r="H1350" s="10"/>
      <c r="I1350" s="47"/>
    </row>
    <row r="1351" spans="1:9" x14ac:dyDescent="0.25">
      <c r="A1351" s="11" t="s">
        <v>117</v>
      </c>
      <c r="B1351" s="51"/>
      <c r="C1351" s="51"/>
      <c r="D1351" s="51"/>
      <c r="E1351" s="52"/>
      <c r="F1351" s="53"/>
      <c r="G1351" s="14">
        <f>F1351*H1347</f>
        <v>0</v>
      </c>
      <c r="H1351" s="15"/>
      <c r="I1351" s="47"/>
    </row>
    <row r="1352" spans="1:9" x14ac:dyDescent="0.25">
      <c r="A1352" s="11"/>
      <c r="B1352" s="51"/>
      <c r="C1352" s="51"/>
      <c r="D1352" s="51"/>
      <c r="E1352" s="52"/>
      <c r="F1352" s="53"/>
      <c r="G1352" s="14">
        <f>F1352*H1347</f>
        <v>0</v>
      </c>
      <c r="H1352" s="15"/>
      <c r="I1352" s="47"/>
    </row>
    <row r="1353" spans="1:9" x14ac:dyDescent="0.25">
      <c r="A1353" s="11"/>
      <c r="B1353" s="51"/>
      <c r="C1353" s="51"/>
      <c r="D1353" s="51"/>
      <c r="E1353" s="52"/>
      <c r="F1353" s="53"/>
      <c r="G1353" s="14">
        <f>F1353*H1347</f>
        <v>0</v>
      </c>
      <c r="H1353" s="17"/>
      <c r="I1353" s="47"/>
    </row>
    <row r="1354" spans="1:9" x14ac:dyDescent="0.25">
      <c r="A1354" s="4"/>
      <c r="B1354" s="4"/>
      <c r="C1354" s="4"/>
      <c r="D1354" s="4"/>
      <c r="E1354" s="46" t="s">
        <v>118</v>
      </c>
      <c r="F1354" s="46"/>
      <c r="G1354" s="46"/>
      <c r="H1354" s="36">
        <f>SUM(G1351:G1353)</f>
        <v>0</v>
      </c>
      <c r="I1354" s="220"/>
    </row>
    <row r="1355" spans="1:9" ht="15.75" thickBot="1" x14ac:dyDescent="0.3">
      <c r="A1355" s="4"/>
      <c r="B1355" s="4"/>
      <c r="C1355" s="4"/>
      <c r="D1355" s="4"/>
      <c r="E1355" s="5"/>
      <c r="F1355" s="5"/>
      <c r="G1355" s="5"/>
      <c r="H1355" s="5"/>
      <c r="I1355" s="47"/>
    </row>
    <row r="1356" spans="1:9" ht="15.75" thickBot="1" x14ac:dyDescent="0.3">
      <c r="A1356" s="4"/>
      <c r="B1356" s="4"/>
      <c r="C1356" s="4"/>
      <c r="D1356" s="4"/>
      <c r="E1356" s="54"/>
      <c r="F1356" s="54" t="s">
        <v>119</v>
      </c>
      <c r="G1356" s="54"/>
      <c r="H1356" s="240">
        <f>SUM(H1354+H1347)</f>
        <v>264837</v>
      </c>
      <c r="I1356" s="112"/>
    </row>
    <row r="1363" spans="1:9" ht="15.75" x14ac:dyDescent="0.25">
      <c r="A1363" s="464"/>
      <c r="B1363" s="464"/>
      <c r="C1363" s="464"/>
      <c r="D1363" s="464"/>
      <c r="E1363" s="464"/>
      <c r="F1363" s="464"/>
      <c r="G1363" s="464"/>
      <c r="H1363" s="464"/>
      <c r="I1363" s="264"/>
    </row>
    <row r="1364" spans="1:9" x14ac:dyDescent="0.25">
      <c r="A1364" s="412" t="s">
        <v>79</v>
      </c>
      <c r="B1364" s="412"/>
      <c r="C1364" s="412"/>
      <c r="D1364" s="412"/>
      <c r="E1364" s="412"/>
      <c r="F1364" s="412"/>
      <c r="G1364" s="412"/>
      <c r="H1364" s="412"/>
      <c r="I1364" s="250"/>
    </row>
    <row r="1365" spans="1:9" x14ac:dyDescent="0.25">
      <c r="A1365" s="4"/>
      <c r="B1365" s="4"/>
      <c r="C1365" s="4"/>
      <c r="D1365" s="4"/>
      <c r="E1365" s="5"/>
      <c r="F1365" s="5"/>
      <c r="G1365" s="411" t="s">
        <v>326</v>
      </c>
      <c r="H1365" s="411"/>
      <c r="I1365" s="251"/>
    </row>
    <row r="1366" spans="1:9" x14ac:dyDescent="0.25">
      <c r="A1366" s="434" t="s">
        <v>227</v>
      </c>
      <c r="B1366" s="434"/>
      <c r="C1366" s="434"/>
      <c r="D1366" s="434"/>
      <c r="E1366" s="434"/>
      <c r="F1366" s="434"/>
      <c r="G1366" s="434"/>
      <c r="H1366" s="434"/>
      <c r="I1366" s="252"/>
    </row>
    <row r="1367" spans="1:9" x14ac:dyDescent="0.25">
      <c r="A1367" s="4"/>
      <c r="B1367" s="4"/>
      <c r="C1367" s="4"/>
      <c r="D1367" s="4"/>
      <c r="E1367" s="5"/>
      <c r="F1367" s="5"/>
      <c r="G1367" s="414" t="s">
        <v>215</v>
      </c>
      <c r="H1367" s="414"/>
      <c r="I1367" s="253"/>
    </row>
    <row r="1368" spans="1:9" x14ac:dyDescent="0.25">
      <c r="A1368" s="4" t="s">
        <v>82</v>
      </c>
      <c r="B1368" s="4"/>
      <c r="C1368" s="4"/>
      <c r="D1368" s="4"/>
      <c r="E1368" s="5"/>
      <c r="F1368" s="5"/>
      <c r="G1368" s="5"/>
      <c r="H1368" s="5"/>
      <c r="I1368" s="47"/>
    </row>
    <row r="1369" spans="1:9" x14ac:dyDescent="0.25">
      <c r="A1369" s="6" t="s">
        <v>0</v>
      </c>
      <c r="B1369" s="7"/>
      <c r="C1369" s="8" t="s">
        <v>83</v>
      </c>
      <c r="D1369" s="8" t="s">
        <v>84</v>
      </c>
      <c r="E1369" s="9" t="s">
        <v>85</v>
      </c>
      <c r="F1369" s="9" t="s">
        <v>86</v>
      </c>
      <c r="G1369" s="9" t="s">
        <v>87</v>
      </c>
      <c r="H1369" s="10"/>
      <c r="I1369" s="47"/>
    </row>
    <row r="1370" spans="1:9" x14ac:dyDescent="0.25">
      <c r="A1370" s="11" t="s">
        <v>88</v>
      </c>
      <c r="B1370" s="12"/>
      <c r="C1370" s="13"/>
      <c r="D1370" s="13"/>
      <c r="E1370" s="14"/>
      <c r="F1370" s="14"/>
      <c r="G1370" s="14">
        <f>ROUND(H1394*0.05,0)+8-16</f>
        <v>995</v>
      </c>
      <c r="H1370" s="15"/>
      <c r="I1370" s="47"/>
    </row>
    <row r="1371" spans="1:9" x14ac:dyDescent="0.25">
      <c r="A1371" s="11" t="s">
        <v>327</v>
      </c>
      <c r="B1371" s="12"/>
      <c r="C1371" s="13"/>
      <c r="D1371" s="13"/>
      <c r="E1371" s="14">
        <v>350000</v>
      </c>
      <c r="F1371" s="14">
        <v>0.03</v>
      </c>
      <c r="G1371" s="14">
        <f>ROUND(E1371*F1371,0)</f>
        <v>10500</v>
      </c>
      <c r="H1371" s="15"/>
      <c r="I1371" s="47"/>
    </row>
    <row r="1372" spans="1:9" x14ac:dyDescent="0.25">
      <c r="A1372" s="11" t="s">
        <v>328</v>
      </c>
      <c r="B1372" s="12"/>
      <c r="C1372" s="13"/>
      <c r="D1372" s="13"/>
      <c r="E1372" s="14">
        <v>50000</v>
      </c>
      <c r="F1372" s="16">
        <v>0.1</v>
      </c>
      <c r="G1372" s="14">
        <f>ROUND(E1372*F1372,0)</f>
        <v>5000</v>
      </c>
      <c r="H1372" s="15"/>
      <c r="I1372" s="47"/>
    </row>
    <row r="1373" spans="1:9" x14ac:dyDescent="0.25">
      <c r="A1373" s="11"/>
      <c r="B1373" s="12"/>
      <c r="C1373" s="13"/>
      <c r="D1373" s="13"/>
      <c r="E1373" s="14"/>
      <c r="F1373" s="14"/>
      <c r="G1373" s="14">
        <f>ROUND(E1373*F1373,0)</f>
        <v>0</v>
      </c>
      <c r="H1373" s="17"/>
      <c r="I1373" s="47"/>
    </row>
    <row r="1374" spans="1:9" x14ac:dyDescent="0.25">
      <c r="A1374" s="18"/>
      <c r="B1374" s="19"/>
      <c r="C1374" s="19"/>
      <c r="D1374" s="19"/>
      <c r="E1374" s="20"/>
      <c r="F1374" s="21" t="s">
        <v>90</v>
      </c>
      <c r="G1374" s="22"/>
      <c r="H1374" s="23">
        <f>SUM(G1370:G1373)</f>
        <v>16495</v>
      </c>
      <c r="I1374" s="220"/>
    </row>
    <row r="1375" spans="1:9" x14ac:dyDescent="0.25">
      <c r="A1375" s="291" t="s">
        <v>91</v>
      </c>
      <c r="B1375" s="228"/>
      <c r="C1375" s="228"/>
      <c r="D1375" s="228"/>
      <c r="E1375" s="47"/>
      <c r="F1375" s="47"/>
      <c r="G1375" s="47"/>
      <c r="H1375" s="233"/>
      <c r="I1375" s="47"/>
    </row>
    <row r="1376" spans="1:9" ht="13.9" customHeight="1" x14ac:dyDescent="0.25">
      <c r="A1376" s="24" t="s">
        <v>0</v>
      </c>
      <c r="B1376" s="24"/>
      <c r="C1376" s="8" t="s">
        <v>92</v>
      </c>
      <c r="D1376" s="8" t="s">
        <v>93</v>
      </c>
      <c r="E1376" s="9" t="s">
        <v>94</v>
      </c>
      <c r="F1376" s="9" t="s">
        <v>95</v>
      </c>
      <c r="G1376" s="25" t="s">
        <v>96</v>
      </c>
      <c r="H1376" s="10"/>
      <c r="I1376" s="47"/>
    </row>
    <row r="1377" spans="1:10" hidden="1" x14ac:dyDescent="0.25">
      <c r="A1377" s="26"/>
      <c r="B1377" s="27"/>
      <c r="C1377" s="28"/>
      <c r="D1377" s="29"/>
      <c r="E1377" s="30"/>
      <c r="F1377" s="14">
        <f>323000</f>
        <v>323000</v>
      </c>
      <c r="G1377" s="14">
        <f t="shared" ref="G1377:G1385" si="35">ROUND(E1377*F1377,0)</f>
        <v>0</v>
      </c>
      <c r="H1377" s="15"/>
      <c r="I1377" s="47"/>
    </row>
    <row r="1378" spans="1:10" x14ac:dyDescent="0.25">
      <c r="A1378" s="420" t="s">
        <v>228</v>
      </c>
      <c r="B1378" s="421"/>
      <c r="C1378" s="59" t="s">
        <v>18</v>
      </c>
      <c r="D1378" s="65"/>
      <c r="E1378" s="61">
        <v>1</v>
      </c>
      <c r="F1378" s="62">
        <v>14000</v>
      </c>
      <c r="G1378" s="62">
        <f t="shared" si="35"/>
        <v>14000</v>
      </c>
      <c r="H1378" s="15"/>
      <c r="I1378" s="47"/>
    </row>
    <row r="1379" spans="1:10" x14ac:dyDescent="0.25">
      <c r="A1379" s="420" t="s">
        <v>229</v>
      </c>
      <c r="B1379" s="421"/>
      <c r="C1379" s="59" t="s">
        <v>18</v>
      </c>
      <c r="D1379" s="60"/>
      <c r="E1379" s="61">
        <v>2</v>
      </c>
      <c r="F1379" s="62">
        <v>500</v>
      </c>
      <c r="G1379" s="62">
        <f t="shared" si="35"/>
        <v>1000</v>
      </c>
      <c r="H1379" s="15"/>
      <c r="I1379" s="47"/>
    </row>
    <row r="1380" spans="1:10" x14ac:dyDescent="0.25">
      <c r="A1380" s="11" t="s">
        <v>230</v>
      </c>
      <c r="B1380" s="12"/>
      <c r="C1380" s="35" t="s">
        <v>18</v>
      </c>
      <c r="D1380" s="31"/>
      <c r="E1380" s="30">
        <v>0.15</v>
      </c>
      <c r="F1380" s="14">
        <v>3500</v>
      </c>
      <c r="G1380" s="14">
        <f t="shared" si="35"/>
        <v>525</v>
      </c>
      <c r="H1380" s="15"/>
      <c r="I1380" s="47"/>
      <c r="J1380" s="63"/>
    </row>
    <row r="1381" spans="1:10" x14ac:dyDescent="0.25">
      <c r="A1381" s="11" t="s">
        <v>100</v>
      </c>
      <c r="B1381" s="12"/>
      <c r="C1381" s="28" t="s">
        <v>8</v>
      </c>
      <c r="D1381" s="31"/>
      <c r="E1381" s="30">
        <v>0.05</v>
      </c>
      <c r="F1381" s="14">
        <v>42500</v>
      </c>
      <c r="G1381" s="14">
        <f t="shared" si="35"/>
        <v>2125</v>
      </c>
      <c r="H1381" s="15"/>
      <c r="I1381" s="47"/>
    </row>
    <row r="1382" spans="1:10" x14ac:dyDescent="0.25">
      <c r="A1382" s="11" t="s">
        <v>101</v>
      </c>
      <c r="B1382" s="12"/>
      <c r="C1382" s="28" t="s">
        <v>18</v>
      </c>
      <c r="D1382" s="34"/>
      <c r="E1382" s="30">
        <v>0.05</v>
      </c>
      <c r="F1382" s="14">
        <v>88000</v>
      </c>
      <c r="G1382" s="14">
        <f t="shared" si="35"/>
        <v>4400</v>
      </c>
      <c r="H1382" s="15"/>
      <c r="I1382" s="47"/>
    </row>
    <row r="1383" spans="1:10" x14ac:dyDescent="0.25">
      <c r="A1383" s="11"/>
      <c r="B1383" s="12"/>
      <c r="C1383" s="35"/>
      <c r="D1383" s="34"/>
      <c r="E1383" s="30"/>
      <c r="F1383" s="14"/>
      <c r="G1383" s="14">
        <f t="shared" si="35"/>
        <v>0</v>
      </c>
      <c r="H1383" s="15"/>
      <c r="I1383" s="47"/>
    </row>
    <row r="1384" spans="1:10" x14ac:dyDescent="0.25">
      <c r="A1384" s="11"/>
      <c r="B1384" s="12"/>
      <c r="C1384" s="35"/>
      <c r="D1384" s="31"/>
      <c r="E1384" s="30"/>
      <c r="F1384" s="14"/>
      <c r="G1384" s="14">
        <f t="shared" si="35"/>
        <v>0</v>
      </c>
      <c r="H1384" s="15"/>
      <c r="I1384" s="47"/>
    </row>
    <row r="1385" spans="1:10" x14ac:dyDescent="0.25">
      <c r="A1385" s="11"/>
      <c r="B1385" s="12"/>
      <c r="C1385" s="35"/>
      <c r="D1385" s="31"/>
      <c r="E1385" s="30"/>
      <c r="F1385" s="14"/>
      <c r="G1385" s="14">
        <f t="shared" si="35"/>
        <v>0</v>
      </c>
      <c r="H1385" s="17"/>
      <c r="I1385" s="47"/>
    </row>
    <row r="1386" spans="1:10" x14ac:dyDescent="0.25">
      <c r="A1386" s="291"/>
      <c r="B1386" s="228"/>
      <c r="C1386" s="228"/>
      <c r="D1386" s="228"/>
      <c r="E1386" s="36"/>
      <c r="F1386" s="37" t="s">
        <v>102</v>
      </c>
      <c r="G1386" s="38"/>
      <c r="H1386" s="23">
        <f>SUM(G1377:G1385)</f>
        <v>22050</v>
      </c>
      <c r="I1386" s="220"/>
    </row>
    <row r="1387" spans="1:10" x14ac:dyDescent="0.25">
      <c r="A1387" s="291"/>
      <c r="B1387" s="228"/>
      <c r="C1387" s="228"/>
      <c r="D1387" s="228"/>
      <c r="E1387" s="36"/>
      <c r="F1387" s="39" t="s">
        <v>103</v>
      </c>
      <c r="G1387" s="38"/>
      <c r="H1387" s="23">
        <f>ROUND((D1377*G1377)+(D1378*G1378)+(D1379*G1379)+(D1380*G1380)+(D1381*G1381)+(D1382*G1382)+(D1383*G1383)+(D1384*G1384)+(D1385*G1385),0)</f>
        <v>0</v>
      </c>
      <c r="I1387" s="220"/>
    </row>
    <row r="1388" spans="1:10" x14ac:dyDescent="0.25">
      <c r="A1388" s="291"/>
      <c r="B1388" s="228"/>
      <c r="C1388" s="228"/>
      <c r="D1388" s="228"/>
      <c r="E1388" s="36"/>
      <c r="F1388" s="20" t="s">
        <v>104</v>
      </c>
      <c r="G1388" s="40"/>
      <c r="H1388" s="23">
        <f>SUM(H1386:H1387)</f>
        <v>22050</v>
      </c>
      <c r="I1388" s="220"/>
    </row>
    <row r="1389" spans="1:10" x14ac:dyDescent="0.25">
      <c r="A1389" s="291" t="s">
        <v>105</v>
      </c>
      <c r="B1389" s="228"/>
      <c r="C1389" s="228"/>
      <c r="D1389" s="228"/>
      <c r="E1389" s="47"/>
      <c r="F1389" s="47"/>
      <c r="G1389" s="47"/>
      <c r="H1389" s="233"/>
      <c r="I1389" s="47"/>
    </row>
    <row r="1390" spans="1:10" x14ac:dyDescent="0.25">
      <c r="A1390" s="24" t="s">
        <v>0</v>
      </c>
      <c r="B1390" s="24"/>
      <c r="C1390" s="8" t="s">
        <v>106</v>
      </c>
      <c r="D1390" s="8" t="s">
        <v>107</v>
      </c>
      <c r="E1390" s="9" t="s">
        <v>108</v>
      </c>
      <c r="F1390" s="9" t="s">
        <v>109</v>
      </c>
      <c r="G1390" s="41" t="s">
        <v>96</v>
      </c>
      <c r="H1390" s="10"/>
      <c r="I1390" s="47"/>
    </row>
    <row r="1391" spans="1:10" x14ac:dyDescent="0.25">
      <c r="A1391" s="18" t="s">
        <v>110</v>
      </c>
      <c r="B1391" s="42"/>
      <c r="C1391" s="13">
        <f>104000+26000</f>
        <v>130000</v>
      </c>
      <c r="D1391" s="13">
        <f>+C1391*0.16</f>
        <v>20800</v>
      </c>
      <c r="E1391" s="14">
        <f>C1391+D1391</f>
        <v>150800</v>
      </c>
      <c r="F1391" s="30">
        <v>0.08</v>
      </c>
      <c r="G1391" s="14">
        <f>ROUND(E1391*F1391,0)</f>
        <v>12064</v>
      </c>
      <c r="H1391" s="15"/>
      <c r="I1391" s="47"/>
    </row>
    <row r="1392" spans="1:10" x14ac:dyDescent="0.25">
      <c r="A1392" s="18" t="s">
        <v>111</v>
      </c>
      <c r="B1392" s="42"/>
      <c r="C1392" s="13">
        <f>60400+25850</f>
        <v>86250</v>
      </c>
      <c r="D1392" s="13">
        <f>+C1392*0.16</f>
        <v>13800</v>
      </c>
      <c r="E1392" s="14">
        <f>C1392+D1392</f>
        <v>100050</v>
      </c>
      <c r="F1392" s="30">
        <v>0.08</v>
      </c>
      <c r="G1392" s="14">
        <f>ROUND(E1392*F1392,0)</f>
        <v>8004</v>
      </c>
      <c r="H1392" s="15"/>
      <c r="I1392" s="47"/>
    </row>
    <row r="1393" spans="1:9" x14ac:dyDescent="0.25">
      <c r="A1393" s="18"/>
      <c r="B1393" s="42"/>
      <c r="C1393" s="43"/>
      <c r="D1393" s="43"/>
      <c r="E1393" s="44">
        <f>C1393+D1393</f>
        <v>0</v>
      </c>
      <c r="F1393" s="45"/>
      <c r="G1393" s="14">
        <f>ROUND(E1393*F1393,0)</f>
        <v>0</v>
      </c>
      <c r="H1393" s="15"/>
      <c r="I1393" s="47"/>
    </row>
    <row r="1394" spans="1:9" x14ac:dyDescent="0.25">
      <c r="A1394" s="291"/>
      <c r="B1394" s="228"/>
      <c r="C1394" s="228"/>
      <c r="D1394" s="228"/>
      <c r="E1394" s="277" t="s">
        <v>112</v>
      </c>
      <c r="F1394" s="277"/>
      <c r="G1394" s="277"/>
      <c r="H1394" s="23">
        <f>SUM(G1391:G1393)</f>
        <v>20068</v>
      </c>
      <c r="I1394" s="220"/>
    </row>
    <row r="1395" spans="1:9" x14ac:dyDescent="0.25">
      <c r="A1395" s="291"/>
      <c r="B1395" s="228"/>
      <c r="C1395" s="228"/>
      <c r="D1395" s="228"/>
      <c r="E1395" s="47"/>
      <c r="F1395" s="47"/>
      <c r="G1395" s="47"/>
      <c r="H1395" s="233"/>
      <c r="I1395" s="47"/>
    </row>
    <row r="1396" spans="1:9" x14ac:dyDescent="0.25">
      <c r="A1396" s="18"/>
      <c r="B1396" s="19"/>
      <c r="C1396" s="19"/>
      <c r="D1396" s="19"/>
      <c r="E1396" s="48" t="s">
        <v>113</v>
      </c>
      <c r="F1396" s="48"/>
      <c r="G1396" s="48"/>
      <c r="H1396" s="25">
        <f>H1394+H1388+H1374</f>
        <v>58613</v>
      </c>
      <c r="I1396" s="222"/>
    </row>
    <row r="1397" spans="1:9" x14ac:dyDescent="0.25">
      <c r="A1397" s="291"/>
      <c r="B1397" s="228"/>
      <c r="C1397" s="228"/>
      <c r="D1397" s="228"/>
      <c r="E1397" s="47"/>
      <c r="F1397" s="47"/>
      <c r="G1397" s="47"/>
      <c r="H1397" s="233"/>
      <c r="I1397" s="47"/>
    </row>
    <row r="1398" spans="1:9" x14ac:dyDescent="0.25">
      <c r="A1398" s="291" t="s">
        <v>114</v>
      </c>
      <c r="B1398" s="228"/>
      <c r="C1398" s="228"/>
      <c r="D1398" s="228"/>
      <c r="E1398" s="47"/>
      <c r="F1398" s="47"/>
      <c r="G1398" s="47"/>
      <c r="H1398" s="233"/>
      <c r="I1398" s="47"/>
    </row>
    <row r="1399" spans="1:9" x14ac:dyDescent="0.25">
      <c r="A1399" s="6" t="s">
        <v>0</v>
      </c>
      <c r="B1399" s="49"/>
      <c r="C1399" s="49"/>
      <c r="D1399" s="49"/>
      <c r="E1399" s="50"/>
      <c r="F1399" s="9" t="s">
        <v>115</v>
      </c>
      <c r="G1399" s="41" t="s">
        <v>116</v>
      </c>
      <c r="H1399" s="10"/>
      <c r="I1399" s="47"/>
    </row>
    <row r="1400" spans="1:9" x14ac:dyDescent="0.25">
      <c r="A1400" s="11" t="s">
        <v>117</v>
      </c>
      <c r="B1400" s="51"/>
      <c r="C1400" s="51"/>
      <c r="D1400" s="51"/>
      <c r="E1400" s="52"/>
      <c r="F1400" s="53"/>
      <c r="G1400" s="14">
        <f>F1400*H1396</f>
        <v>0</v>
      </c>
      <c r="H1400" s="15"/>
      <c r="I1400" s="47"/>
    </row>
    <row r="1401" spans="1:9" x14ac:dyDescent="0.25">
      <c r="A1401" s="11"/>
      <c r="B1401" s="51"/>
      <c r="C1401" s="51"/>
      <c r="D1401" s="51"/>
      <c r="E1401" s="52"/>
      <c r="F1401" s="53"/>
      <c r="G1401" s="14">
        <f>F1401*H1396</f>
        <v>0</v>
      </c>
      <c r="H1401" s="15"/>
      <c r="I1401" s="47"/>
    </row>
    <row r="1402" spans="1:9" x14ac:dyDescent="0.25">
      <c r="A1402" s="11"/>
      <c r="B1402" s="51"/>
      <c r="C1402" s="51"/>
      <c r="D1402" s="51"/>
      <c r="E1402" s="52"/>
      <c r="F1402" s="53"/>
      <c r="G1402" s="14">
        <f>F1402*H1396</f>
        <v>0</v>
      </c>
      <c r="H1402" s="17"/>
      <c r="I1402" s="47"/>
    </row>
    <row r="1403" spans="1:9" x14ac:dyDescent="0.25">
      <c r="A1403" s="4"/>
      <c r="B1403" s="4"/>
      <c r="C1403" s="4"/>
      <c r="D1403" s="4"/>
      <c r="E1403" s="46" t="s">
        <v>118</v>
      </c>
      <c r="F1403" s="46"/>
      <c r="G1403" s="46"/>
      <c r="H1403" s="36">
        <f>SUM(G1400:G1402)</f>
        <v>0</v>
      </c>
      <c r="I1403" s="220"/>
    </row>
    <row r="1404" spans="1:9" ht="15.75" thickBot="1" x14ac:dyDescent="0.3">
      <c r="A1404" s="4"/>
      <c r="B1404" s="4"/>
      <c r="C1404" s="4"/>
      <c r="D1404" s="4"/>
      <c r="E1404" s="5"/>
      <c r="F1404" s="5"/>
      <c r="G1404" s="5"/>
      <c r="H1404" s="5"/>
      <c r="I1404" s="47"/>
    </row>
    <row r="1405" spans="1:9" ht="15.75" thickBot="1" x14ac:dyDescent="0.3">
      <c r="A1405" s="4"/>
      <c r="B1405" s="4"/>
      <c r="C1405" s="4"/>
      <c r="D1405" s="4"/>
      <c r="E1405" s="54"/>
      <c r="F1405" s="54" t="s">
        <v>119</v>
      </c>
      <c r="G1405" s="54"/>
      <c r="H1405" s="240">
        <f>SUM(H1403+H1396)</f>
        <v>58613</v>
      </c>
      <c r="I1405" s="112"/>
    </row>
    <row r="1406" spans="1:9" x14ac:dyDescent="0.25">
      <c r="A1406" s="4"/>
      <c r="B1406" s="4"/>
      <c r="C1406" s="4"/>
      <c r="D1406" s="4"/>
      <c r="E1406" s="54"/>
      <c r="F1406" s="54"/>
      <c r="G1406" s="54"/>
      <c r="H1406" s="112"/>
      <c r="I1406" s="112"/>
    </row>
    <row r="1407" spans="1:9" x14ac:dyDescent="0.25">
      <c r="A1407" s="4"/>
      <c r="B1407" s="4"/>
      <c r="C1407" s="4"/>
      <c r="D1407" s="4"/>
      <c r="E1407" s="54"/>
      <c r="F1407" s="54"/>
      <c r="G1407" s="54"/>
      <c r="H1407" s="112"/>
      <c r="I1407" s="112"/>
    </row>
    <row r="1408" spans="1:9" x14ac:dyDescent="0.25">
      <c r="A1408" s="4"/>
      <c r="B1408" s="4"/>
      <c r="C1408" s="4"/>
      <c r="D1408" s="4"/>
      <c r="E1408" s="54"/>
      <c r="F1408" s="54"/>
      <c r="G1408" s="54"/>
      <c r="H1408" s="112"/>
      <c r="I1408" s="112"/>
    </row>
    <row r="1409" spans="1:9" x14ac:dyDescent="0.25">
      <c r="A1409" s="4"/>
      <c r="B1409" s="4"/>
      <c r="C1409" s="4"/>
      <c r="D1409" s="4"/>
      <c r="E1409" s="54"/>
      <c r="F1409" s="54"/>
      <c r="G1409" s="54"/>
      <c r="H1409" s="112"/>
      <c r="I1409" s="112"/>
    </row>
    <row r="1410" spans="1:9" x14ac:dyDescent="0.25">
      <c r="A1410" s="4"/>
      <c r="B1410" s="4"/>
      <c r="C1410" s="4"/>
      <c r="D1410" s="4"/>
      <c r="E1410" s="54"/>
      <c r="F1410" s="54"/>
      <c r="G1410" s="54"/>
      <c r="H1410" s="112"/>
      <c r="I1410" s="112"/>
    </row>
    <row r="1411" spans="1:9" x14ac:dyDescent="0.25">
      <c r="A1411" s="4"/>
      <c r="B1411" s="4"/>
      <c r="C1411" s="4"/>
      <c r="D1411" s="4"/>
      <c r="E1411" s="54"/>
      <c r="F1411" s="54"/>
      <c r="G1411" s="54"/>
      <c r="H1411" s="112"/>
      <c r="I1411" s="112"/>
    </row>
    <row r="1413" spans="1:9" x14ac:dyDescent="0.25">
      <c r="A1413" s="412" t="s">
        <v>79</v>
      </c>
      <c r="B1413" s="412"/>
      <c r="C1413" s="412"/>
      <c r="D1413" s="412"/>
      <c r="E1413" s="412"/>
      <c r="F1413" s="412"/>
      <c r="G1413" s="412"/>
      <c r="H1413" s="412"/>
      <c r="I1413" s="250"/>
    </row>
    <row r="1414" spans="1:9" x14ac:dyDescent="0.25">
      <c r="A1414" s="4"/>
      <c r="B1414" s="4"/>
      <c r="C1414" s="4"/>
      <c r="D1414" s="4"/>
      <c r="E1414" s="5"/>
      <c r="F1414" s="5"/>
      <c r="G1414" s="411" t="s">
        <v>326</v>
      </c>
      <c r="H1414" s="411"/>
      <c r="I1414" s="251"/>
    </row>
    <row r="1415" spans="1:9" x14ac:dyDescent="0.25">
      <c r="A1415" s="434" t="s">
        <v>471</v>
      </c>
      <c r="B1415" s="434"/>
      <c r="C1415" s="434"/>
      <c r="D1415" s="434"/>
      <c r="E1415" s="434"/>
      <c r="F1415" s="434"/>
      <c r="G1415" s="434"/>
      <c r="H1415" s="434"/>
      <c r="I1415" s="252"/>
    </row>
    <row r="1416" spans="1:9" x14ac:dyDescent="0.25">
      <c r="A1416" s="4"/>
      <c r="B1416" s="4"/>
      <c r="C1416" s="4"/>
      <c r="D1416" s="4"/>
      <c r="E1416" s="5"/>
      <c r="F1416" s="5"/>
      <c r="G1416" s="414" t="s">
        <v>215</v>
      </c>
      <c r="H1416" s="414"/>
      <c r="I1416" s="253"/>
    </row>
    <row r="1417" spans="1:9" x14ac:dyDescent="0.25">
      <c r="A1417" s="4" t="s">
        <v>82</v>
      </c>
      <c r="B1417" s="4"/>
      <c r="C1417" s="4"/>
      <c r="D1417" s="4"/>
      <c r="E1417" s="5"/>
      <c r="F1417" s="5"/>
      <c r="G1417" s="5"/>
      <c r="H1417" s="5"/>
      <c r="I1417" s="47"/>
    </row>
    <row r="1418" spans="1:9" x14ac:dyDescent="0.25">
      <c r="A1418" s="6" t="s">
        <v>0</v>
      </c>
      <c r="B1418" s="7"/>
      <c r="C1418" s="8" t="s">
        <v>83</v>
      </c>
      <c r="D1418" s="8" t="s">
        <v>84</v>
      </c>
      <c r="E1418" s="9" t="s">
        <v>85</v>
      </c>
      <c r="F1418" s="9" t="s">
        <v>86</v>
      </c>
      <c r="G1418" s="9" t="s">
        <v>87</v>
      </c>
      <c r="H1418" s="10"/>
      <c r="I1418" s="47"/>
    </row>
    <row r="1419" spans="1:9" x14ac:dyDescent="0.25">
      <c r="A1419" s="11" t="s">
        <v>88</v>
      </c>
      <c r="B1419" s="12"/>
      <c r="C1419" s="13"/>
      <c r="D1419" s="13"/>
      <c r="E1419" s="14"/>
      <c r="F1419" s="14"/>
      <c r="G1419" s="14">
        <f>ROUND(H1443*0.05,0)+8-16</f>
        <v>4759</v>
      </c>
      <c r="H1419" s="15"/>
      <c r="I1419" s="47"/>
    </row>
    <row r="1420" spans="1:9" x14ac:dyDescent="0.25">
      <c r="A1420" s="11" t="s">
        <v>327</v>
      </c>
      <c r="B1420" s="12"/>
      <c r="C1420" s="13"/>
      <c r="D1420" s="13"/>
      <c r="E1420" s="14">
        <v>350000</v>
      </c>
      <c r="F1420" s="14">
        <v>0.5</v>
      </c>
      <c r="G1420" s="14">
        <f>ROUND(E1420*F1420,0)</f>
        <v>175000</v>
      </c>
      <c r="H1420" s="15"/>
      <c r="I1420" s="47"/>
    </row>
    <row r="1421" spans="1:9" x14ac:dyDescent="0.25">
      <c r="A1421" s="11" t="s">
        <v>328</v>
      </c>
      <c r="B1421" s="12"/>
      <c r="C1421" s="13"/>
      <c r="D1421" s="13"/>
      <c r="E1421" s="14">
        <v>50000</v>
      </c>
      <c r="F1421" s="16">
        <v>1</v>
      </c>
      <c r="G1421" s="14">
        <f>ROUND(E1421*F1421,0)</f>
        <v>50000</v>
      </c>
      <c r="H1421" s="15"/>
      <c r="I1421" s="47"/>
    </row>
    <row r="1422" spans="1:9" x14ac:dyDescent="0.25">
      <c r="A1422" s="11"/>
      <c r="B1422" s="12"/>
      <c r="C1422" s="13"/>
      <c r="D1422" s="13"/>
      <c r="E1422" s="14"/>
      <c r="F1422" s="14"/>
      <c r="G1422" s="14">
        <f>ROUND(E1422*F1422,0)</f>
        <v>0</v>
      </c>
      <c r="H1422" s="17"/>
      <c r="I1422" s="47"/>
    </row>
    <row r="1423" spans="1:9" x14ac:dyDescent="0.25">
      <c r="A1423" s="18"/>
      <c r="B1423" s="19"/>
      <c r="C1423" s="19"/>
      <c r="D1423" s="19"/>
      <c r="E1423" s="20"/>
      <c r="F1423" s="21" t="s">
        <v>90</v>
      </c>
      <c r="G1423" s="22"/>
      <c r="H1423" s="23">
        <f>SUM(G1419:G1422)</f>
        <v>229759</v>
      </c>
      <c r="I1423" s="220"/>
    </row>
    <row r="1424" spans="1:9" x14ac:dyDescent="0.25">
      <c r="A1424" s="291" t="s">
        <v>91</v>
      </c>
      <c r="B1424" s="228"/>
      <c r="C1424" s="228"/>
      <c r="D1424" s="228"/>
      <c r="E1424" s="47"/>
      <c r="F1424" s="47"/>
      <c r="G1424" s="47"/>
      <c r="H1424" s="233"/>
      <c r="I1424" s="47"/>
    </row>
    <row r="1425" spans="1:10" ht="13.9" customHeight="1" x14ac:dyDescent="0.25">
      <c r="A1425" s="24" t="s">
        <v>0</v>
      </c>
      <c r="B1425" s="24"/>
      <c r="C1425" s="8" t="s">
        <v>92</v>
      </c>
      <c r="D1425" s="8" t="s">
        <v>93</v>
      </c>
      <c r="E1425" s="9" t="s">
        <v>94</v>
      </c>
      <c r="F1425" s="9" t="s">
        <v>95</v>
      </c>
      <c r="G1425" s="25" t="s">
        <v>96</v>
      </c>
      <c r="H1425" s="10"/>
      <c r="I1425" s="47"/>
    </row>
    <row r="1426" spans="1:10" hidden="1" x14ac:dyDescent="0.25">
      <c r="A1426" s="26"/>
      <c r="B1426" s="27"/>
      <c r="C1426" s="28"/>
      <c r="D1426" s="29"/>
      <c r="E1426" s="30"/>
      <c r="F1426" s="14">
        <f>323000</f>
        <v>323000</v>
      </c>
      <c r="G1426" s="14">
        <f t="shared" ref="G1426:G1434" si="36">ROUND(E1426*F1426,0)</f>
        <v>0</v>
      </c>
      <c r="H1426" s="15"/>
      <c r="I1426" s="47"/>
    </row>
    <row r="1427" spans="1:10" ht="36" customHeight="1" x14ac:dyDescent="0.25">
      <c r="A1427" s="420" t="s">
        <v>231</v>
      </c>
      <c r="B1427" s="421"/>
      <c r="C1427" s="59" t="s">
        <v>18</v>
      </c>
      <c r="D1427" s="65"/>
      <c r="E1427" s="61">
        <v>1</v>
      </c>
      <c r="F1427" s="87">
        <f>369900</f>
        <v>369900</v>
      </c>
      <c r="G1427" s="62">
        <f t="shared" si="36"/>
        <v>369900</v>
      </c>
      <c r="H1427" s="15"/>
      <c r="I1427" s="47"/>
    </row>
    <row r="1428" spans="1:10" ht="25.9" customHeight="1" x14ac:dyDescent="0.25">
      <c r="A1428" s="420"/>
      <c r="B1428" s="421"/>
      <c r="C1428" s="59"/>
      <c r="D1428" s="60"/>
      <c r="E1428" s="61"/>
      <c r="F1428" s="87"/>
      <c r="G1428" s="62">
        <f t="shared" si="36"/>
        <v>0</v>
      </c>
      <c r="H1428" s="15"/>
      <c r="I1428" s="47"/>
    </row>
    <row r="1429" spans="1:10" x14ac:dyDescent="0.25">
      <c r="A1429" s="11"/>
      <c r="B1429" s="12"/>
      <c r="C1429" s="35"/>
      <c r="D1429" s="31"/>
      <c r="E1429" s="30"/>
      <c r="F1429" s="14"/>
      <c r="G1429" s="14">
        <f t="shared" si="36"/>
        <v>0</v>
      </c>
      <c r="H1429" s="15"/>
      <c r="I1429" s="47"/>
      <c r="J1429" s="63"/>
    </row>
    <row r="1430" spans="1:10" x14ac:dyDescent="0.25">
      <c r="A1430" s="11"/>
      <c r="B1430" s="12"/>
      <c r="C1430" s="35"/>
      <c r="D1430" s="34"/>
      <c r="E1430" s="30"/>
      <c r="F1430" s="14"/>
      <c r="G1430" s="14">
        <f t="shared" si="36"/>
        <v>0</v>
      </c>
      <c r="H1430" s="15"/>
      <c r="I1430" s="47"/>
    </row>
    <row r="1431" spans="1:10" x14ac:dyDescent="0.25">
      <c r="A1431" s="11"/>
      <c r="B1431" s="12"/>
      <c r="C1431" s="35"/>
      <c r="D1431" s="31"/>
      <c r="E1431" s="30"/>
      <c r="F1431" s="14"/>
      <c r="G1431" s="14">
        <f t="shared" si="36"/>
        <v>0</v>
      </c>
      <c r="H1431" s="15"/>
      <c r="I1431" s="47"/>
    </row>
    <row r="1432" spans="1:10" x14ac:dyDescent="0.25">
      <c r="A1432" s="11"/>
      <c r="B1432" s="12"/>
      <c r="C1432" s="35"/>
      <c r="D1432" s="34"/>
      <c r="E1432" s="30"/>
      <c r="F1432" s="14"/>
      <c r="G1432" s="14">
        <f t="shared" si="36"/>
        <v>0</v>
      </c>
      <c r="H1432" s="15"/>
      <c r="I1432" s="47"/>
    </row>
    <row r="1433" spans="1:10" x14ac:dyDescent="0.25">
      <c r="A1433" s="11"/>
      <c r="B1433" s="12"/>
      <c r="C1433" s="35"/>
      <c r="D1433" s="31"/>
      <c r="E1433" s="30"/>
      <c r="F1433" s="14"/>
      <c r="G1433" s="14">
        <f t="shared" si="36"/>
        <v>0</v>
      </c>
      <c r="H1433" s="15"/>
      <c r="I1433" s="47"/>
    </row>
    <row r="1434" spans="1:10" x14ac:dyDescent="0.25">
      <c r="A1434" s="11"/>
      <c r="B1434" s="12"/>
      <c r="C1434" s="35"/>
      <c r="D1434" s="31"/>
      <c r="E1434" s="30"/>
      <c r="F1434" s="14"/>
      <c r="G1434" s="14">
        <f t="shared" si="36"/>
        <v>0</v>
      </c>
      <c r="H1434" s="17"/>
      <c r="I1434" s="47"/>
    </row>
    <row r="1435" spans="1:10" x14ac:dyDescent="0.25">
      <c r="A1435" s="291"/>
      <c r="B1435" s="228"/>
      <c r="C1435" s="228"/>
      <c r="D1435" s="228"/>
      <c r="E1435" s="36"/>
      <c r="F1435" s="37" t="s">
        <v>102</v>
      </c>
      <c r="G1435" s="38"/>
      <c r="H1435" s="23">
        <f>SUM(G1426:G1434)</f>
        <v>369900</v>
      </c>
      <c r="I1435" s="220"/>
    </row>
    <row r="1436" spans="1:10" x14ac:dyDescent="0.25">
      <c r="A1436" s="291"/>
      <c r="B1436" s="228"/>
      <c r="C1436" s="228"/>
      <c r="D1436" s="228"/>
      <c r="E1436" s="36"/>
      <c r="F1436" s="39" t="s">
        <v>103</v>
      </c>
      <c r="G1436" s="38"/>
      <c r="H1436" s="23">
        <f>ROUND((D1426*G1426)+(D1427*G1427)+(D1428*G1428)+(D1429*G1429)+(D1430*G1430)+(D1431*G1431)+(D1432*G1432)+(D1433*G1433)+(D1434*G1434),0)</f>
        <v>0</v>
      </c>
      <c r="I1436" s="220"/>
    </row>
    <row r="1437" spans="1:10" x14ac:dyDescent="0.25">
      <c r="A1437" s="291"/>
      <c r="B1437" s="228"/>
      <c r="C1437" s="228"/>
      <c r="D1437" s="228"/>
      <c r="E1437" s="36"/>
      <c r="F1437" s="20" t="s">
        <v>104</v>
      </c>
      <c r="G1437" s="40"/>
      <c r="H1437" s="23">
        <f>SUM(H1435:H1436)</f>
        <v>369900</v>
      </c>
      <c r="I1437" s="220"/>
    </row>
    <row r="1438" spans="1:10" x14ac:dyDescent="0.25">
      <c r="A1438" s="291" t="s">
        <v>105</v>
      </c>
      <c r="B1438" s="228"/>
      <c r="C1438" s="228"/>
      <c r="D1438" s="228"/>
      <c r="E1438" s="47"/>
      <c r="F1438" s="47"/>
      <c r="G1438" s="47"/>
      <c r="H1438" s="233"/>
      <c r="I1438" s="47"/>
    </row>
    <row r="1439" spans="1:10" x14ac:dyDescent="0.25">
      <c r="A1439" s="24" t="s">
        <v>0</v>
      </c>
      <c r="B1439" s="24"/>
      <c r="C1439" s="8" t="s">
        <v>106</v>
      </c>
      <c r="D1439" s="8" t="s">
        <v>107</v>
      </c>
      <c r="E1439" s="9" t="s">
        <v>108</v>
      </c>
      <c r="F1439" s="9" t="s">
        <v>109</v>
      </c>
      <c r="G1439" s="41" t="s">
        <v>96</v>
      </c>
      <c r="H1439" s="10"/>
      <c r="I1439" s="47"/>
    </row>
    <row r="1440" spans="1:10" x14ac:dyDescent="0.25">
      <c r="A1440" s="18" t="s">
        <v>110</v>
      </c>
      <c r="B1440" s="42"/>
      <c r="C1440" s="13">
        <f>104000+26000</f>
        <v>130000</v>
      </c>
      <c r="D1440" s="13">
        <f>+C1440*0.16</f>
        <v>20800</v>
      </c>
      <c r="E1440" s="14">
        <f>C1440+D1440</f>
        <v>150800</v>
      </c>
      <c r="F1440" s="30">
        <v>0.4</v>
      </c>
      <c r="G1440" s="14">
        <f>ROUND(E1440*F1440,0)</f>
        <v>60320</v>
      </c>
      <c r="H1440" s="15"/>
      <c r="I1440" s="47"/>
    </row>
    <row r="1441" spans="1:9" x14ac:dyDescent="0.25">
      <c r="A1441" s="18" t="s">
        <v>111</v>
      </c>
      <c r="B1441" s="42"/>
      <c r="C1441" s="13">
        <f>60400+25850</f>
        <v>86250</v>
      </c>
      <c r="D1441" s="13">
        <f>+C1441*0.16</f>
        <v>13800</v>
      </c>
      <c r="E1441" s="14">
        <f>C1441+D1441</f>
        <v>100050</v>
      </c>
      <c r="F1441" s="30">
        <v>0.35</v>
      </c>
      <c r="G1441" s="14">
        <f>ROUND(E1441*F1441,0)</f>
        <v>35018</v>
      </c>
      <c r="H1441" s="15"/>
      <c r="I1441" s="47"/>
    </row>
    <row r="1442" spans="1:9" x14ac:dyDescent="0.25">
      <c r="A1442" s="18"/>
      <c r="B1442" s="42"/>
      <c r="C1442" s="43"/>
      <c r="D1442" s="43"/>
      <c r="E1442" s="44">
        <f>C1442+D1442</f>
        <v>0</v>
      </c>
      <c r="F1442" s="45"/>
      <c r="G1442" s="14">
        <f>ROUND(E1442*F1442,0)</f>
        <v>0</v>
      </c>
      <c r="H1442" s="15"/>
      <c r="I1442" s="47"/>
    </row>
    <row r="1443" spans="1:9" x14ac:dyDescent="0.25">
      <c r="A1443" s="291"/>
      <c r="B1443" s="228"/>
      <c r="C1443" s="228"/>
      <c r="D1443" s="228"/>
      <c r="E1443" s="277" t="s">
        <v>112</v>
      </c>
      <c r="F1443" s="277"/>
      <c r="G1443" s="277"/>
      <c r="H1443" s="23">
        <f>SUM(G1440:G1442)</f>
        <v>95338</v>
      </c>
      <c r="I1443" s="220"/>
    </row>
    <row r="1444" spans="1:9" x14ac:dyDescent="0.25">
      <c r="A1444" s="291"/>
      <c r="B1444" s="228"/>
      <c r="C1444" s="228"/>
      <c r="D1444" s="228"/>
      <c r="E1444" s="47"/>
      <c r="F1444" s="47"/>
      <c r="G1444" s="47"/>
      <c r="H1444" s="233"/>
      <c r="I1444" s="47"/>
    </row>
    <row r="1445" spans="1:9" x14ac:dyDescent="0.25">
      <c r="A1445" s="18"/>
      <c r="B1445" s="19"/>
      <c r="C1445" s="19"/>
      <c r="D1445" s="19"/>
      <c r="E1445" s="48" t="s">
        <v>113</v>
      </c>
      <c r="F1445" s="48"/>
      <c r="G1445" s="48"/>
      <c r="H1445" s="25">
        <f>H1443+H1437+H1423</f>
        <v>694997</v>
      </c>
      <c r="I1445" s="222"/>
    </row>
    <row r="1446" spans="1:9" x14ac:dyDescent="0.25">
      <c r="A1446" s="291"/>
      <c r="B1446" s="228"/>
      <c r="C1446" s="228"/>
      <c r="D1446" s="228"/>
      <c r="E1446" s="47"/>
      <c r="F1446" s="47"/>
      <c r="G1446" s="47"/>
      <c r="H1446" s="233"/>
      <c r="I1446" s="47"/>
    </row>
    <row r="1447" spans="1:9" x14ac:dyDescent="0.25">
      <c r="A1447" s="291" t="s">
        <v>114</v>
      </c>
      <c r="B1447" s="228"/>
      <c r="C1447" s="228"/>
      <c r="D1447" s="228"/>
      <c r="E1447" s="47"/>
      <c r="F1447" s="47"/>
      <c r="G1447" s="47"/>
      <c r="H1447" s="233"/>
      <c r="I1447" s="47"/>
    </row>
    <row r="1448" spans="1:9" x14ac:dyDescent="0.25">
      <c r="A1448" s="6" t="s">
        <v>0</v>
      </c>
      <c r="B1448" s="49"/>
      <c r="C1448" s="49"/>
      <c r="D1448" s="49"/>
      <c r="E1448" s="50"/>
      <c r="F1448" s="9" t="s">
        <v>115</v>
      </c>
      <c r="G1448" s="41" t="s">
        <v>116</v>
      </c>
      <c r="H1448" s="10"/>
      <c r="I1448" s="47"/>
    </row>
    <row r="1449" spans="1:9" x14ac:dyDescent="0.25">
      <c r="A1449" s="11" t="s">
        <v>117</v>
      </c>
      <c r="B1449" s="51"/>
      <c r="C1449" s="51"/>
      <c r="D1449" s="51"/>
      <c r="E1449" s="52"/>
      <c r="F1449" s="53"/>
      <c r="G1449" s="14">
        <f>F1449*H1445</f>
        <v>0</v>
      </c>
      <c r="H1449" s="15"/>
      <c r="I1449" s="47"/>
    </row>
    <row r="1450" spans="1:9" x14ac:dyDescent="0.25">
      <c r="A1450" s="11"/>
      <c r="B1450" s="51"/>
      <c r="C1450" s="51"/>
      <c r="D1450" s="51"/>
      <c r="E1450" s="52"/>
      <c r="F1450" s="53"/>
      <c r="G1450" s="14">
        <f>F1450*H1445</f>
        <v>0</v>
      </c>
      <c r="H1450" s="15"/>
      <c r="I1450" s="47"/>
    </row>
    <row r="1451" spans="1:9" x14ac:dyDescent="0.25">
      <c r="A1451" s="11"/>
      <c r="B1451" s="51"/>
      <c r="C1451" s="51"/>
      <c r="D1451" s="51"/>
      <c r="E1451" s="52"/>
      <c r="F1451" s="53"/>
      <c r="G1451" s="14">
        <f>F1451*H1445</f>
        <v>0</v>
      </c>
      <c r="H1451" s="17"/>
      <c r="I1451" s="47"/>
    </row>
    <row r="1452" spans="1:9" x14ac:dyDescent="0.25">
      <c r="A1452" s="291"/>
      <c r="B1452" s="228"/>
      <c r="C1452" s="228"/>
      <c r="D1452" s="228"/>
      <c r="E1452" s="277" t="s">
        <v>118</v>
      </c>
      <c r="F1452" s="277"/>
      <c r="G1452" s="277"/>
      <c r="H1452" s="23">
        <f>SUM(G1449:G1451)</f>
        <v>0</v>
      </c>
      <c r="I1452" s="220"/>
    </row>
    <row r="1453" spans="1:9" ht="15.75" thickBot="1" x14ac:dyDescent="0.3">
      <c r="A1453" s="291"/>
      <c r="B1453" s="228"/>
      <c r="C1453" s="228"/>
      <c r="D1453" s="228"/>
      <c r="E1453" s="47"/>
      <c r="F1453" s="47"/>
      <c r="G1453" s="47"/>
      <c r="H1453" s="233"/>
      <c r="I1453" s="47"/>
    </row>
    <row r="1454" spans="1:9" ht="15.75" thickBot="1" x14ac:dyDescent="0.3">
      <c r="A1454" s="291"/>
      <c r="B1454" s="228"/>
      <c r="C1454" s="228"/>
      <c r="D1454" s="228"/>
      <c r="E1454" s="279"/>
      <c r="F1454" s="279" t="s">
        <v>119</v>
      </c>
      <c r="G1454" s="279"/>
      <c r="H1454" s="292">
        <f>SUM(H1452+H1445)</f>
        <v>694997</v>
      </c>
      <c r="I1454" s="112"/>
    </row>
    <row r="1455" spans="1:9" x14ac:dyDescent="0.25">
      <c r="A1455" s="291"/>
      <c r="B1455" s="228"/>
      <c r="C1455" s="228"/>
      <c r="D1455" s="228"/>
      <c r="E1455" s="279"/>
      <c r="F1455" s="279"/>
      <c r="G1455" s="279"/>
      <c r="H1455" s="293"/>
      <c r="I1455" s="112"/>
    </row>
    <row r="1456" spans="1:9" x14ac:dyDescent="0.25">
      <c r="A1456" s="291"/>
      <c r="B1456" s="228"/>
      <c r="C1456" s="228"/>
      <c r="D1456" s="228"/>
      <c r="E1456" s="279"/>
      <c r="F1456" s="279"/>
      <c r="G1456" s="279"/>
      <c r="H1456" s="293"/>
      <c r="I1456" s="112"/>
    </row>
    <row r="1457" spans="1:9" x14ac:dyDescent="0.25">
      <c r="A1457" s="291"/>
      <c r="B1457" s="228"/>
      <c r="C1457" s="228"/>
      <c r="D1457" s="228"/>
      <c r="E1457" s="279"/>
      <c r="F1457" s="279"/>
      <c r="G1457" s="279"/>
      <c r="H1457" s="293"/>
      <c r="I1457" s="112"/>
    </row>
    <row r="1458" spans="1:9" x14ac:dyDescent="0.25">
      <c r="A1458" s="291"/>
      <c r="B1458" s="228"/>
      <c r="C1458" s="228"/>
      <c r="D1458" s="228"/>
      <c r="E1458" s="279"/>
      <c r="F1458" s="279"/>
      <c r="G1458" s="279"/>
      <c r="H1458" s="293"/>
      <c r="I1458" s="112"/>
    </row>
    <row r="1459" spans="1:9" x14ac:dyDescent="0.25">
      <c r="A1459" s="291"/>
      <c r="B1459" s="228"/>
      <c r="C1459" s="228"/>
      <c r="D1459" s="228"/>
      <c r="E1459" s="279"/>
      <c r="F1459" s="279"/>
      <c r="G1459" s="279"/>
      <c r="H1459" s="293"/>
      <c r="I1459" s="112"/>
    </row>
    <row r="1460" spans="1:9" x14ac:dyDescent="0.25">
      <c r="A1460" s="291"/>
      <c r="B1460" s="228"/>
      <c r="C1460" s="228"/>
      <c r="D1460" s="228"/>
      <c r="E1460" s="279"/>
      <c r="F1460" s="279"/>
      <c r="G1460" s="279"/>
      <c r="H1460" s="293"/>
      <c r="I1460" s="112"/>
    </row>
    <row r="1461" spans="1:9" x14ac:dyDescent="0.25">
      <c r="A1461" s="291"/>
      <c r="B1461" s="228"/>
      <c r="C1461" s="228"/>
      <c r="D1461" s="228"/>
      <c r="E1461" s="279"/>
      <c r="F1461" s="279"/>
      <c r="G1461" s="279"/>
      <c r="H1461" s="293"/>
      <c r="I1461" s="112"/>
    </row>
    <row r="1462" spans="1:9" x14ac:dyDescent="0.25">
      <c r="A1462" s="291"/>
      <c r="B1462" s="228"/>
      <c r="C1462" s="228"/>
      <c r="D1462" s="228"/>
      <c r="E1462" s="279"/>
      <c r="F1462" s="279"/>
      <c r="G1462" s="279"/>
      <c r="H1462" s="293"/>
      <c r="I1462" s="112"/>
    </row>
    <row r="1463" spans="1:9" x14ac:dyDescent="0.25">
      <c r="A1463" s="291"/>
      <c r="B1463" s="228"/>
      <c r="C1463" s="228"/>
      <c r="D1463" s="228"/>
      <c r="E1463" s="279"/>
      <c r="F1463" s="279"/>
      <c r="G1463" s="279"/>
      <c r="H1463" s="293"/>
      <c r="I1463" s="112"/>
    </row>
    <row r="1464" spans="1:9" x14ac:dyDescent="0.25">
      <c r="A1464" s="291"/>
      <c r="B1464" s="228"/>
      <c r="C1464" s="228"/>
      <c r="D1464" s="228"/>
      <c r="E1464" s="279"/>
      <c r="F1464" s="279"/>
      <c r="G1464" s="279"/>
      <c r="H1464" s="293"/>
      <c r="I1464" s="112"/>
    </row>
    <row r="1465" spans="1:9" x14ac:dyDescent="0.25">
      <c r="A1465" s="291"/>
      <c r="B1465" s="228"/>
      <c r="C1465" s="228"/>
      <c r="D1465" s="228"/>
      <c r="E1465" s="279"/>
      <c r="F1465" s="279"/>
      <c r="G1465" s="279"/>
      <c r="H1465" s="293"/>
      <c r="I1465" s="112"/>
    </row>
    <row r="1466" spans="1:9" x14ac:dyDescent="0.25">
      <c r="A1466" s="439" t="s">
        <v>79</v>
      </c>
      <c r="B1466" s="440"/>
      <c r="C1466" s="440"/>
      <c r="D1466" s="440"/>
      <c r="E1466" s="440"/>
      <c r="F1466" s="440"/>
      <c r="G1466" s="440"/>
      <c r="H1466" s="441"/>
      <c r="I1466" s="250"/>
    </row>
    <row r="1467" spans="1:9" x14ac:dyDescent="0.25">
      <c r="A1467" s="291"/>
      <c r="B1467" s="228"/>
      <c r="C1467" s="228"/>
      <c r="D1467" s="228"/>
      <c r="E1467" s="47"/>
      <c r="F1467" s="47"/>
      <c r="G1467" s="438" t="s">
        <v>326</v>
      </c>
      <c r="H1467" s="442"/>
      <c r="I1467" s="251"/>
    </row>
    <row r="1468" spans="1:9" ht="27" customHeight="1" x14ac:dyDescent="0.25">
      <c r="A1468" s="465" t="s">
        <v>316</v>
      </c>
      <c r="B1468" s="466"/>
      <c r="C1468" s="466"/>
      <c r="D1468" s="466"/>
      <c r="E1468" s="466"/>
      <c r="F1468" s="466"/>
      <c r="G1468" s="466"/>
      <c r="H1468" s="467"/>
      <c r="I1468" s="254"/>
    </row>
    <row r="1469" spans="1:9" x14ac:dyDescent="0.25">
      <c r="A1469" s="291"/>
      <c r="B1469" s="228"/>
      <c r="C1469" s="228"/>
      <c r="D1469" s="228"/>
      <c r="E1469" s="47"/>
      <c r="F1469" s="47"/>
      <c r="G1469" s="446" t="s">
        <v>215</v>
      </c>
      <c r="H1469" s="447"/>
      <c r="I1469" s="253"/>
    </row>
    <row r="1470" spans="1:9" x14ac:dyDescent="0.25">
      <c r="A1470" s="291" t="s">
        <v>82</v>
      </c>
      <c r="B1470" s="228"/>
      <c r="C1470" s="228"/>
      <c r="D1470" s="228"/>
      <c r="E1470" s="47"/>
      <c r="F1470" s="47"/>
      <c r="G1470" s="47"/>
      <c r="H1470" s="233"/>
      <c r="I1470" s="47"/>
    </row>
    <row r="1471" spans="1:9" x14ac:dyDescent="0.25">
      <c r="A1471" s="6" t="s">
        <v>0</v>
      </c>
      <c r="B1471" s="7"/>
      <c r="C1471" s="8" t="s">
        <v>83</v>
      </c>
      <c r="D1471" s="8" t="s">
        <v>84</v>
      </c>
      <c r="E1471" s="9" t="s">
        <v>85</v>
      </c>
      <c r="F1471" s="9" t="s">
        <v>86</v>
      </c>
      <c r="G1471" s="9" t="s">
        <v>87</v>
      </c>
      <c r="H1471" s="10"/>
      <c r="I1471" s="47"/>
    </row>
    <row r="1472" spans="1:9" x14ac:dyDescent="0.25">
      <c r="A1472" s="11" t="s">
        <v>88</v>
      </c>
      <c r="B1472" s="12"/>
      <c r="C1472" s="13"/>
      <c r="D1472" s="13"/>
      <c r="E1472" s="14"/>
      <c r="F1472" s="14"/>
      <c r="G1472" s="14">
        <f>ROUND(H1496*0.05,0)+8-16</f>
        <v>2501</v>
      </c>
      <c r="H1472" s="15"/>
      <c r="I1472" s="47"/>
    </row>
    <row r="1473" spans="1:10" x14ac:dyDescent="0.25">
      <c r="A1473" s="11" t="s">
        <v>327</v>
      </c>
      <c r="B1473" s="12"/>
      <c r="C1473" s="13"/>
      <c r="D1473" s="13"/>
      <c r="E1473" s="14">
        <v>350000</v>
      </c>
      <c r="F1473" s="14">
        <v>7.0000000000000007E-2</v>
      </c>
      <c r="G1473" s="14">
        <f>ROUND(E1473*F1473,0)</f>
        <v>24500</v>
      </c>
      <c r="H1473" s="15"/>
      <c r="I1473" s="47"/>
    </row>
    <row r="1474" spans="1:10" x14ac:dyDescent="0.25">
      <c r="A1474" s="11" t="s">
        <v>328</v>
      </c>
      <c r="B1474" s="12"/>
      <c r="C1474" s="13"/>
      <c r="D1474" s="13"/>
      <c r="E1474" s="14">
        <v>50000</v>
      </c>
      <c r="F1474" s="16">
        <v>0.2</v>
      </c>
      <c r="G1474" s="14">
        <f>ROUND(E1474*F1474,0)</f>
        <v>10000</v>
      </c>
      <c r="H1474" s="15"/>
      <c r="I1474" s="47"/>
    </row>
    <row r="1475" spans="1:10" x14ac:dyDescent="0.25">
      <c r="A1475" s="11"/>
      <c r="B1475" s="12"/>
      <c r="C1475" s="13"/>
      <c r="D1475" s="13"/>
      <c r="E1475" s="14"/>
      <c r="F1475" s="14"/>
      <c r="G1475" s="14">
        <f>ROUND(E1475*F1475,0)</f>
        <v>0</v>
      </c>
      <c r="H1475" s="17"/>
      <c r="I1475" s="47"/>
    </row>
    <row r="1476" spans="1:10" x14ac:dyDescent="0.25">
      <c r="A1476" s="18"/>
      <c r="B1476" s="19"/>
      <c r="C1476" s="19"/>
      <c r="D1476" s="19"/>
      <c r="E1476" s="20"/>
      <c r="F1476" s="21" t="s">
        <v>90</v>
      </c>
      <c r="G1476" s="22"/>
      <c r="H1476" s="23">
        <f>SUM(G1472:G1475)</f>
        <v>37001</v>
      </c>
      <c r="I1476" s="220"/>
    </row>
    <row r="1477" spans="1:10" x14ac:dyDescent="0.25">
      <c r="A1477" s="291" t="s">
        <v>91</v>
      </c>
      <c r="B1477" s="228"/>
      <c r="C1477" s="228"/>
      <c r="D1477" s="228"/>
      <c r="E1477" s="47"/>
      <c r="F1477" s="47"/>
      <c r="G1477" s="47"/>
      <c r="H1477" s="233"/>
      <c r="I1477" s="47"/>
    </row>
    <row r="1478" spans="1:10" ht="13.9" customHeight="1" x14ac:dyDescent="0.25">
      <c r="A1478" s="24" t="s">
        <v>0</v>
      </c>
      <c r="B1478" s="24"/>
      <c r="C1478" s="8" t="s">
        <v>92</v>
      </c>
      <c r="D1478" s="8" t="s">
        <v>93</v>
      </c>
      <c r="E1478" s="9" t="s">
        <v>94</v>
      </c>
      <c r="F1478" s="9" t="s">
        <v>95</v>
      </c>
      <c r="G1478" s="25" t="s">
        <v>96</v>
      </c>
      <c r="H1478" s="10"/>
      <c r="I1478" s="47"/>
    </row>
    <row r="1479" spans="1:10" hidden="1" x14ac:dyDescent="0.25">
      <c r="A1479" s="26"/>
      <c r="B1479" s="27"/>
      <c r="C1479" s="28"/>
      <c r="D1479" s="29"/>
      <c r="E1479" s="30"/>
      <c r="F1479" s="14">
        <f>323000</f>
        <v>323000</v>
      </c>
      <c r="G1479" s="14">
        <f t="shared" ref="G1479:G1487" si="37">ROUND(E1479*F1479,0)</f>
        <v>0</v>
      </c>
      <c r="H1479" s="15"/>
      <c r="I1479" s="47"/>
    </row>
    <row r="1480" spans="1:10" ht="28.9" customHeight="1" x14ac:dyDescent="0.25">
      <c r="A1480" s="420" t="s">
        <v>272</v>
      </c>
      <c r="B1480" s="421"/>
      <c r="C1480" s="59" t="s">
        <v>18</v>
      </c>
      <c r="D1480" s="65"/>
      <c r="E1480" s="61">
        <v>1</v>
      </c>
      <c r="F1480" s="62">
        <f>172500*1.05</f>
        <v>181125</v>
      </c>
      <c r="G1480" s="62">
        <f t="shared" si="37"/>
        <v>181125</v>
      </c>
      <c r="H1480" s="15"/>
      <c r="I1480" s="47"/>
    </row>
    <row r="1481" spans="1:10" ht="25.9" customHeight="1" x14ac:dyDescent="0.25">
      <c r="A1481" s="420"/>
      <c r="B1481" s="421"/>
      <c r="C1481" s="59"/>
      <c r="D1481" s="60"/>
      <c r="E1481" s="61"/>
      <c r="F1481" s="62"/>
      <c r="G1481" s="62">
        <f t="shared" si="37"/>
        <v>0</v>
      </c>
      <c r="H1481" s="15"/>
      <c r="I1481" s="47"/>
    </row>
    <row r="1482" spans="1:10" x14ac:dyDescent="0.25">
      <c r="A1482" s="11"/>
      <c r="B1482" s="12"/>
      <c r="C1482" s="35"/>
      <c r="D1482" s="31"/>
      <c r="E1482" s="30"/>
      <c r="F1482" s="14"/>
      <c r="G1482" s="14">
        <f t="shared" si="37"/>
        <v>0</v>
      </c>
      <c r="H1482" s="15"/>
      <c r="I1482" s="47"/>
      <c r="J1482" s="63"/>
    </row>
    <row r="1483" spans="1:10" x14ac:dyDescent="0.25">
      <c r="A1483" s="11"/>
      <c r="B1483" s="12"/>
      <c r="C1483" s="35"/>
      <c r="D1483" s="34"/>
      <c r="E1483" s="30"/>
      <c r="F1483" s="14"/>
      <c r="G1483" s="14">
        <f t="shared" si="37"/>
        <v>0</v>
      </c>
      <c r="H1483" s="15"/>
      <c r="I1483" s="47"/>
    </row>
    <row r="1484" spans="1:10" x14ac:dyDescent="0.25">
      <c r="A1484" s="11"/>
      <c r="B1484" s="12"/>
      <c r="C1484" s="35"/>
      <c r="D1484" s="31"/>
      <c r="E1484" s="30"/>
      <c r="F1484" s="14"/>
      <c r="G1484" s="14">
        <f t="shared" si="37"/>
        <v>0</v>
      </c>
      <c r="H1484" s="15"/>
      <c r="I1484" s="47"/>
    </row>
    <row r="1485" spans="1:10" x14ac:dyDescent="0.25">
      <c r="A1485" s="11"/>
      <c r="B1485" s="12"/>
      <c r="C1485" s="35"/>
      <c r="D1485" s="34"/>
      <c r="E1485" s="30"/>
      <c r="F1485" s="14"/>
      <c r="G1485" s="14">
        <f t="shared" si="37"/>
        <v>0</v>
      </c>
      <c r="H1485" s="15"/>
      <c r="I1485" s="47"/>
    </row>
    <row r="1486" spans="1:10" hidden="1" x14ac:dyDescent="0.25">
      <c r="A1486" s="11"/>
      <c r="B1486" s="12"/>
      <c r="C1486" s="35"/>
      <c r="D1486" s="31"/>
      <c r="E1486" s="30"/>
      <c r="F1486" s="14"/>
      <c r="G1486" s="14">
        <f t="shared" si="37"/>
        <v>0</v>
      </c>
      <c r="H1486" s="15"/>
      <c r="I1486" s="47"/>
    </row>
    <row r="1487" spans="1:10" x14ac:dyDescent="0.25">
      <c r="A1487" s="11"/>
      <c r="B1487" s="12"/>
      <c r="C1487" s="35"/>
      <c r="D1487" s="31"/>
      <c r="E1487" s="30"/>
      <c r="F1487" s="14"/>
      <c r="G1487" s="14">
        <f t="shared" si="37"/>
        <v>0</v>
      </c>
      <c r="H1487" s="17"/>
      <c r="I1487" s="47"/>
    </row>
    <row r="1488" spans="1:10" x14ac:dyDescent="0.25">
      <c r="A1488" s="291"/>
      <c r="B1488" s="228"/>
      <c r="C1488" s="228"/>
      <c r="D1488" s="228"/>
      <c r="E1488" s="36"/>
      <c r="F1488" s="37" t="s">
        <v>102</v>
      </c>
      <c r="G1488" s="38"/>
      <c r="H1488" s="23">
        <f>SUM(G1479:G1487)</f>
        <v>181125</v>
      </c>
      <c r="I1488" s="220"/>
    </row>
    <row r="1489" spans="1:9" x14ac:dyDescent="0.25">
      <c r="A1489" s="291"/>
      <c r="B1489" s="228"/>
      <c r="C1489" s="228"/>
      <c r="D1489" s="228"/>
      <c r="E1489" s="36"/>
      <c r="F1489" s="39" t="s">
        <v>103</v>
      </c>
      <c r="G1489" s="38"/>
      <c r="H1489" s="23">
        <f>ROUND((D1479*G1479)+(D1480*G1480)+(D1481*G1481)+(D1482*G1482)+(D1483*G1483)+(D1484*G1484)+(D1485*G1485)+(D1486*G1486)+(D1487*G1487),0)</f>
        <v>0</v>
      </c>
      <c r="I1489" s="220"/>
    </row>
    <row r="1490" spans="1:9" x14ac:dyDescent="0.25">
      <c r="A1490" s="291"/>
      <c r="B1490" s="228"/>
      <c r="C1490" s="228"/>
      <c r="D1490" s="228"/>
      <c r="E1490" s="36"/>
      <c r="F1490" s="20" t="s">
        <v>104</v>
      </c>
      <c r="G1490" s="40"/>
      <c r="H1490" s="23">
        <f>SUM(H1488:H1489)</f>
        <v>181125</v>
      </c>
      <c r="I1490" s="220"/>
    </row>
    <row r="1491" spans="1:9" x14ac:dyDescent="0.25">
      <c r="A1491" s="291" t="s">
        <v>105</v>
      </c>
      <c r="B1491" s="228"/>
      <c r="C1491" s="228"/>
      <c r="D1491" s="228"/>
      <c r="E1491" s="47"/>
      <c r="F1491" s="47"/>
      <c r="G1491" s="47"/>
      <c r="H1491" s="233"/>
      <c r="I1491" s="47"/>
    </row>
    <row r="1492" spans="1:9" x14ac:dyDescent="0.25">
      <c r="A1492" s="24" t="s">
        <v>0</v>
      </c>
      <c r="B1492" s="24"/>
      <c r="C1492" s="8" t="s">
        <v>106</v>
      </c>
      <c r="D1492" s="8" t="s">
        <v>107</v>
      </c>
      <c r="E1492" s="9" t="s">
        <v>108</v>
      </c>
      <c r="F1492" s="9" t="s">
        <v>109</v>
      </c>
      <c r="G1492" s="41" t="s">
        <v>96</v>
      </c>
      <c r="H1492" s="10"/>
      <c r="I1492" s="47"/>
    </row>
    <row r="1493" spans="1:9" x14ac:dyDescent="0.25">
      <c r="A1493" s="18" t="s">
        <v>110</v>
      </c>
      <c r="B1493" s="42"/>
      <c r="C1493" s="13">
        <f>104000+26000</f>
        <v>130000</v>
      </c>
      <c r="D1493" s="13">
        <f>+C1493*0.16</f>
        <v>20800</v>
      </c>
      <c r="E1493" s="14">
        <f>C1493+D1493</f>
        <v>150800</v>
      </c>
      <c r="F1493" s="30">
        <v>0.2</v>
      </c>
      <c r="G1493" s="14">
        <f>ROUND(E1493*F1493,0)</f>
        <v>30160</v>
      </c>
      <c r="H1493" s="15"/>
      <c r="I1493" s="47"/>
    </row>
    <row r="1494" spans="1:9" x14ac:dyDescent="0.25">
      <c r="A1494" s="18" t="s">
        <v>111</v>
      </c>
      <c r="B1494" s="42"/>
      <c r="C1494" s="13">
        <f>60400+25850</f>
        <v>86250</v>
      </c>
      <c r="D1494" s="13">
        <f>+C1494*0.16</f>
        <v>13800</v>
      </c>
      <c r="E1494" s="14">
        <f>C1494+D1494</f>
        <v>100050</v>
      </c>
      <c r="F1494" s="30">
        <v>0.2</v>
      </c>
      <c r="G1494" s="14">
        <f>ROUND(E1494*F1494,0)</f>
        <v>20010</v>
      </c>
      <c r="H1494" s="15"/>
      <c r="I1494" s="47"/>
    </row>
    <row r="1495" spans="1:9" x14ac:dyDescent="0.25">
      <c r="A1495" s="18"/>
      <c r="B1495" s="42"/>
      <c r="C1495" s="43"/>
      <c r="D1495" s="43"/>
      <c r="E1495" s="44">
        <f>C1495+D1495</f>
        <v>0</v>
      </c>
      <c r="F1495" s="45"/>
      <c r="G1495" s="14">
        <f>ROUND(E1495*F1495,0)</f>
        <v>0</v>
      </c>
      <c r="H1495" s="15"/>
      <c r="I1495" s="47"/>
    </row>
    <row r="1496" spans="1:9" x14ac:dyDescent="0.25">
      <c r="A1496" s="291"/>
      <c r="B1496" s="228"/>
      <c r="C1496" s="228"/>
      <c r="D1496" s="228"/>
      <c r="E1496" s="277" t="s">
        <v>112</v>
      </c>
      <c r="F1496" s="277"/>
      <c r="G1496" s="277"/>
      <c r="H1496" s="23">
        <f>SUM(G1493:G1495)</f>
        <v>50170</v>
      </c>
      <c r="I1496" s="220"/>
    </row>
    <row r="1497" spans="1:9" x14ac:dyDescent="0.25">
      <c r="A1497" s="291"/>
      <c r="B1497" s="228"/>
      <c r="C1497" s="228"/>
      <c r="D1497" s="228"/>
      <c r="E1497" s="47"/>
      <c r="F1497" s="47"/>
      <c r="G1497" s="47"/>
      <c r="H1497" s="233"/>
      <c r="I1497" s="47"/>
    </row>
    <row r="1498" spans="1:9" x14ac:dyDescent="0.25">
      <c r="A1498" s="18"/>
      <c r="B1498" s="19"/>
      <c r="C1498" s="19"/>
      <c r="D1498" s="19"/>
      <c r="E1498" s="48" t="s">
        <v>113</v>
      </c>
      <c r="F1498" s="48"/>
      <c r="G1498" s="48"/>
      <c r="H1498" s="25">
        <f>H1496+H1490+H1476</f>
        <v>268296</v>
      </c>
      <c r="I1498" s="222"/>
    </row>
    <row r="1499" spans="1:9" x14ac:dyDescent="0.25">
      <c r="A1499" s="291"/>
      <c r="B1499" s="228"/>
      <c r="C1499" s="228"/>
      <c r="D1499" s="228"/>
      <c r="E1499" s="47"/>
      <c r="F1499" s="47"/>
      <c r="G1499" s="47"/>
      <c r="H1499" s="233"/>
      <c r="I1499" s="47"/>
    </row>
    <row r="1500" spans="1:9" x14ac:dyDescent="0.25">
      <c r="A1500" s="291" t="s">
        <v>114</v>
      </c>
      <c r="B1500" s="228"/>
      <c r="C1500" s="228"/>
      <c r="D1500" s="228"/>
      <c r="E1500" s="47"/>
      <c r="F1500" s="47"/>
      <c r="G1500" s="47"/>
      <c r="H1500" s="233"/>
      <c r="I1500" s="47"/>
    </row>
    <row r="1501" spans="1:9" x14ac:dyDescent="0.25">
      <c r="A1501" s="6" t="s">
        <v>0</v>
      </c>
      <c r="B1501" s="49"/>
      <c r="C1501" s="49"/>
      <c r="D1501" s="49"/>
      <c r="E1501" s="50"/>
      <c r="F1501" s="9" t="s">
        <v>115</v>
      </c>
      <c r="G1501" s="41" t="s">
        <v>116</v>
      </c>
      <c r="H1501" s="10"/>
      <c r="I1501" s="47"/>
    </row>
    <row r="1502" spans="1:9" x14ac:dyDescent="0.25">
      <c r="A1502" s="11" t="s">
        <v>117</v>
      </c>
      <c r="B1502" s="51"/>
      <c r="C1502" s="51"/>
      <c r="D1502" s="51"/>
      <c r="E1502" s="52"/>
      <c r="F1502" s="53"/>
      <c r="G1502" s="14">
        <f>F1502*H1498</f>
        <v>0</v>
      </c>
      <c r="H1502" s="15"/>
      <c r="I1502" s="47"/>
    </row>
    <row r="1503" spans="1:9" hidden="1" x14ac:dyDescent="0.25">
      <c r="A1503" s="11"/>
      <c r="B1503" s="51"/>
      <c r="C1503" s="51"/>
      <c r="D1503" s="51"/>
      <c r="E1503" s="52"/>
      <c r="F1503" s="53"/>
      <c r="G1503" s="14">
        <f>F1503*H1498</f>
        <v>0</v>
      </c>
      <c r="H1503" s="15"/>
      <c r="I1503" s="47"/>
    </row>
    <row r="1504" spans="1:9" hidden="1" x14ac:dyDescent="0.25">
      <c r="A1504" s="11"/>
      <c r="B1504" s="51"/>
      <c r="C1504" s="51"/>
      <c r="D1504" s="51"/>
      <c r="E1504" s="52"/>
      <c r="F1504" s="53"/>
      <c r="G1504" s="14">
        <f>F1504*H1498</f>
        <v>0</v>
      </c>
      <c r="H1504" s="17"/>
      <c r="I1504" s="47"/>
    </row>
    <row r="1505" spans="1:9" x14ac:dyDescent="0.25">
      <c r="A1505" s="4"/>
      <c r="B1505" s="4"/>
      <c r="C1505" s="4"/>
      <c r="D1505" s="4"/>
      <c r="E1505" s="46" t="s">
        <v>118</v>
      </c>
      <c r="F1505" s="46"/>
      <c r="G1505" s="46"/>
      <c r="H1505" s="36">
        <f>SUM(G1502:G1504)</f>
        <v>0</v>
      </c>
      <c r="I1505" s="220"/>
    </row>
    <row r="1506" spans="1:9" ht="15.75" thickBot="1" x14ac:dyDescent="0.3">
      <c r="A1506" s="4"/>
      <c r="B1506" s="4"/>
      <c r="C1506" s="4"/>
      <c r="D1506" s="4"/>
      <c r="E1506" s="5"/>
      <c r="F1506" s="5"/>
      <c r="G1506" s="5"/>
      <c r="H1506" s="5"/>
      <c r="I1506" s="47"/>
    </row>
    <row r="1507" spans="1:9" ht="15.75" thickBot="1" x14ac:dyDescent="0.3">
      <c r="A1507" s="4"/>
      <c r="B1507" s="4"/>
      <c r="C1507" s="4"/>
      <c r="D1507" s="4"/>
      <c r="E1507" s="54"/>
      <c r="F1507" s="54" t="s">
        <v>119</v>
      </c>
      <c r="G1507" s="54"/>
      <c r="H1507" s="240">
        <f>SUM(H1505+H1498)</f>
        <v>268296</v>
      </c>
      <c r="I1507" s="112"/>
    </row>
    <row r="1508" spans="1:9" x14ac:dyDescent="0.25">
      <c r="A1508" s="4"/>
      <c r="B1508" s="4"/>
      <c r="C1508" s="4"/>
      <c r="D1508" s="4"/>
      <c r="E1508" s="54"/>
      <c r="F1508" s="54"/>
      <c r="G1508" s="54"/>
      <c r="H1508" s="112"/>
      <c r="I1508" s="112"/>
    </row>
    <row r="1509" spans="1:9" x14ac:dyDescent="0.25">
      <c r="A1509" s="4"/>
      <c r="B1509" s="4"/>
      <c r="C1509" s="4"/>
      <c r="D1509" s="4"/>
      <c r="E1509" s="54"/>
      <c r="F1509" s="54"/>
      <c r="G1509" s="54"/>
      <c r="H1509" s="112"/>
      <c r="I1509" s="112"/>
    </row>
    <row r="1510" spans="1:9" x14ac:dyDescent="0.25">
      <c r="A1510" s="4"/>
      <c r="B1510" s="4"/>
      <c r="C1510" s="4"/>
      <c r="D1510" s="4"/>
      <c r="E1510" s="54"/>
      <c r="F1510" s="54"/>
      <c r="G1510" s="54"/>
      <c r="H1510" s="112"/>
      <c r="I1510" s="112"/>
    </row>
    <row r="1511" spans="1:9" x14ac:dyDescent="0.25">
      <c r="A1511" s="4"/>
      <c r="B1511" s="4"/>
      <c r="C1511" s="4"/>
      <c r="D1511" s="4"/>
      <c r="E1511" s="54"/>
      <c r="F1511" s="54"/>
      <c r="G1511" s="54"/>
      <c r="H1511" s="112"/>
      <c r="I1511" s="112"/>
    </row>
    <row r="1512" spans="1:9" x14ac:dyDescent="0.25">
      <c r="A1512" s="4"/>
      <c r="B1512" s="4"/>
      <c r="C1512" s="4"/>
      <c r="D1512" s="4"/>
      <c r="E1512" s="54"/>
      <c r="F1512" s="54"/>
      <c r="G1512" s="54"/>
      <c r="H1512" s="112"/>
      <c r="I1512" s="112"/>
    </row>
    <row r="1513" spans="1:9" x14ac:dyDescent="0.25">
      <c r="A1513" s="4"/>
      <c r="B1513" s="4"/>
      <c r="C1513" s="4"/>
      <c r="D1513" s="4"/>
      <c r="E1513" s="54"/>
      <c r="F1513" s="54"/>
      <c r="G1513" s="54"/>
      <c r="H1513" s="112"/>
      <c r="I1513" s="112"/>
    </row>
    <row r="1514" spans="1:9" x14ac:dyDescent="0.25">
      <c r="A1514" s="412" t="s">
        <v>79</v>
      </c>
      <c r="B1514" s="412"/>
      <c r="C1514" s="412"/>
      <c r="D1514" s="412"/>
      <c r="E1514" s="412"/>
      <c r="F1514" s="412"/>
      <c r="G1514" s="412"/>
      <c r="H1514" s="412"/>
      <c r="I1514" s="250"/>
    </row>
    <row r="1515" spans="1:9" x14ac:dyDescent="0.25">
      <c r="A1515" s="4"/>
      <c r="B1515" s="4"/>
      <c r="C1515" s="4"/>
      <c r="D1515" s="4"/>
      <c r="E1515" s="5"/>
      <c r="F1515" s="5"/>
      <c r="G1515" s="411" t="s">
        <v>326</v>
      </c>
      <c r="H1515" s="411"/>
      <c r="I1515" s="251"/>
    </row>
    <row r="1516" spans="1:9" x14ac:dyDescent="0.25">
      <c r="A1516" s="434" t="s">
        <v>254</v>
      </c>
      <c r="B1516" s="434"/>
      <c r="C1516" s="434"/>
      <c r="D1516" s="434"/>
      <c r="E1516" s="434"/>
      <c r="F1516" s="434"/>
      <c r="G1516" s="434"/>
      <c r="H1516" s="434"/>
      <c r="I1516" s="252"/>
    </row>
    <row r="1517" spans="1:9" x14ac:dyDescent="0.25">
      <c r="A1517" s="4"/>
      <c r="B1517" s="4"/>
      <c r="C1517" s="4"/>
      <c r="D1517" s="4"/>
      <c r="E1517" s="5"/>
      <c r="F1517" s="5"/>
      <c r="G1517" s="414" t="s">
        <v>215</v>
      </c>
      <c r="H1517" s="414"/>
      <c r="I1517" s="253"/>
    </row>
    <row r="1518" spans="1:9" x14ac:dyDescent="0.25">
      <c r="A1518" s="4" t="s">
        <v>82</v>
      </c>
      <c r="B1518" s="4"/>
      <c r="C1518" s="4"/>
      <c r="D1518" s="4"/>
      <c r="E1518" s="5"/>
      <c r="F1518" s="5"/>
      <c r="G1518" s="5"/>
      <c r="H1518" s="5"/>
      <c r="I1518" s="47"/>
    </row>
    <row r="1519" spans="1:9" x14ac:dyDescent="0.25">
      <c r="A1519" s="6" t="s">
        <v>0</v>
      </c>
      <c r="B1519" s="7"/>
      <c r="C1519" s="8" t="s">
        <v>83</v>
      </c>
      <c r="D1519" s="8" t="s">
        <v>84</v>
      </c>
      <c r="E1519" s="9" t="s">
        <v>85</v>
      </c>
      <c r="F1519" s="9" t="s">
        <v>86</v>
      </c>
      <c r="G1519" s="9" t="s">
        <v>87</v>
      </c>
      <c r="H1519" s="10"/>
      <c r="I1519" s="47"/>
    </row>
    <row r="1520" spans="1:9" x14ac:dyDescent="0.25">
      <c r="A1520" s="11" t="s">
        <v>88</v>
      </c>
      <c r="B1520" s="12"/>
      <c r="C1520" s="13"/>
      <c r="D1520" s="13"/>
      <c r="E1520" s="14"/>
      <c r="F1520" s="14"/>
      <c r="G1520" s="14">
        <f>ROUND(H1544*0.05,0)+8-16</f>
        <v>3605</v>
      </c>
      <c r="H1520" s="15"/>
      <c r="I1520" s="47"/>
    </row>
    <row r="1521" spans="1:10" x14ac:dyDescent="0.25">
      <c r="A1521" s="11" t="s">
        <v>327</v>
      </c>
      <c r="B1521" s="12"/>
      <c r="C1521" s="13"/>
      <c r="D1521" s="13"/>
      <c r="E1521" s="14">
        <v>350000</v>
      </c>
      <c r="F1521" s="14">
        <v>7.0000000000000007E-2</v>
      </c>
      <c r="G1521" s="14">
        <f>ROUND(E1521*F1521,0)</f>
        <v>24500</v>
      </c>
      <c r="H1521" s="15"/>
      <c r="I1521" s="47"/>
    </row>
    <row r="1522" spans="1:10" x14ac:dyDescent="0.25">
      <c r="A1522" s="11" t="s">
        <v>328</v>
      </c>
      <c r="B1522" s="12"/>
      <c r="C1522" s="13"/>
      <c r="D1522" s="13"/>
      <c r="E1522" s="14">
        <v>50000</v>
      </c>
      <c r="F1522" s="16">
        <v>0.2</v>
      </c>
      <c r="G1522" s="14">
        <f>ROUND(E1522*F1522,0)</f>
        <v>10000</v>
      </c>
      <c r="H1522" s="15"/>
      <c r="I1522" s="47"/>
    </row>
    <row r="1523" spans="1:10" x14ac:dyDescent="0.25">
      <c r="A1523" s="11"/>
      <c r="B1523" s="12"/>
      <c r="C1523" s="13"/>
      <c r="D1523" s="13"/>
      <c r="E1523" s="14"/>
      <c r="F1523" s="14"/>
      <c r="G1523" s="14">
        <f>ROUND(E1523*F1523,0)</f>
        <v>0</v>
      </c>
      <c r="H1523" s="17"/>
      <c r="I1523" s="47"/>
    </row>
    <row r="1524" spans="1:10" x14ac:dyDescent="0.25">
      <c r="A1524" s="18"/>
      <c r="B1524" s="19"/>
      <c r="C1524" s="19"/>
      <c r="D1524" s="19"/>
      <c r="E1524" s="20"/>
      <c r="F1524" s="21" t="s">
        <v>90</v>
      </c>
      <c r="G1524" s="22"/>
      <c r="H1524" s="23">
        <f>SUM(G1520:G1523)</f>
        <v>38105</v>
      </c>
      <c r="I1524" s="220"/>
    </row>
    <row r="1525" spans="1:10" x14ac:dyDescent="0.25">
      <c r="A1525" s="291" t="s">
        <v>91</v>
      </c>
      <c r="B1525" s="228"/>
      <c r="C1525" s="228"/>
      <c r="D1525" s="228"/>
      <c r="E1525" s="47"/>
      <c r="F1525" s="47"/>
      <c r="G1525" s="47"/>
      <c r="H1525" s="233"/>
      <c r="I1525" s="47"/>
    </row>
    <row r="1526" spans="1:10" ht="13.9" customHeight="1" x14ac:dyDescent="0.25">
      <c r="A1526" s="24" t="s">
        <v>0</v>
      </c>
      <c r="B1526" s="24"/>
      <c r="C1526" s="8" t="s">
        <v>92</v>
      </c>
      <c r="D1526" s="8" t="s">
        <v>93</v>
      </c>
      <c r="E1526" s="9" t="s">
        <v>94</v>
      </c>
      <c r="F1526" s="9" t="s">
        <v>95</v>
      </c>
      <c r="G1526" s="25" t="s">
        <v>96</v>
      </c>
      <c r="H1526" s="10"/>
      <c r="I1526" s="47"/>
    </row>
    <row r="1527" spans="1:10" hidden="1" x14ac:dyDescent="0.25">
      <c r="A1527" s="26"/>
      <c r="B1527" s="27"/>
      <c r="C1527" s="28"/>
      <c r="D1527" s="29"/>
      <c r="E1527" s="30"/>
      <c r="F1527" s="14">
        <f>323000</f>
        <v>323000</v>
      </c>
      <c r="G1527" s="14">
        <f t="shared" ref="G1527:G1535" si="38">ROUND(E1527*F1527,0)</f>
        <v>0</v>
      </c>
      <c r="H1527" s="15"/>
      <c r="I1527" s="47"/>
    </row>
    <row r="1528" spans="1:10" x14ac:dyDescent="0.25">
      <c r="A1528" s="420" t="s">
        <v>255</v>
      </c>
      <c r="B1528" s="421"/>
      <c r="C1528" s="59" t="s">
        <v>18</v>
      </c>
      <c r="D1528" s="65"/>
      <c r="E1528" s="61">
        <v>1</v>
      </c>
      <c r="F1528" s="62">
        <f>59900*1.4</f>
        <v>83860</v>
      </c>
      <c r="G1528" s="62">
        <f t="shared" si="38"/>
        <v>83860</v>
      </c>
      <c r="H1528" s="15"/>
      <c r="I1528" s="47"/>
    </row>
    <row r="1529" spans="1:10" ht="25.9" customHeight="1" x14ac:dyDescent="0.25">
      <c r="A1529" s="420"/>
      <c r="B1529" s="421"/>
      <c r="C1529" s="59"/>
      <c r="D1529" s="60"/>
      <c r="E1529" s="61"/>
      <c r="F1529" s="62"/>
      <c r="G1529" s="62">
        <f t="shared" si="38"/>
        <v>0</v>
      </c>
      <c r="H1529" s="15"/>
      <c r="I1529" s="47"/>
    </row>
    <row r="1530" spans="1:10" x14ac:dyDescent="0.25">
      <c r="A1530" s="11"/>
      <c r="B1530" s="12"/>
      <c r="C1530" s="35"/>
      <c r="D1530" s="31"/>
      <c r="E1530" s="30"/>
      <c r="F1530" s="14"/>
      <c r="G1530" s="14">
        <f t="shared" si="38"/>
        <v>0</v>
      </c>
      <c r="H1530" s="15"/>
      <c r="I1530" s="47"/>
      <c r="J1530" s="63"/>
    </row>
    <row r="1531" spans="1:10" x14ac:dyDescent="0.25">
      <c r="A1531" s="11"/>
      <c r="B1531" s="12"/>
      <c r="C1531" s="35"/>
      <c r="D1531" s="34"/>
      <c r="E1531" s="30"/>
      <c r="F1531" s="14"/>
      <c r="G1531" s="14">
        <f t="shared" si="38"/>
        <v>0</v>
      </c>
      <c r="H1531" s="15"/>
      <c r="I1531" s="47"/>
    </row>
    <row r="1532" spans="1:10" x14ac:dyDescent="0.25">
      <c r="A1532" s="11"/>
      <c r="B1532" s="12"/>
      <c r="C1532" s="35"/>
      <c r="D1532" s="31"/>
      <c r="E1532" s="30"/>
      <c r="F1532" s="14"/>
      <c r="G1532" s="14">
        <f t="shared" si="38"/>
        <v>0</v>
      </c>
      <c r="H1532" s="15"/>
      <c r="I1532" s="47"/>
    </row>
    <row r="1533" spans="1:10" x14ac:dyDescent="0.25">
      <c r="A1533" s="11"/>
      <c r="B1533" s="12"/>
      <c r="C1533" s="35"/>
      <c r="D1533" s="34"/>
      <c r="E1533" s="30"/>
      <c r="F1533" s="14"/>
      <c r="G1533" s="14">
        <f t="shared" si="38"/>
        <v>0</v>
      </c>
      <c r="H1533" s="15"/>
      <c r="I1533" s="47"/>
    </row>
    <row r="1534" spans="1:10" x14ac:dyDescent="0.25">
      <c r="A1534" s="11"/>
      <c r="B1534" s="12"/>
      <c r="C1534" s="35"/>
      <c r="D1534" s="31"/>
      <c r="E1534" s="30"/>
      <c r="F1534" s="14"/>
      <c r="G1534" s="14">
        <f t="shared" si="38"/>
        <v>0</v>
      </c>
      <c r="H1534" s="15"/>
      <c r="I1534" s="47"/>
    </row>
    <row r="1535" spans="1:10" x14ac:dyDescent="0.25">
      <c r="A1535" s="11"/>
      <c r="B1535" s="12"/>
      <c r="C1535" s="35"/>
      <c r="D1535" s="31"/>
      <c r="E1535" s="30"/>
      <c r="F1535" s="14"/>
      <c r="G1535" s="14">
        <f t="shared" si="38"/>
        <v>0</v>
      </c>
      <c r="H1535" s="17"/>
      <c r="I1535" s="47"/>
    </row>
    <row r="1536" spans="1:10" x14ac:dyDescent="0.25">
      <c r="A1536" s="291"/>
      <c r="B1536" s="228"/>
      <c r="C1536" s="228"/>
      <c r="D1536" s="228"/>
      <c r="E1536" s="36"/>
      <c r="F1536" s="37" t="s">
        <v>102</v>
      </c>
      <c r="G1536" s="38"/>
      <c r="H1536" s="23">
        <f>SUM(G1527:G1535)</f>
        <v>83860</v>
      </c>
      <c r="I1536" s="220"/>
    </row>
    <row r="1537" spans="1:9" x14ac:dyDescent="0.25">
      <c r="A1537" s="291"/>
      <c r="B1537" s="228"/>
      <c r="C1537" s="228"/>
      <c r="D1537" s="228"/>
      <c r="E1537" s="36"/>
      <c r="F1537" s="39" t="s">
        <v>103</v>
      </c>
      <c r="G1537" s="38"/>
      <c r="H1537" s="23">
        <f>ROUND((D1527*G1527)+(D1528*G1528)+(D1529*G1529)+(D1530*G1530)+(D1531*G1531)+(D1532*G1532)+(D1533*G1533)+(D1534*G1534)+(D1535*G1535),0)</f>
        <v>0</v>
      </c>
      <c r="I1537" s="220"/>
    </row>
    <row r="1538" spans="1:9" x14ac:dyDescent="0.25">
      <c r="A1538" s="291"/>
      <c r="B1538" s="228"/>
      <c r="C1538" s="228"/>
      <c r="D1538" s="228"/>
      <c r="E1538" s="36"/>
      <c r="F1538" s="20" t="s">
        <v>104</v>
      </c>
      <c r="G1538" s="40"/>
      <c r="H1538" s="23">
        <f>SUM(H1536:H1537)</f>
        <v>83860</v>
      </c>
      <c r="I1538" s="220"/>
    </row>
    <row r="1539" spans="1:9" x14ac:dyDescent="0.25">
      <c r="A1539" s="291" t="s">
        <v>105</v>
      </c>
      <c r="B1539" s="228"/>
      <c r="C1539" s="228"/>
      <c r="D1539" s="228"/>
      <c r="E1539" s="47"/>
      <c r="F1539" s="47"/>
      <c r="G1539" s="47"/>
      <c r="H1539" s="233"/>
      <c r="I1539" s="47"/>
    </row>
    <row r="1540" spans="1:9" x14ac:dyDescent="0.25">
      <c r="A1540" s="24" t="s">
        <v>0</v>
      </c>
      <c r="B1540" s="24"/>
      <c r="C1540" s="8" t="s">
        <v>106</v>
      </c>
      <c r="D1540" s="8" t="s">
        <v>107</v>
      </c>
      <c r="E1540" s="9" t="s">
        <v>108</v>
      </c>
      <c r="F1540" s="9" t="s">
        <v>109</v>
      </c>
      <c r="G1540" s="41" t="s">
        <v>96</v>
      </c>
      <c r="H1540" s="10"/>
      <c r="I1540" s="47"/>
    </row>
    <row r="1541" spans="1:9" x14ac:dyDescent="0.25">
      <c r="A1541" s="18" t="s">
        <v>110</v>
      </c>
      <c r="B1541" s="42"/>
      <c r="C1541" s="13">
        <f>104000+26000</f>
        <v>130000</v>
      </c>
      <c r="D1541" s="13">
        <f>+C1541*0.16</f>
        <v>20800</v>
      </c>
      <c r="E1541" s="14">
        <f>C1541+D1541</f>
        <v>150800</v>
      </c>
      <c r="F1541" s="30">
        <v>0.3</v>
      </c>
      <c r="G1541" s="14">
        <f>ROUND(E1541*F1541,0)</f>
        <v>45240</v>
      </c>
      <c r="H1541" s="15"/>
      <c r="I1541" s="47"/>
    </row>
    <row r="1542" spans="1:9" x14ac:dyDescent="0.25">
      <c r="A1542" s="18" t="s">
        <v>111</v>
      </c>
      <c r="B1542" s="42"/>
      <c r="C1542" s="13">
        <f>60400+25850</f>
        <v>86250</v>
      </c>
      <c r="D1542" s="13">
        <f>+C1542*0.16</f>
        <v>13800</v>
      </c>
      <c r="E1542" s="14">
        <f>C1542+D1542</f>
        <v>100050</v>
      </c>
      <c r="F1542" s="30">
        <v>0.27</v>
      </c>
      <c r="G1542" s="14">
        <f>ROUND(E1542*F1542,0)</f>
        <v>27014</v>
      </c>
      <c r="H1542" s="15"/>
      <c r="I1542" s="47"/>
    </row>
    <row r="1543" spans="1:9" x14ac:dyDescent="0.25">
      <c r="A1543" s="18"/>
      <c r="B1543" s="42"/>
      <c r="C1543" s="43"/>
      <c r="D1543" s="43"/>
      <c r="E1543" s="44">
        <f>C1543+D1543</f>
        <v>0</v>
      </c>
      <c r="F1543" s="45"/>
      <c r="G1543" s="14">
        <f>ROUND(E1543*F1543,0)</f>
        <v>0</v>
      </c>
      <c r="H1543" s="15"/>
      <c r="I1543" s="47"/>
    </row>
    <row r="1544" spans="1:9" x14ac:dyDescent="0.25">
      <c r="A1544" s="291"/>
      <c r="B1544" s="228"/>
      <c r="C1544" s="228"/>
      <c r="D1544" s="228"/>
      <c r="E1544" s="277" t="s">
        <v>112</v>
      </c>
      <c r="F1544" s="277"/>
      <c r="G1544" s="277"/>
      <c r="H1544" s="23">
        <f>SUM(G1541:G1543)</f>
        <v>72254</v>
      </c>
      <c r="I1544" s="220"/>
    </row>
    <row r="1545" spans="1:9" x14ac:dyDescent="0.25">
      <c r="A1545" s="291"/>
      <c r="B1545" s="228"/>
      <c r="C1545" s="228"/>
      <c r="D1545" s="228"/>
      <c r="E1545" s="47"/>
      <c r="F1545" s="47"/>
      <c r="G1545" s="47"/>
      <c r="H1545" s="233"/>
      <c r="I1545" s="47"/>
    </row>
    <row r="1546" spans="1:9" x14ac:dyDescent="0.25">
      <c r="A1546" s="18"/>
      <c r="B1546" s="19"/>
      <c r="C1546" s="19"/>
      <c r="D1546" s="19"/>
      <c r="E1546" s="48" t="s">
        <v>113</v>
      </c>
      <c r="F1546" s="48"/>
      <c r="G1546" s="48"/>
      <c r="H1546" s="25">
        <f>H1544+H1538+H1524</f>
        <v>194219</v>
      </c>
      <c r="I1546" s="222"/>
    </row>
    <row r="1547" spans="1:9" x14ac:dyDescent="0.25">
      <c r="A1547" s="291"/>
      <c r="B1547" s="228"/>
      <c r="C1547" s="228"/>
      <c r="D1547" s="228"/>
      <c r="E1547" s="47"/>
      <c r="F1547" s="47"/>
      <c r="G1547" s="47"/>
      <c r="H1547" s="233"/>
      <c r="I1547" s="47"/>
    </row>
    <row r="1548" spans="1:9" x14ac:dyDescent="0.25">
      <c r="A1548" s="291" t="s">
        <v>114</v>
      </c>
      <c r="B1548" s="228"/>
      <c r="C1548" s="228"/>
      <c r="D1548" s="228"/>
      <c r="E1548" s="47"/>
      <c r="F1548" s="47"/>
      <c r="G1548" s="47"/>
      <c r="H1548" s="233"/>
      <c r="I1548" s="47"/>
    </row>
    <row r="1549" spans="1:9" x14ac:dyDescent="0.25">
      <c r="A1549" s="6" t="s">
        <v>0</v>
      </c>
      <c r="B1549" s="49"/>
      <c r="C1549" s="49"/>
      <c r="D1549" s="49"/>
      <c r="E1549" s="50"/>
      <c r="F1549" s="9" t="s">
        <v>115</v>
      </c>
      <c r="G1549" s="41" t="s">
        <v>116</v>
      </c>
      <c r="H1549" s="10"/>
      <c r="I1549" s="47"/>
    </row>
    <row r="1550" spans="1:9" x14ac:dyDescent="0.25">
      <c r="A1550" s="11" t="s">
        <v>117</v>
      </c>
      <c r="B1550" s="51"/>
      <c r="C1550" s="51"/>
      <c r="D1550" s="51"/>
      <c r="E1550" s="52"/>
      <c r="F1550" s="53"/>
      <c r="G1550" s="14">
        <f>F1550*H1546</f>
        <v>0</v>
      </c>
      <c r="H1550" s="15"/>
      <c r="I1550" s="47"/>
    </row>
    <row r="1551" spans="1:9" x14ac:dyDescent="0.25">
      <c r="A1551" s="11"/>
      <c r="B1551" s="51"/>
      <c r="C1551" s="51"/>
      <c r="D1551" s="51"/>
      <c r="E1551" s="52"/>
      <c r="F1551" s="53"/>
      <c r="G1551" s="14">
        <f>F1551*H1546</f>
        <v>0</v>
      </c>
      <c r="H1551" s="15"/>
      <c r="I1551" s="47"/>
    </row>
    <row r="1552" spans="1:9" x14ac:dyDescent="0.25">
      <c r="A1552" s="11"/>
      <c r="B1552" s="51"/>
      <c r="C1552" s="51"/>
      <c r="D1552" s="51"/>
      <c r="E1552" s="52"/>
      <c r="F1552" s="53"/>
      <c r="G1552" s="14">
        <f>F1552*H1546</f>
        <v>0</v>
      </c>
      <c r="H1552" s="17"/>
      <c r="I1552" s="47"/>
    </row>
    <row r="1553" spans="1:9" x14ac:dyDescent="0.25">
      <c r="A1553" s="4"/>
      <c r="B1553" s="4"/>
      <c r="C1553" s="4"/>
      <c r="D1553" s="4"/>
      <c r="E1553" s="46" t="s">
        <v>118</v>
      </c>
      <c r="F1553" s="46"/>
      <c r="G1553" s="46"/>
      <c r="H1553" s="36">
        <f>SUM(G1550:G1552)</f>
        <v>0</v>
      </c>
      <c r="I1553" s="220"/>
    </row>
    <row r="1554" spans="1:9" ht="15.75" thickBot="1" x14ac:dyDescent="0.3">
      <c r="A1554" s="4"/>
      <c r="B1554" s="4"/>
      <c r="C1554" s="4"/>
      <c r="D1554" s="4"/>
      <c r="E1554" s="5"/>
      <c r="F1554" s="5"/>
      <c r="G1554" s="5"/>
      <c r="H1554" s="5"/>
      <c r="I1554" s="47"/>
    </row>
    <row r="1555" spans="1:9" ht="15.75" thickBot="1" x14ac:dyDescent="0.3">
      <c r="A1555" s="4"/>
      <c r="B1555" s="4"/>
      <c r="C1555" s="4"/>
      <c r="D1555" s="4"/>
      <c r="E1555" s="54"/>
      <c r="F1555" s="54" t="s">
        <v>119</v>
      </c>
      <c r="G1555" s="54"/>
      <c r="H1555" s="240">
        <f>SUM(H1553+H1546)</f>
        <v>194219</v>
      </c>
      <c r="I1555" s="112"/>
    </row>
    <row r="1556" spans="1:9" x14ac:dyDescent="0.25">
      <c r="A1556" s="4"/>
      <c r="B1556" s="4"/>
      <c r="C1556" s="4"/>
      <c r="D1556" s="4"/>
      <c r="E1556" s="54"/>
      <c r="F1556" s="54"/>
      <c r="G1556" s="54"/>
      <c r="H1556" s="112"/>
      <c r="I1556" s="112"/>
    </row>
    <row r="1557" spans="1:9" x14ac:dyDescent="0.25">
      <c r="A1557" s="4"/>
      <c r="B1557" s="4"/>
      <c r="C1557" s="4"/>
      <c r="D1557" s="4"/>
      <c r="E1557" s="54"/>
      <c r="F1557" s="54"/>
      <c r="G1557" s="54"/>
      <c r="H1557" s="112"/>
      <c r="I1557" s="112"/>
    </row>
    <row r="1558" spans="1:9" x14ac:dyDescent="0.25">
      <c r="A1558" s="4"/>
      <c r="B1558" s="4"/>
      <c r="C1558" s="4"/>
      <c r="D1558" s="4"/>
      <c r="E1558" s="54"/>
      <c r="F1558" s="54"/>
      <c r="G1558" s="54"/>
      <c r="H1558" s="112"/>
      <c r="I1558" s="112"/>
    </row>
    <row r="1559" spans="1:9" x14ac:dyDescent="0.25">
      <c r="A1559" s="4"/>
      <c r="B1559" s="4"/>
      <c r="C1559" s="4"/>
      <c r="D1559" s="4"/>
      <c r="E1559" s="54"/>
      <c r="F1559" s="54"/>
      <c r="G1559" s="54"/>
      <c r="H1559" s="112"/>
      <c r="I1559" s="112"/>
    </row>
    <row r="1562" spans="1:9" ht="15.75" x14ac:dyDescent="0.25">
      <c r="A1562" s="464"/>
      <c r="B1562" s="464"/>
      <c r="C1562" s="464"/>
      <c r="D1562" s="464"/>
      <c r="E1562" s="464"/>
      <c r="F1562" s="464"/>
      <c r="G1562" s="464"/>
      <c r="H1562" s="464"/>
      <c r="I1562" s="264"/>
    </row>
    <row r="1565" spans="1:9" x14ac:dyDescent="0.25">
      <c r="A1565" s="412" t="s">
        <v>79</v>
      </c>
      <c r="B1565" s="412"/>
      <c r="C1565" s="412"/>
      <c r="D1565" s="412"/>
      <c r="E1565" s="412"/>
      <c r="F1565" s="412"/>
      <c r="G1565" s="412"/>
      <c r="H1565" s="412"/>
      <c r="I1565" s="250"/>
    </row>
    <row r="1566" spans="1:9" x14ac:dyDescent="0.25">
      <c r="A1566" s="4"/>
      <c r="B1566" s="4"/>
      <c r="C1566" s="4"/>
      <c r="D1566" s="4"/>
      <c r="E1566" s="5"/>
      <c r="F1566" s="5"/>
      <c r="G1566" s="411" t="s">
        <v>326</v>
      </c>
      <c r="H1566" s="411"/>
      <c r="I1566" s="251"/>
    </row>
    <row r="1567" spans="1:9" ht="30.75" customHeight="1" x14ac:dyDescent="0.25">
      <c r="A1567" s="434" t="s">
        <v>274</v>
      </c>
      <c r="B1567" s="434"/>
      <c r="C1567" s="434"/>
      <c r="D1567" s="434"/>
      <c r="E1567" s="434"/>
      <c r="F1567" s="434"/>
      <c r="G1567" s="434"/>
      <c r="H1567" s="434"/>
      <c r="I1567" s="252"/>
    </row>
    <row r="1568" spans="1:9" x14ac:dyDescent="0.25">
      <c r="A1568" s="4"/>
      <c r="B1568" s="4"/>
      <c r="C1568" s="4"/>
      <c r="D1568" s="4"/>
      <c r="E1568" s="5"/>
      <c r="F1568" s="5"/>
      <c r="G1568" s="414" t="s">
        <v>160</v>
      </c>
      <c r="H1568" s="414"/>
      <c r="I1568" s="253"/>
    </row>
    <row r="1569" spans="1:9" x14ac:dyDescent="0.25">
      <c r="A1569" s="4" t="s">
        <v>82</v>
      </c>
      <c r="B1569" s="4"/>
      <c r="C1569" s="4"/>
      <c r="D1569" s="4"/>
      <c r="E1569" s="5"/>
      <c r="F1569" s="5"/>
      <c r="G1569" s="5"/>
      <c r="H1569" s="5"/>
      <c r="I1569" s="47"/>
    </row>
    <row r="1570" spans="1:9" x14ac:dyDescent="0.25">
      <c r="A1570" s="6" t="s">
        <v>0</v>
      </c>
      <c r="B1570" s="7"/>
      <c r="C1570" s="8" t="s">
        <v>83</v>
      </c>
      <c r="D1570" s="8" t="s">
        <v>84</v>
      </c>
      <c r="E1570" s="9" t="s">
        <v>85</v>
      </c>
      <c r="F1570" s="9" t="s">
        <v>86</v>
      </c>
      <c r="G1570" s="9" t="s">
        <v>87</v>
      </c>
      <c r="H1570" s="10"/>
      <c r="I1570" s="47"/>
    </row>
    <row r="1571" spans="1:9" x14ac:dyDescent="0.25">
      <c r="A1571" s="11" t="s">
        <v>88</v>
      </c>
      <c r="B1571" s="12"/>
      <c r="C1571" s="13"/>
      <c r="D1571" s="13"/>
      <c r="E1571" s="14"/>
      <c r="F1571" s="14"/>
      <c r="G1571" s="14">
        <f>ROUND(H1595*0.05,0)+8-16</f>
        <v>3755</v>
      </c>
      <c r="H1571" s="15"/>
      <c r="I1571" s="47"/>
    </row>
    <row r="1572" spans="1:9" x14ac:dyDescent="0.25">
      <c r="A1572" s="11" t="s">
        <v>327</v>
      </c>
      <c r="B1572" s="12"/>
      <c r="C1572" s="13"/>
      <c r="D1572" s="13"/>
      <c r="E1572" s="14">
        <v>350000</v>
      </c>
      <c r="F1572" s="14">
        <v>0.05</v>
      </c>
      <c r="G1572" s="14">
        <f>ROUND(E1572*F1572,0)</f>
        <v>17500</v>
      </c>
      <c r="H1572" s="15"/>
      <c r="I1572" s="47"/>
    </row>
    <row r="1573" spans="1:9" x14ac:dyDescent="0.25">
      <c r="A1573" s="11" t="s">
        <v>232</v>
      </c>
      <c r="B1573" s="12"/>
      <c r="C1573" s="13"/>
      <c r="D1573" s="13"/>
      <c r="E1573" s="14">
        <v>100000</v>
      </c>
      <c r="F1573" s="16">
        <v>0.1</v>
      </c>
      <c r="G1573" s="14">
        <f>ROUND(E1573*F1573,0)</f>
        <v>10000</v>
      </c>
      <c r="H1573" s="15"/>
      <c r="I1573" s="47"/>
    </row>
    <row r="1574" spans="1:9" x14ac:dyDescent="0.25">
      <c r="A1574" s="11" t="s">
        <v>328</v>
      </c>
      <c r="B1574" s="12"/>
      <c r="C1574" s="13"/>
      <c r="D1574" s="13"/>
      <c r="E1574" s="14">
        <v>50000</v>
      </c>
      <c r="F1574" s="14">
        <v>0.4</v>
      </c>
      <c r="G1574" s="14">
        <f>ROUND(E1574*F1574,0)</f>
        <v>20000</v>
      </c>
      <c r="H1574" s="17"/>
      <c r="I1574" s="47"/>
    </row>
    <row r="1575" spans="1:9" x14ac:dyDescent="0.25">
      <c r="A1575" s="18"/>
      <c r="B1575" s="19"/>
      <c r="C1575" s="19"/>
      <c r="D1575" s="19"/>
      <c r="E1575" s="20"/>
      <c r="F1575" s="21" t="s">
        <v>90</v>
      </c>
      <c r="G1575" s="22"/>
      <c r="H1575" s="23">
        <f>SUM(G1571:G1574)</f>
        <v>51255</v>
      </c>
      <c r="I1575" s="220"/>
    </row>
    <row r="1576" spans="1:9" x14ac:dyDescent="0.25">
      <c r="A1576" s="291" t="s">
        <v>91</v>
      </c>
      <c r="B1576" s="228"/>
      <c r="C1576" s="228"/>
      <c r="D1576" s="228"/>
      <c r="E1576" s="47"/>
      <c r="F1576" s="47"/>
      <c r="G1576" s="47"/>
      <c r="H1576" s="233"/>
      <c r="I1576" s="47"/>
    </row>
    <row r="1577" spans="1:9" x14ac:dyDescent="0.25">
      <c r="A1577" s="24" t="s">
        <v>0</v>
      </c>
      <c r="B1577" s="24"/>
      <c r="C1577" s="8" t="s">
        <v>92</v>
      </c>
      <c r="D1577" s="8" t="s">
        <v>93</v>
      </c>
      <c r="E1577" s="9" t="s">
        <v>94</v>
      </c>
      <c r="F1577" s="9" t="s">
        <v>95</v>
      </c>
      <c r="G1577" s="25" t="s">
        <v>96</v>
      </c>
      <c r="H1577" s="10"/>
      <c r="I1577" s="47"/>
    </row>
    <row r="1578" spans="1:9" ht="29.45" customHeight="1" x14ac:dyDescent="0.25">
      <c r="A1578" s="420" t="s">
        <v>273</v>
      </c>
      <c r="B1578" s="421"/>
      <c r="C1578" s="28" t="s">
        <v>7</v>
      </c>
      <c r="D1578" s="29">
        <v>0.05</v>
      </c>
      <c r="E1578" s="30">
        <v>1</v>
      </c>
      <c r="F1578" s="74">
        <v>139000</v>
      </c>
      <c r="G1578" s="14">
        <f t="shared" ref="G1578:G1586" si="39">ROUND(E1578*F1578,0)</f>
        <v>139000</v>
      </c>
      <c r="H1578" s="15"/>
      <c r="I1578" s="47"/>
    </row>
    <row r="1579" spans="1:9" x14ac:dyDescent="0.25">
      <c r="A1579" s="26" t="s">
        <v>233</v>
      </c>
      <c r="B1579" s="27"/>
      <c r="C1579" s="28" t="s">
        <v>206</v>
      </c>
      <c r="D1579" s="31">
        <v>0.05</v>
      </c>
      <c r="E1579" s="30">
        <v>6</v>
      </c>
      <c r="F1579" s="14">
        <f>53000/25</f>
        <v>2120</v>
      </c>
      <c r="G1579" s="14">
        <f t="shared" si="39"/>
        <v>12720</v>
      </c>
      <c r="H1579" s="15"/>
      <c r="I1579" s="47"/>
    </row>
    <row r="1580" spans="1:9" x14ac:dyDescent="0.25">
      <c r="A1580" s="32" t="s">
        <v>234</v>
      </c>
      <c r="B1580" s="33"/>
      <c r="C1580" s="28" t="s">
        <v>206</v>
      </c>
      <c r="D1580" s="29">
        <v>0.05</v>
      </c>
      <c r="E1580" s="30">
        <v>0.13700000000000001</v>
      </c>
      <c r="F1580" s="14">
        <f>17000/10</f>
        <v>1700</v>
      </c>
      <c r="G1580" s="14">
        <f t="shared" si="39"/>
        <v>233</v>
      </c>
      <c r="H1580" s="15"/>
      <c r="I1580" s="47"/>
    </row>
    <row r="1581" spans="1:9" x14ac:dyDescent="0.25">
      <c r="A1581" s="11" t="s">
        <v>235</v>
      </c>
      <c r="B1581" s="12"/>
      <c r="C1581" s="35" t="s">
        <v>18</v>
      </c>
      <c r="D1581" s="31"/>
      <c r="E1581" s="30">
        <v>0.1</v>
      </c>
      <c r="F1581" s="14">
        <v>20000</v>
      </c>
      <c r="G1581" s="14">
        <f t="shared" si="39"/>
        <v>2000</v>
      </c>
      <c r="H1581" s="15"/>
      <c r="I1581" s="47"/>
    </row>
    <row r="1582" spans="1:9" x14ac:dyDescent="0.25">
      <c r="A1582" s="11"/>
      <c r="B1582" s="12"/>
      <c r="C1582" s="35"/>
      <c r="D1582" s="34"/>
      <c r="E1582" s="30"/>
      <c r="F1582" s="14"/>
      <c r="G1582" s="14">
        <f t="shared" si="39"/>
        <v>0</v>
      </c>
      <c r="H1582" s="15"/>
      <c r="I1582" s="47"/>
    </row>
    <row r="1583" spans="1:9" x14ac:dyDescent="0.25">
      <c r="A1583" s="11"/>
      <c r="B1583" s="12"/>
      <c r="C1583" s="35"/>
      <c r="D1583" s="31"/>
      <c r="E1583" s="30"/>
      <c r="F1583" s="14"/>
      <c r="G1583" s="14">
        <f t="shared" si="39"/>
        <v>0</v>
      </c>
      <c r="H1583" s="15"/>
      <c r="I1583" s="47"/>
    </row>
    <row r="1584" spans="1:9" x14ac:dyDescent="0.25">
      <c r="A1584" s="11"/>
      <c r="B1584" s="12"/>
      <c r="C1584" s="35"/>
      <c r="D1584" s="34"/>
      <c r="E1584" s="30"/>
      <c r="F1584" s="14"/>
      <c r="G1584" s="14">
        <f t="shared" si="39"/>
        <v>0</v>
      </c>
      <c r="H1584" s="15"/>
      <c r="I1584" s="47"/>
    </row>
    <row r="1585" spans="1:9" x14ac:dyDescent="0.25">
      <c r="A1585" s="11"/>
      <c r="B1585" s="12"/>
      <c r="C1585" s="35"/>
      <c r="D1585" s="31"/>
      <c r="E1585" s="30"/>
      <c r="F1585" s="14"/>
      <c r="G1585" s="14">
        <f t="shared" si="39"/>
        <v>0</v>
      </c>
      <c r="H1585" s="15"/>
      <c r="I1585" s="47"/>
    </row>
    <row r="1586" spans="1:9" x14ac:dyDescent="0.25">
      <c r="A1586" s="11"/>
      <c r="B1586" s="12"/>
      <c r="C1586" s="35"/>
      <c r="D1586" s="31"/>
      <c r="E1586" s="30"/>
      <c r="F1586" s="14"/>
      <c r="G1586" s="14">
        <f t="shared" si="39"/>
        <v>0</v>
      </c>
      <c r="H1586" s="17"/>
      <c r="I1586" s="47"/>
    </row>
    <row r="1587" spans="1:9" x14ac:dyDescent="0.25">
      <c r="A1587" s="291"/>
      <c r="B1587" s="228"/>
      <c r="C1587" s="228"/>
      <c r="D1587" s="228"/>
      <c r="E1587" s="36"/>
      <c r="F1587" s="37" t="s">
        <v>102</v>
      </c>
      <c r="G1587" s="38"/>
      <c r="H1587" s="23">
        <f>SUM(G1578:G1586)</f>
        <v>153953</v>
      </c>
      <c r="I1587" s="220"/>
    </row>
    <row r="1588" spans="1:9" x14ac:dyDescent="0.25">
      <c r="A1588" s="291"/>
      <c r="B1588" s="228"/>
      <c r="C1588" s="228"/>
      <c r="D1588" s="228"/>
      <c r="E1588" s="36"/>
      <c r="F1588" s="39" t="s">
        <v>103</v>
      </c>
      <c r="G1588" s="38"/>
      <c r="H1588" s="23">
        <f>ROUND((D1578*G1578)+(D1579*G1579)+(D1580*G1580)+(D1581*G1581)+(D1582*G1582)+(D1583*G1583)+(D1584*G1584)+(D1585*G1585)+(D1586*G1586),0)</f>
        <v>7598</v>
      </c>
      <c r="I1588" s="220"/>
    </row>
    <row r="1589" spans="1:9" x14ac:dyDescent="0.25">
      <c r="A1589" s="291"/>
      <c r="B1589" s="228"/>
      <c r="C1589" s="228"/>
      <c r="D1589" s="228"/>
      <c r="E1589" s="36"/>
      <c r="F1589" s="20" t="s">
        <v>104</v>
      </c>
      <c r="G1589" s="40"/>
      <c r="H1589" s="23">
        <f>SUM(H1587:H1588)</f>
        <v>161551</v>
      </c>
      <c r="I1589" s="220"/>
    </row>
    <row r="1590" spans="1:9" x14ac:dyDescent="0.25">
      <c r="A1590" s="291" t="s">
        <v>105</v>
      </c>
      <c r="B1590" s="228"/>
      <c r="C1590" s="228"/>
      <c r="D1590" s="228"/>
      <c r="E1590" s="47"/>
      <c r="F1590" s="47"/>
      <c r="G1590" s="47"/>
      <c r="H1590" s="233"/>
      <c r="I1590" s="47"/>
    </row>
    <row r="1591" spans="1:9" x14ac:dyDescent="0.25">
      <c r="A1591" s="24" t="s">
        <v>0</v>
      </c>
      <c r="B1591" s="24"/>
      <c r="C1591" s="8" t="s">
        <v>106</v>
      </c>
      <c r="D1591" s="8" t="s">
        <v>107</v>
      </c>
      <c r="E1591" s="9" t="s">
        <v>108</v>
      </c>
      <c r="F1591" s="9" t="s">
        <v>109</v>
      </c>
      <c r="G1591" s="41" t="s">
        <v>96</v>
      </c>
      <c r="H1591" s="10"/>
      <c r="I1591" s="47"/>
    </row>
    <row r="1592" spans="1:9" x14ac:dyDescent="0.25">
      <c r="A1592" s="18" t="s">
        <v>110</v>
      </c>
      <c r="B1592" s="42"/>
      <c r="C1592" s="13">
        <f>104000+26000</f>
        <v>130000</v>
      </c>
      <c r="D1592" s="13">
        <f>+C1592*0.16</f>
        <v>20800</v>
      </c>
      <c r="E1592" s="14">
        <f>C1592+D1592</f>
        <v>150800</v>
      </c>
      <c r="F1592" s="30">
        <v>0.3</v>
      </c>
      <c r="G1592" s="14">
        <f>ROUND(E1592*F1592,0)</f>
        <v>45240</v>
      </c>
      <c r="H1592" s="15"/>
      <c r="I1592" s="47"/>
    </row>
    <row r="1593" spans="1:9" x14ac:dyDescent="0.25">
      <c r="A1593" s="18" t="s">
        <v>111</v>
      </c>
      <c r="B1593" s="42"/>
      <c r="C1593" s="13">
        <f>60400+25850</f>
        <v>86250</v>
      </c>
      <c r="D1593" s="13">
        <f>+C1593*0.16</f>
        <v>13800</v>
      </c>
      <c r="E1593" s="14">
        <f>C1593+D1593</f>
        <v>100050</v>
      </c>
      <c r="F1593" s="30">
        <v>0.3</v>
      </c>
      <c r="G1593" s="14">
        <f>ROUND(E1593*F1593,0)</f>
        <v>30015</v>
      </c>
      <c r="H1593" s="15"/>
      <c r="I1593" s="47"/>
    </row>
    <row r="1594" spans="1:9" hidden="1" x14ac:dyDescent="0.25">
      <c r="A1594" s="18"/>
      <c r="B1594" s="42"/>
      <c r="C1594" s="43"/>
      <c r="D1594" s="43"/>
      <c r="E1594" s="44">
        <f>C1594+D1594</f>
        <v>0</v>
      </c>
      <c r="F1594" s="45"/>
      <c r="G1594" s="14">
        <f>ROUND(E1594*F1594,0)</f>
        <v>0</v>
      </c>
      <c r="H1594" s="15"/>
      <c r="I1594" s="47"/>
    </row>
    <row r="1595" spans="1:9" x14ac:dyDescent="0.25">
      <c r="A1595" s="291"/>
      <c r="B1595" s="228"/>
      <c r="C1595" s="228"/>
      <c r="D1595" s="228"/>
      <c r="E1595" s="277" t="s">
        <v>112</v>
      </c>
      <c r="F1595" s="277"/>
      <c r="G1595" s="277"/>
      <c r="H1595" s="23">
        <f>SUM(G1592:G1594)</f>
        <v>75255</v>
      </c>
      <c r="I1595" s="220"/>
    </row>
    <row r="1596" spans="1:9" x14ac:dyDescent="0.25">
      <c r="A1596" s="291"/>
      <c r="B1596" s="228"/>
      <c r="C1596" s="228"/>
      <c r="D1596" s="228"/>
      <c r="E1596" s="47"/>
      <c r="F1596" s="47"/>
      <c r="G1596" s="47"/>
      <c r="H1596" s="233"/>
      <c r="I1596" s="47"/>
    </row>
    <row r="1597" spans="1:9" x14ac:dyDescent="0.25">
      <c r="A1597" s="18"/>
      <c r="B1597" s="19"/>
      <c r="C1597" s="19"/>
      <c r="D1597" s="19"/>
      <c r="E1597" s="48" t="s">
        <v>113</v>
      </c>
      <c r="F1597" s="48"/>
      <c r="G1597" s="48"/>
      <c r="H1597" s="25">
        <f>H1595+H1589+H1575</f>
        <v>288061</v>
      </c>
      <c r="I1597" s="222"/>
    </row>
    <row r="1598" spans="1:9" x14ac:dyDescent="0.25">
      <c r="A1598" s="291"/>
      <c r="B1598" s="228"/>
      <c r="C1598" s="228"/>
      <c r="D1598" s="228"/>
      <c r="E1598" s="47"/>
      <c r="F1598" s="47"/>
      <c r="G1598" s="47"/>
      <c r="H1598" s="233"/>
      <c r="I1598" s="47"/>
    </row>
    <row r="1599" spans="1:9" x14ac:dyDescent="0.25">
      <c r="A1599" s="291" t="s">
        <v>114</v>
      </c>
      <c r="B1599" s="228"/>
      <c r="C1599" s="228"/>
      <c r="D1599" s="228"/>
      <c r="E1599" s="47"/>
      <c r="F1599" s="47"/>
      <c r="G1599" s="47"/>
      <c r="H1599" s="233"/>
      <c r="I1599" s="47"/>
    </row>
    <row r="1600" spans="1:9" x14ac:dyDescent="0.25">
      <c r="A1600" s="6" t="s">
        <v>0</v>
      </c>
      <c r="B1600" s="49"/>
      <c r="C1600" s="49"/>
      <c r="D1600" s="49"/>
      <c r="E1600" s="50"/>
      <c r="F1600" s="9" t="s">
        <v>115</v>
      </c>
      <c r="G1600" s="41" t="s">
        <v>116</v>
      </c>
      <c r="H1600" s="10"/>
      <c r="I1600" s="47"/>
    </row>
    <row r="1601" spans="1:9" x14ac:dyDescent="0.25">
      <c r="A1601" s="11" t="s">
        <v>117</v>
      </c>
      <c r="B1601" s="51"/>
      <c r="C1601" s="51"/>
      <c r="D1601" s="51"/>
      <c r="E1601" s="52"/>
      <c r="F1601" s="53"/>
      <c r="G1601" s="14">
        <f>F1601*H1597</f>
        <v>0</v>
      </c>
      <c r="H1601" s="15"/>
      <c r="I1601" s="47"/>
    </row>
    <row r="1602" spans="1:9" hidden="1" x14ac:dyDescent="0.25">
      <c r="A1602" s="11"/>
      <c r="B1602" s="51"/>
      <c r="C1602" s="51"/>
      <c r="D1602" s="51"/>
      <c r="E1602" s="52"/>
      <c r="F1602" s="53"/>
      <c r="G1602" s="14">
        <f>F1602*H1597</f>
        <v>0</v>
      </c>
      <c r="H1602" s="15"/>
      <c r="I1602" s="47"/>
    </row>
    <row r="1603" spans="1:9" hidden="1" x14ac:dyDescent="0.25">
      <c r="A1603" s="11"/>
      <c r="B1603" s="51"/>
      <c r="C1603" s="51"/>
      <c r="D1603" s="51"/>
      <c r="E1603" s="52"/>
      <c r="F1603" s="53"/>
      <c r="G1603" s="14">
        <f>F1603*H1597</f>
        <v>0</v>
      </c>
      <c r="H1603" s="17"/>
      <c r="I1603" s="47"/>
    </row>
    <row r="1604" spans="1:9" x14ac:dyDescent="0.25">
      <c r="A1604" s="4"/>
      <c r="B1604" s="4"/>
      <c r="C1604" s="4"/>
      <c r="D1604" s="4"/>
      <c r="E1604" s="46" t="s">
        <v>118</v>
      </c>
      <c r="F1604" s="46"/>
      <c r="G1604" s="46"/>
      <c r="H1604" s="36">
        <f>SUM(G1601:G1603)</f>
        <v>0</v>
      </c>
      <c r="I1604" s="220"/>
    </row>
    <row r="1605" spans="1:9" ht="15.75" thickBot="1" x14ac:dyDescent="0.3">
      <c r="A1605" s="4"/>
      <c r="B1605" s="4"/>
      <c r="C1605" s="4"/>
      <c r="D1605" s="4"/>
      <c r="E1605" s="5"/>
      <c r="F1605" s="5"/>
      <c r="G1605" s="5"/>
      <c r="H1605" s="5"/>
      <c r="I1605" s="47"/>
    </row>
    <row r="1606" spans="1:9" ht="15.75" thickBot="1" x14ac:dyDescent="0.3">
      <c r="A1606" s="4"/>
      <c r="B1606" s="4"/>
      <c r="C1606" s="4"/>
      <c r="D1606" s="4"/>
      <c r="E1606" s="54"/>
      <c r="F1606" s="54" t="s">
        <v>119</v>
      </c>
      <c r="G1606" s="54"/>
      <c r="H1606" s="240">
        <f>SUM(H1604+H1597)</f>
        <v>288061</v>
      </c>
      <c r="I1606" s="112"/>
    </row>
    <row r="1610" spans="1:9" ht="15.75" x14ac:dyDescent="0.25">
      <c r="A1610" s="464"/>
      <c r="B1610" s="464"/>
      <c r="C1610" s="464"/>
      <c r="D1610" s="464"/>
      <c r="E1610" s="464"/>
      <c r="F1610" s="464"/>
      <c r="G1610" s="464"/>
      <c r="H1610" s="464"/>
      <c r="I1610" s="264"/>
    </row>
    <row r="1613" spans="1:9" x14ac:dyDescent="0.25">
      <c r="A1613" s="412" t="s">
        <v>79</v>
      </c>
      <c r="B1613" s="412"/>
      <c r="C1613" s="412"/>
      <c r="D1613" s="412"/>
      <c r="E1613" s="412"/>
      <c r="F1613" s="412"/>
      <c r="G1613" s="412"/>
      <c r="H1613" s="412"/>
      <c r="I1613" s="250"/>
    </row>
    <row r="1614" spans="1:9" x14ac:dyDescent="0.25">
      <c r="A1614" s="4"/>
      <c r="B1614" s="4"/>
      <c r="C1614" s="4"/>
      <c r="D1614" s="4"/>
      <c r="E1614" s="5"/>
      <c r="F1614" s="5"/>
      <c r="G1614" s="411" t="s">
        <v>326</v>
      </c>
      <c r="H1614" s="411"/>
      <c r="I1614" s="251"/>
    </row>
    <row r="1615" spans="1:9" ht="40.9" customHeight="1" x14ac:dyDescent="0.25">
      <c r="A1615" s="434" t="s">
        <v>311</v>
      </c>
      <c r="B1615" s="434"/>
      <c r="C1615" s="434"/>
      <c r="D1615" s="434"/>
      <c r="E1615" s="434"/>
      <c r="F1615" s="434"/>
      <c r="G1615" s="434"/>
      <c r="H1615" s="434"/>
      <c r="I1615" s="252"/>
    </row>
    <row r="1616" spans="1:9" x14ac:dyDescent="0.25">
      <c r="A1616" s="4"/>
      <c r="B1616" s="4"/>
      <c r="C1616" s="4"/>
      <c r="D1616" s="4"/>
      <c r="E1616" s="5"/>
      <c r="F1616" s="5"/>
      <c r="G1616" s="414" t="s">
        <v>160</v>
      </c>
      <c r="H1616" s="414"/>
      <c r="I1616" s="253"/>
    </row>
    <row r="1617" spans="1:12" x14ac:dyDescent="0.25">
      <c r="A1617" s="4" t="s">
        <v>82</v>
      </c>
      <c r="B1617" s="4"/>
      <c r="C1617" s="4"/>
      <c r="D1617" s="4"/>
      <c r="E1617" s="5"/>
      <c r="F1617" s="5"/>
      <c r="G1617" s="5"/>
      <c r="H1617" s="5"/>
      <c r="I1617" s="47"/>
    </row>
    <row r="1618" spans="1:12" x14ac:dyDescent="0.25">
      <c r="A1618" s="6" t="s">
        <v>0</v>
      </c>
      <c r="B1618" s="7"/>
      <c r="C1618" s="8" t="s">
        <v>83</v>
      </c>
      <c r="D1618" s="8" t="s">
        <v>84</v>
      </c>
      <c r="E1618" s="9" t="s">
        <v>85</v>
      </c>
      <c r="F1618" s="9" t="s">
        <v>86</v>
      </c>
      <c r="G1618" s="9" t="s">
        <v>87</v>
      </c>
      <c r="H1618" s="10"/>
      <c r="I1618" s="47"/>
    </row>
    <row r="1619" spans="1:12" x14ac:dyDescent="0.25">
      <c r="A1619" s="11" t="s">
        <v>88</v>
      </c>
      <c r="B1619" s="12"/>
      <c r="C1619" s="13"/>
      <c r="D1619" s="13"/>
      <c r="E1619" s="14"/>
      <c r="F1619" s="14"/>
      <c r="G1619" s="14">
        <f>ROUND(H1643*0.05,0)+8-16</f>
        <v>3755</v>
      </c>
      <c r="H1619" s="15"/>
      <c r="I1619" s="47"/>
    </row>
    <row r="1620" spans="1:12" x14ac:dyDescent="0.25">
      <c r="A1620" s="11" t="s">
        <v>327</v>
      </c>
      <c r="B1620" s="12"/>
      <c r="C1620" s="13"/>
      <c r="D1620" s="13"/>
      <c r="E1620" s="14">
        <v>350000</v>
      </c>
      <c r="F1620" s="14">
        <v>0.2</v>
      </c>
      <c r="G1620" s="14">
        <f>ROUND(E1620*F1620,0)</f>
        <v>70000</v>
      </c>
      <c r="H1620" s="15"/>
      <c r="I1620" s="47"/>
    </row>
    <row r="1621" spans="1:12" x14ac:dyDescent="0.25">
      <c r="A1621" s="11" t="s">
        <v>232</v>
      </c>
      <c r="B1621" s="12"/>
      <c r="C1621" s="13"/>
      <c r="D1621" s="13"/>
      <c r="E1621" s="14">
        <v>100000</v>
      </c>
      <c r="F1621" s="16">
        <v>0.1</v>
      </c>
      <c r="G1621" s="14">
        <f>ROUND(E1621*F1621,0)</f>
        <v>10000</v>
      </c>
      <c r="H1621" s="15"/>
      <c r="I1621" s="47"/>
      <c r="L1621" s="156"/>
    </row>
    <row r="1622" spans="1:12" x14ac:dyDescent="0.25">
      <c r="A1622" s="11" t="s">
        <v>328</v>
      </c>
      <c r="B1622" s="12"/>
      <c r="C1622" s="13"/>
      <c r="D1622" s="13"/>
      <c r="E1622" s="14">
        <v>50000</v>
      </c>
      <c r="F1622" s="14">
        <v>0.5</v>
      </c>
      <c r="G1622" s="14">
        <f>ROUND(E1622*F1622,0)</f>
        <v>25000</v>
      </c>
      <c r="H1622" s="17"/>
      <c r="I1622" s="47"/>
    </row>
    <row r="1623" spans="1:12" x14ac:dyDescent="0.25">
      <c r="A1623" s="18"/>
      <c r="B1623" s="19"/>
      <c r="C1623" s="19"/>
      <c r="D1623" s="19"/>
      <c r="E1623" s="20"/>
      <c r="F1623" s="21" t="s">
        <v>90</v>
      </c>
      <c r="G1623" s="22"/>
      <c r="H1623" s="23">
        <f>SUM(G1619:G1622)</f>
        <v>108755</v>
      </c>
      <c r="I1623" s="220"/>
    </row>
    <row r="1624" spans="1:12" x14ac:dyDescent="0.25">
      <c r="A1624" s="291" t="s">
        <v>91</v>
      </c>
      <c r="B1624" s="228"/>
      <c r="C1624" s="228"/>
      <c r="D1624" s="228"/>
      <c r="E1624" s="47"/>
      <c r="F1624" s="47"/>
      <c r="G1624" s="47"/>
      <c r="H1624" s="233"/>
      <c r="I1624" s="47"/>
    </row>
    <row r="1625" spans="1:12" x14ac:dyDescent="0.25">
      <c r="A1625" s="24" t="s">
        <v>0</v>
      </c>
      <c r="B1625" s="24"/>
      <c r="C1625" s="8" t="s">
        <v>92</v>
      </c>
      <c r="D1625" s="8" t="s">
        <v>93</v>
      </c>
      <c r="E1625" s="9" t="s">
        <v>94</v>
      </c>
      <c r="F1625" s="9" t="s">
        <v>95</v>
      </c>
      <c r="G1625" s="25" t="s">
        <v>96</v>
      </c>
      <c r="H1625" s="10"/>
      <c r="I1625" s="47"/>
    </row>
    <row r="1626" spans="1:12" ht="23.45" customHeight="1" x14ac:dyDescent="0.25">
      <c r="A1626" s="420" t="s">
        <v>312</v>
      </c>
      <c r="B1626" s="421"/>
      <c r="C1626" s="28" t="s">
        <v>7</v>
      </c>
      <c r="D1626" s="29">
        <v>0.05</v>
      </c>
      <c r="E1626" s="30">
        <v>1</v>
      </c>
      <c r="F1626" s="74">
        <f>+(78500+10000)/1.72</f>
        <v>51453.488372093023</v>
      </c>
      <c r="G1626" s="14">
        <f t="shared" ref="G1626:G1634" si="40">ROUND(E1626*F1626,0)</f>
        <v>51453</v>
      </c>
      <c r="H1626" s="15"/>
      <c r="I1626" s="47"/>
    </row>
    <row r="1627" spans="1:12" x14ac:dyDescent="0.25">
      <c r="A1627" s="26" t="s">
        <v>233</v>
      </c>
      <c r="B1627" s="27"/>
      <c r="C1627" s="28" t="s">
        <v>206</v>
      </c>
      <c r="D1627" s="31">
        <v>0.05</v>
      </c>
      <c r="E1627" s="30">
        <v>6</v>
      </c>
      <c r="F1627" s="14">
        <f>53000/25</f>
        <v>2120</v>
      </c>
      <c r="G1627" s="14">
        <f t="shared" si="40"/>
        <v>12720</v>
      </c>
      <c r="H1627" s="15"/>
      <c r="I1627" s="47"/>
    </row>
    <row r="1628" spans="1:12" x14ac:dyDescent="0.25">
      <c r="A1628" s="32" t="s">
        <v>234</v>
      </c>
      <c r="B1628" s="33"/>
      <c r="C1628" s="28" t="s">
        <v>206</v>
      </c>
      <c r="D1628" s="29">
        <v>0.05</v>
      </c>
      <c r="E1628" s="30">
        <v>0.13700000000000001</v>
      </c>
      <c r="F1628" s="14">
        <f>17000/10</f>
        <v>1700</v>
      </c>
      <c r="G1628" s="14">
        <f t="shared" si="40"/>
        <v>233</v>
      </c>
      <c r="H1628" s="15"/>
      <c r="I1628" s="47"/>
    </row>
    <row r="1629" spans="1:12" x14ac:dyDescent="0.25">
      <c r="A1629" s="11" t="s">
        <v>235</v>
      </c>
      <c r="B1629" s="12"/>
      <c r="C1629" s="35" t="s">
        <v>18</v>
      </c>
      <c r="D1629" s="31"/>
      <c r="E1629" s="30">
        <v>0.1</v>
      </c>
      <c r="F1629" s="14">
        <v>20000</v>
      </c>
      <c r="G1629" s="14">
        <f t="shared" si="40"/>
        <v>2000</v>
      </c>
      <c r="H1629" s="15"/>
      <c r="I1629" s="47"/>
    </row>
    <row r="1630" spans="1:12" x14ac:dyDescent="0.25">
      <c r="A1630" s="11"/>
      <c r="B1630" s="12"/>
      <c r="C1630" s="35"/>
      <c r="D1630" s="34"/>
      <c r="E1630" s="30"/>
      <c r="F1630" s="14"/>
      <c r="G1630" s="14">
        <f t="shared" si="40"/>
        <v>0</v>
      </c>
      <c r="H1630" s="15"/>
      <c r="I1630" s="47"/>
    </row>
    <row r="1631" spans="1:12" hidden="1" x14ac:dyDescent="0.25">
      <c r="A1631" s="11"/>
      <c r="B1631" s="12"/>
      <c r="C1631" s="35"/>
      <c r="D1631" s="31"/>
      <c r="E1631" s="30"/>
      <c r="F1631" s="14"/>
      <c r="G1631" s="14">
        <f t="shared" si="40"/>
        <v>0</v>
      </c>
      <c r="H1631" s="15"/>
      <c r="I1631" s="47"/>
    </row>
    <row r="1632" spans="1:12" hidden="1" x14ac:dyDescent="0.25">
      <c r="A1632" s="11"/>
      <c r="B1632" s="12"/>
      <c r="C1632" s="35"/>
      <c r="D1632" s="34"/>
      <c r="E1632" s="30"/>
      <c r="F1632" s="14"/>
      <c r="G1632" s="14">
        <f t="shared" si="40"/>
        <v>0</v>
      </c>
      <c r="H1632" s="15"/>
      <c r="I1632" s="47"/>
    </row>
    <row r="1633" spans="1:9" hidden="1" x14ac:dyDescent="0.25">
      <c r="A1633" s="11"/>
      <c r="B1633" s="12"/>
      <c r="C1633" s="35"/>
      <c r="D1633" s="31"/>
      <c r="E1633" s="30"/>
      <c r="F1633" s="14"/>
      <c r="G1633" s="14">
        <f t="shared" si="40"/>
        <v>0</v>
      </c>
      <c r="H1633" s="15"/>
      <c r="I1633" s="47"/>
    </row>
    <row r="1634" spans="1:9" hidden="1" x14ac:dyDescent="0.25">
      <c r="A1634" s="11"/>
      <c r="B1634" s="12"/>
      <c r="C1634" s="35"/>
      <c r="D1634" s="31"/>
      <c r="E1634" s="30"/>
      <c r="F1634" s="14"/>
      <c r="G1634" s="14">
        <f t="shared" si="40"/>
        <v>0</v>
      </c>
      <c r="H1634" s="17"/>
      <c r="I1634" s="47"/>
    </row>
    <row r="1635" spans="1:9" x14ac:dyDescent="0.25">
      <c r="A1635" s="291"/>
      <c r="B1635" s="228"/>
      <c r="C1635" s="228"/>
      <c r="D1635" s="228"/>
      <c r="E1635" s="36"/>
      <c r="F1635" s="37" t="s">
        <v>102</v>
      </c>
      <c r="G1635" s="38"/>
      <c r="H1635" s="23">
        <f>SUM(G1626:G1634)</f>
        <v>66406</v>
      </c>
      <c r="I1635" s="220"/>
    </row>
    <row r="1636" spans="1:9" x14ac:dyDescent="0.25">
      <c r="A1636" s="291"/>
      <c r="B1636" s="228"/>
      <c r="C1636" s="228"/>
      <c r="D1636" s="228"/>
      <c r="E1636" s="36"/>
      <c r="F1636" s="39" t="s">
        <v>103</v>
      </c>
      <c r="G1636" s="38"/>
      <c r="H1636" s="23">
        <f>ROUND((D1626*G1626)+(D1627*G1627)+(D1628*G1628)+(D1629*G1629)+(D1630*G1630)+(D1631*G1631)+(D1632*G1632)+(D1633*G1633)+(D1634*G1634),0)</f>
        <v>3220</v>
      </c>
      <c r="I1636" s="220"/>
    </row>
    <row r="1637" spans="1:9" x14ac:dyDescent="0.25">
      <c r="A1637" s="291"/>
      <c r="B1637" s="228"/>
      <c r="C1637" s="228"/>
      <c r="D1637" s="228"/>
      <c r="E1637" s="36"/>
      <c r="F1637" s="20" t="s">
        <v>104</v>
      </c>
      <c r="G1637" s="40"/>
      <c r="H1637" s="23">
        <f>SUM(H1635:H1636)</f>
        <v>69626</v>
      </c>
      <c r="I1637" s="220"/>
    </row>
    <row r="1638" spans="1:9" x14ac:dyDescent="0.25">
      <c r="A1638" s="291" t="s">
        <v>105</v>
      </c>
      <c r="B1638" s="228"/>
      <c r="C1638" s="228"/>
      <c r="D1638" s="228"/>
      <c r="E1638" s="47"/>
      <c r="F1638" s="47"/>
      <c r="G1638" s="47"/>
      <c r="H1638" s="233"/>
      <c r="I1638" s="47"/>
    </row>
    <row r="1639" spans="1:9" x14ac:dyDescent="0.25">
      <c r="A1639" s="24" t="s">
        <v>0</v>
      </c>
      <c r="B1639" s="24"/>
      <c r="C1639" s="8" t="s">
        <v>106</v>
      </c>
      <c r="D1639" s="8" t="s">
        <v>107</v>
      </c>
      <c r="E1639" s="9" t="s">
        <v>108</v>
      </c>
      <c r="F1639" s="9" t="s">
        <v>109</v>
      </c>
      <c r="G1639" s="41" t="s">
        <v>96</v>
      </c>
      <c r="H1639" s="10"/>
      <c r="I1639" s="47"/>
    </row>
    <row r="1640" spans="1:9" x14ac:dyDescent="0.25">
      <c r="A1640" s="18" t="s">
        <v>110</v>
      </c>
      <c r="B1640" s="42"/>
      <c r="C1640" s="13">
        <f>104000+26000</f>
        <v>130000</v>
      </c>
      <c r="D1640" s="13">
        <f>+C1640*0.16</f>
        <v>20800</v>
      </c>
      <c r="E1640" s="14">
        <f>C1640+D1640</f>
        <v>150800</v>
      </c>
      <c r="F1640" s="30">
        <v>0.3</v>
      </c>
      <c r="G1640" s="14">
        <f>ROUND(E1640*F1640,0)</f>
        <v>45240</v>
      </c>
      <c r="H1640" s="15"/>
      <c r="I1640" s="47"/>
    </row>
    <row r="1641" spans="1:9" x14ac:dyDescent="0.25">
      <c r="A1641" s="18" t="s">
        <v>111</v>
      </c>
      <c r="B1641" s="42"/>
      <c r="C1641" s="13">
        <f>60400+25850</f>
        <v>86250</v>
      </c>
      <c r="D1641" s="13">
        <f>+C1641*0.16</f>
        <v>13800</v>
      </c>
      <c r="E1641" s="14">
        <f>C1641+D1641</f>
        <v>100050</v>
      </c>
      <c r="F1641" s="30">
        <v>0.3</v>
      </c>
      <c r="G1641" s="14">
        <f>ROUND(E1641*F1641,0)</f>
        <v>30015</v>
      </c>
      <c r="H1641" s="15"/>
      <c r="I1641" s="47"/>
    </row>
    <row r="1642" spans="1:9" x14ac:dyDescent="0.25">
      <c r="A1642" s="18"/>
      <c r="B1642" s="42"/>
      <c r="C1642" s="43"/>
      <c r="D1642" s="43"/>
      <c r="E1642" s="44">
        <f>C1642+D1642</f>
        <v>0</v>
      </c>
      <c r="F1642" s="45"/>
      <c r="G1642" s="14">
        <f>ROUND(E1642*F1642,0)</f>
        <v>0</v>
      </c>
      <c r="H1642" s="17"/>
      <c r="I1642" s="47"/>
    </row>
    <row r="1643" spans="1:9" x14ac:dyDescent="0.25">
      <c r="A1643" s="4"/>
      <c r="B1643" s="4"/>
      <c r="C1643" s="4"/>
      <c r="D1643" s="4"/>
      <c r="E1643" s="46" t="s">
        <v>112</v>
      </c>
      <c r="F1643" s="46"/>
      <c r="G1643" s="46"/>
      <c r="H1643" s="36">
        <f>SUM(G1640:G1642)</f>
        <v>75255</v>
      </c>
      <c r="I1643" s="220"/>
    </row>
    <row r="1644" spans="1:9" x14ac:dyDescent="0.25">
      <c r="A1644" s="4"/>
      <c r="B1644" s="4"/>
      <c r="C1644" s="4"/>
      <c r="D1644" s="4"/>
      <c r="E1644" s="5"/>
      <c r="F1644" s="5"/>
      <c r="G1644" s="5"/>
      <c r="H1644" s="47"/>
      <c r="I1644" s="47"/>
    </row>
    <row r="1645" spans="1:9" x14ac:dyDescent="0.25">
      <c r="A1645" s="18"/>
      <c r="B1645" s="19"/>
      <c r="C1645" s="19"/>
      <c r="D1645" s="19"/>
      <c r="E1645" s="48" t="s">
        <v>113</v>
      </c>
      <c r="F1645" s="48"/>
      <c r="G1645" s="48"/>
      <c r="H1645" s="239">
        <f>H1643+H1637+H1623</f>
        <v>253636</v>
      </c>
      <c r="I1645" s="222"/>
    </row>
    <row r="1646" spans="1:9" x14ac:dyDescent="0.25">
      <c r="A1646" s="4"/>
      <c r="B1646" s="4"/>
      <c r="C1646" s="4"/>
      <c r="D1646" s="4"/>
      <c r="E1646" s="5"/>
      <c r="F1646" s="5"/>
      <c r="G1646" s="5"/>
      <c r="H1646" s="5"/>
      <c r="I1646" s="47"/>
    </row>
    <row r="1647" spans="1:9" x14ac:dyDescent="0.25">
      <c r="A1647" s="4" t="s">
        <v>114</v>
      </c>
      <c r="B1647" s="4"/>
      <c r="C1647" s="4"/>
      <c r="D1647" s="4"/>
      <c r="E1647" s="5"/>
      <c r="F1647" s="5"/>
      <c r="G1647" s="5"/>
      <c r="H1647" s="5"/>
      <c r="I1647" s="47"/>
    </row>
    <row r="1648" spans="1:9" x14ac:dyDescent="0.25">
      <c r="A1648" s="6" t="s">
        <v>0</v>
      </c>
      <c r="B1648" s="49"/>
      <c r="C1648" s="49"/>
      <c r="D1648" s="49"/>
      <c r="E1648" s="50"/>
      <c r="F1648" s="9" t="s">
        <v>115</v>
      </c>
      <c r="G1648" s="41" t="s">
        <v>116</v>
      </c>
      <c r="H1648" s="235"/>
      <c r="I1648" s="47"/>
    </row>
    <row r="1649" spans="1:9" x14ac:dyDescent="0.25">
      <c r="A1649" s="11" t="s">
        <v>117</v>
      </c>
      <c r="B1649" s="51"/>
      <c r="C1649" s="51"/>
      <c r="D1649" s="51"/>
      <c r="E1649" s="52"/>
      <c r="F1649" s="53"/>
      <c r="G1649" s="14">
        <f>F1649*H1645</f>
        <v>0</v>
      </c>
      <c r="H1649" s="236"/>
      <c r="I1649" s="47"/>
    </row>
    <row r="1650" spans="1:9" x14ac:dyDescent="0.25">
      <c r="A1650" s="11"/>
      <c r="B1650" s="51"/>
      <c r="C1650" s="51"/>
      <c r="D1650" s="51"/>
      <c r="E1650" s="52"/>
      <c r="F1650" s="53"/>
      <c r="G1650" s="14">
        <f>F1650*H1645</f>
        <v>0</v>
      </c>
      <c r="H1650" s="236"/>
      <c r="I1650" s="47"/>
    </row>
    <row r="1651" spans="1:9" x14ac:dyDescent="0.25">
      <c r="A1651" s="11"/>
      <c r="B1651" s="51"/>
      <c r="C1651" s="51"/>
      <c r="D1651" s="51"/>
      <c r="E1651" s="52"/>
      <c r="F1651" s="53"/>
      <c r="G1651" s="14">
        <f>F1651*H1645</f>
        <v>0</v>
      </c>
      <c r="H1651" s="237"/>
      <c r="I1651" s="47"/>
    </row>
    <row r="1652" spans="1:9" x14ac:dyDescent="0.25">
      <c r="A1652" s="4"/>
      <c r="B1652" s="4"/>
      <c r="C1652" s="4"/>
      <c r="D1652" s="4"/>
      <c r="E1652" s="46" t="s">
        <v>118</v>
      </c>
      <c r="F1652" s="46"/>
      <c r="G1652" s="46"/>
      <c r="H1652" s="36">
        <f>SUM(G1649:G1651)</f>
        <v>0</v>
      </c>
      <c r="I1652" s="220"/>
    </row>
    <row r="1653" spans="1:9" ht="15.75" thickBot="1" x14ac:dyDescent="0.3">
      <c r="A1653" s="4"/>
      <c r="B1653" s="4"/>
      <c r="C1653" s="4"/>
      <c r="D1653" s="4"/>
      <c r="E1653" s="5"/>
      <c r="F1653" s="5"/>
      <c r="G1653" s="5"/>
      <c r="H1653" s="5"/>
      <c r="I1653" s="47"/>
    </row>
    <row r="1654" spans="1:9" ht="15.75" thickBot="1" x14ac:dyDescent="0.3">
      <c r="A1654" s="4"/>
      <c r="B1654" s="4"/>
      <c r="C1654" s="4"/>
      <c r="D1654" s="4"/>
      <c r="E1654" s="54"/>
      <c r="F1654" s="54" t="s">
        <v>119</v>
      </c>
      <c r="G1654" s="54"/>
      <c r="H1654" s="240">
        <f>SUM(H1652+H1645)</f>
        <v>253636</v>
      </c>
      <c r="I1654" s="112"/>
    </row>
    <row r="1662" spans="1:9" x14ac:dyDescent="0.25">
      <c r="A1662" s="412" t="s">
        <v>79</v>
      </c>
      <c r="B1662" s="412"/>
      <c r="C1662" s="412"/>
      <c r="D1662" s="412"/>
      <c r="E1662" s="412"/>
      <c r="F1662" s="412"/>
      <c r="G1662" s="412"/>
      <c r="H1662" s="412"/>
      <c r="I1662" s="250"/>
    </row>
    <row r="1663" spans="1:9" x14ac:dyDescent="0.25">
      <c r="A1663" s="4"/>
      <c r="B1663" s="4"/>
      <c r="C1663" s="4"/>
      <c r="D1663" s="4"/>
      <c r="E1663" s="5"/>
      <c r="F1663" s="5"/>
      <c r="G1663" s="411" t="s">
        <v>326</v>
      </c>
      <c r="H1663" s="411"/>
      <c r="I1663" s="251"/>
    </row>
    <row r="1664" spans="1:9" ht="28.9" customHeight="1" x14ac:dyDescent="0.25">
      <c r="A1664" s="434" t="s">
        <v>355</v>
      </c>
      <c r="B1664" s="434"/>
      <c r="C1664" s="434"/>
      <c r="D1664" s="434"/>
      <c r="E1664" s="434"/>
      <c r="F1664" s="434"/>
      <c r="G1664" s="434"/>
      <c r="H1664" s="434"/>
      <c r="I1664" s="252"/>
    </row>
    <row r="1665" spans="1:9" x14ac:dyDescent="0.25">
      <c r="A1665" s="4"/>
      <c r="B1665" s="4"/>
      <c r="C1665" s="4"/>
      <c r="D1665" s="4"/>
      <c r="E1665" s="5"/>
      <c r="F1665" s="5"/>
      <c r="G1665" s="414" t="s">
        <v>215</v>
      </c>
      <c r="H1665" s="414"/>
      <c r="I1665" s="253"/>
    </row>
    <row r="1666" spans="1:9" x14ac:dyDescent="0.25">
      <c r="A1666" s="4" t="s">
        <v>82</v>
      </c>
      <c r="B1666" s="4"/>
      <c r="C1666" s="4"/>
      <c r="D1666" s="4"/>
      <c r="E1666" s="5"/>
      <c r="F1666" s="5"/>
      <c r="G1666" s="5"/>
      <c r="H1666" s="5"/>
      <c r="I1666" s="47"/>
    </row>
    <row r="1667" spans="1:9" x14ac:dyDescent="0.25">
      <c r="A1667" s="6" t="s">
        <v>0</v>
      </c>
      <c r="B1667" s="7"/>
      <c r="C1667" s="8" t="s">
        <v>83</v>
      </c>
      <c r="D1667" s="8" t="s">
        <v>84</v>
      </c>
      <c r="E1667" s="9" t="s">
        <v>85</v>
      </c>
      <c r="F1667" s="9" t="s">
        <v>86</v>
      </c>
      <c r="G1667" s="9" t="s">
        <v>87</v>
      </c>
      <c r="H1667" s="10"/>
      <c r="I1667" s="47"/>
    </row>
    <row r="1668" spans="1:9" x14ac:dyDescent="0.25">
      <c r="A1668" s="11" t="s">
        <v>88</v>
      </c>
      <c r="B1668" s="12"/>
      <c r="C1668" s="13"/>
      <c r="D1668" s="13"/>
      <c r="E1668" s="14"/>
      <c r="F1668" s="14"/>
      <c r="G1668" s="14">
        <f>ROUND(H1692*0.05,0)+8-16</f>
        <v>1623</v>
      </c>
      <c r="H1668" s="15"/>
      <c r="I1668" s="47"/>
    </row>
    <row r="1669" spans="1:9" x14ac:dyDescent="0.25">
      <c r="A1669" s="11" t="s">
        <v>327</v>
      </c>
      <c r="B1669" s="12"/>
      <c r="C1669" s="13"/>
      <c r="D1669" s="13"/>
      <c r="E1669" s="14">
        <v>350000</v>
      </c>
      <c r="F1669" s="14">
        <v>0.2</v>
      </c>
      <c r="G1669" s="14">
        <f>ROUND(E1669*F1669,0)</f>
        <v>70000</v>
      </c>
      <c r="H1669" s="15"/>
      <c r="I1669" s="47"/>
    </row>
    <row r="1670" spans="1:9" x14ac:dyDescent="0.25">
      <c r="A1670" s="11" t="s">
        <v>328</v>
      </c>
      <c r="B1670" s="12"/>
      <c r="C1670" s="13"/>
      <c r="D1670" s="13"/>
      <c r="E1670" s="14">
        <v>50000</v>
      </c>
      <c r="F1670" s="16">
        <v>1</v>
      </c>
      <c r="G1670" s="14">
        <f>ROUND(E1670*F1670,0)</f>
        <v>50000</v>
      </c>
      <c r="H1670" s="15"/>
      <c r="I1670" s="47"/>
    </row>
    <row r="1671" spans="1:9" x14ac:dyDescent="0.25">
      <c r="A1671" s="11"/>
      <c r="B1671" s="12"/>
      <c r="C1671" s="13"/>
      <c r="D1671" s="13"/>
      <c r="E1671" s="14"/>
      <c r="F1671" s="14"/>
      <c r="G1671" s="14">
        <f>ROUND(E1671*F1671,0)</f>
        <v>0</v>
      </c>
      <c r="H1671" s="17"/>
      <c r="I1671" s="47"/>
    </row>
    <row r="1672" spans="1:9" x14ac:dyDescent="0.25">
      <c r="A1672" s="18"/>
      <c r="B1672" s="19"/>
      <c r="C1672" s="19"/>
      <c r="D1672" s="19"/>
      <c r="E1672" s="20"/>
      <c r="F1672" s="21" t="s">
        <v>90</v>
      </c>
      <c r="G1672" s="22"/>
      <c r="H1672" s="23">
        <f>SUM(G1668:G1671)</f>
        <v>121623</v>
      </c>
      <c r="I1672" s="220"/>
    </row>
    <row r="1673" spans="1:9" x14ac:dyDescent="0.25">
      <c r="A1673" s="291" t="s">
        <v>91</v>
      </c>
      <c r="B1673" s="228"/>
      <c r="C1673" s="228"/>
      <c r="D1673" s="228"/>
      <c r="E1673" s="47"/>
      <c r="F1673" s="47"/>
      <c r="G1673" s="47"/>
      <c r="H1673" s="233"/>
      <c r="I1673" s="47"/>
    </row>
    <row r="1674" spans="1:9" x14ac:dyDescent="0.25">
      <c r="A1674" s="24" t="s">
        <v>0</v>
      </c>
      <c r="B1674" s="24"/>
      <c r="C1674" s="8" t="s">
        <v>92</v>
      </c>
      <c r="D1674" s="8" t="s">
        <v>93</v>
      </c>
      <c r="E1674" s="9" t="s">
        <v>94</v>
      </c>
      <c r="F1674" s="9" t="s">
        <v>95</v>
      </c>
      <c r="G1674" s="25" t="s">
        <v>96</v>
      </c>
      <c r="H1674" s="10"/>
      <c r="I1674" s="47"/>
    </row>
    <row r="1675" spans="1:9" x14ac:dyDescent="0.25">
      <c r="A1675" s="26" t="s">
        <v>322</v>
      </c>
      <c r="B1675" s="27"/>
      <c r="C1675" s="28" t="s">
        <v>18</v>
      </c>
      <c r="D1675" s="29"/>
      <c r="E1675" s="30">
        <v>1</v>
      </c>
      <c r="F1675" s="74">
        <f>245000</f>
        <v>245000</v>
      </c>
      <c r="G1675" s="14">
        <f t="shared" ref="G1675:G1683" si="41">ROUND(E1675*F1675,0)</f>
        <v>245000</v>
      </c>
      <c r="H1675" s="15"/>
      <c r="I1675" s="47"/>
    </row>
    <row r="1676" spans="1:9" x14ac:dyDescent="0.25">
      <c r="A1676" s="26" t="s">
        <v>236</v>
      </c>
      <c r="B1676" s="27"/>
      <c r="C1676" s="28" t="s">
        <v>18</v>
      </c>
      <c r="D1676" s="31"/>
      <c r="E1676" s="30">
        <v>3</v>
      </c>
      <c r="F1676" s="14">
        <v>1000</v>
      </c>
      <c r="G1676" s="14">
        <f t="shared" si="41"/>
        <v>3000</v>
      </c>
      <c r="H1676" s="15"/>
      <c r="I1676" s="47"/>
    </row>
    <row r="1677" spans="1:9" x14ac:dyDescent="0.25">
      <c r="A1677" s="32"/>
      <c r="B1677" s="33"/>
      <c r="C1677" s="28"/>
      <c r="D1677" s="29"/>
      <c r="E1677" s="30"/>
      <c r="F1677" s="14"/>
      <c r="G1677" s="14">
        <f t="shared" si="41"/>
        <v>0</v>
      </c>
      <c r="H1677" s="15"/>
      <c r="I1677" s="47"/>
    </row>
    <row r="1678" spans="1:9" x14ac:dyDescent="0.25">
      <c r="A1678" s="11"/>
      <c r="B1678" s="12"/>
      <c r="C1678" s="35"/>
      <c r="D1678" s="31"/>
      <c r="E1678" s="30"/>
      <c r="F1678" s="14"/>
      <c r="G1678" s="14">
        <f t="shared" si="41"/>
        <v>0</v>
      </c>
      <c r="H1678" s="15"/>
      <c r="I1678" s="47"/>
    </row>
    <row r="1679" spans="1:9" hidden="1" x14ac:dyDescent="0.25">
      <c r="A1679" s="11"/>
      <c r="B1679" s="12"/>
      <c r="C1679" s="35"/>
      <c r="D1679" s="34"/>
      <c r="E1679" s="30"/>
      <c r="F1679" s="14"/>
      <c r="G1679" s="14">
        <f t="shared" si="41"/>
        <v>0</v>
      </c>
      <c r="H1679" s="15"/>
      <c r="I1679" s="47"/>
    </row>
    <row r="1680" spans="1:9" hidden="1" x14ac:dyDescent="0.25">
      <c r="A1680" s="11"/>
      <c r="B1680" s="12"/>
      <c r="C1680" s="35"/>
      <c r="D1680" s="31"/>
      <c r="E1680" s="30"/>
      <c r="F1680" s="14"/>
      <c r="G1680" s="14">
        <f t="shared" si="41"/>
        <v>0</v>
      </c>
      <c r="H1680" s="15"/>
      <c r="I1680" s="47"/>
    </row>
    <row r="1681" spans="1:9" hidden="1" x14ac:dyDescent="0.25">
      <c r="A1681" s="11"/>
      <c r="B1681" s="12"/>
      <c r="C1681" s="35"/>
      <c r="D1681" s="34"/>
      <c r="E1681" s="30"/>
      <c r="F1681" s="14"/>
      <c r="G1681" s="14">
        <f t="shared" si="41"/>
        <v>0</v>
      </c>
      <c r="H1681" s="15"/>
      <c r="I1681" s="47"/>
    </row>
    <row r="1682" spans="1:9" x14ac:dyDescent="0.25">
      <c r="A1682" s="11"/>
      <c r="B1682" s="12"/>
      <c r="C1682" s="35"/>
      <c r="D1682" s="31"/>
      <c r="E1682" s="30"/>
      <c r="F1682" s="14"/>
      <c r="G1682" s="14">
        <f t="shared" si="41"/>
        <v>0</v>
      </c>
      <c r="H1682" s="15"/>
      <c r="I1682" s="47"/>
    </row>
    <row r="1683" spans="1:9" x14ac:dyDescent="0.25">
      <c r="A1683" s="11"/>
      <c r="B1683" s="12"/>
      <c r="C1683" s="35"/>
      <c r="D1683" s="31"/>
      <c r="E1683" s="30"/>
      <c r="F1683" s="14"/>
      <c r="G1683" s="14">
        <f t="shared" si="41"/>
        <v>0</v>
      </c>
      <c r="H1683" s="17"/>
      <c r="I1683" s="47"/>
    </row>
    <row r="1684" spans="1:9" x14ac:dyDescent="0.25">
      <c r="A1684" s="291"/>
      <c r="B1684" s="228"/>
      <c r="C1684" s="228"/>
      <c r="D1684" s="228"/>
      <c r="E1684" s="36"/>
      <c r="F1684" s="37" t="s">
        <v>102</v>
      </c>
      <c r="G1684" s="38"/>
      <c r="H1684" s="23">
        <f>SUM(G1675:G1683)</f>
        <v>248000</v>
      </c>
      <c r="I1684" s="220"/>
    </row>
    <row r="1685" spans="1:9" x14ac:dyDescent="0.25">
      <c r="A1685" s="291"/>
      <c r="B1685" s="228"/>
      <c r="C1685" s="228"/>
      <c r="D1685" s="228"/>
      <c r="E1685" s="36"/>
      <c r="F1685" s="39" t="s">
        <v>103</v>
      </c>
      <c r="G1685" s="38"/>
      <c r="H1685" s="23">
        <f>ROUND((D1675*G1675)+(D1676*G1676)+(D1677*G1677)+(D1678*G1678)+(D1679*G1679)+(D1680*G1680)+(D1681*G1681)+(D1682*G1682)+(D1683*G1683),0)</f>
        <v>0</v>
      </c>
      <c r="I1685" s="220"/>
    </row>
    <row r="1686" spans="1:9" x14ac:dyDescent="0.25">
      <c r="A1686" s="291"/>
      <c r="B1686" s="228"/>
      <c r="C1686" s="228"/>
      <c r="D1686" s="228"/>
      <c r="E1686" s="36"/>
      <c r="F1686" s="20" t="s">
        <v>104</v>
      </c>
      <c r="G1686" s="40"/>
      <c r="H1686" s="23">
        <f>SUM(H1684:H1685)</f>
        <v>248000</v>
      </c>
      <c r="I1686" s="220"/>
    </row>
    <row r="1687" spans="1:9" x14ac:dyDescent="0.25">
      <c r="A1687" s="291" t="s">
        <v>105</v>
      </c>
      <c r="B1687" s="228"/>
      <c r="C1687" s="228"/>
      <c r="D1687" s="228"/>
      <c r="E1687" s="47"/>
      <c r="F1687" s="47"/>
      <c r="G1687" s="47"/>
      <c r="H1687" s="233"/>
      <c r="I1687" s="47"/>
    </row>
    <row r="1688" spans="1:9" x14ac:dyDescent="0.25">
      <c r="A1688" s="24" t="s">
        <v>0</v>
      </c>
      <c r="B1688" s="24"/>
      <c r="C1688" s="8" t="s">
        <v>106</v>
      </c>
      <c r="D1688" s="8" t="s">
        <v>107</v>
      </c>
      <c r="E1688" s="9" t="s">
        <v>108</v>
      </c>
      <c r="F1688" s="9" t="s">
        <v>109</v>
      </c>
      <c r="G1688" s="41" t="s">
        <v>96</v>
      </c>
      <c r="H1688" s="10"/>
      <c r="I1688" s="47"/>
    </row>
    <row r="1689" spans="1:9" x14ac:dyDescent="0.25">
      <c r="A1689" s="18" t="s">
        <v>110</v>
      </c>
      <c r="B1689" s="42"/>
      <c r="C1689" s="13">
        <f>104000+26000</f>
        <v>130000</v>
      </c>
      <c r="D1689" s="13">
        <f>+C1689*0.16</f>
        <v>20800</v>
      </c>
      <c r="E1689" s="14">
        <f>C1689+D1689</f>
        <v>150800</v>
      </c>
      <c r="F1689" s="30">
        <v>0.15</v>
      </c>
      <c r="G1689" s="14">
        <f>ROUND(E1689*F1689,0)</f>
        <v>22620</v>
      </c>
      <c r="H1689" s="15"/>
      <c r="I1689" s="47"/>
    </row>
    <row r="1690" spans="1:9" x14ac:dyDescent="0.25">
      <c r="A1690" s="18" t="s">
        <v>111</v>
      </c>
      <c r="B1690" s="42"/>
      <c r="C1690" s="13">
        <f>60400+25850</f>
        <v>86250</v>
      </c>
      <c r="D1690" s="13">
        <f>+C1690*0.16</f>
        <v>13800</v>
      </c>
      <c r="E1690" s="14">
        <f>C1690+D1690</f>
        <v>100050</v>
      </c>
      <c r="F1690" s="30">
        <v>0.1</v>
      </c>
      <c r="G1690" s="14">
        <f>ROUND(E1690*F1690,0)</f>
        <v>10005</v>
      </c>
      <c r="H1690" s="15"/>
      <c r="I1690" s="47"/>
    </row>
    <row r="1691" spans="1:9" x14ac:dyDescent="0.25">
      <c r="A1691" s="18"/>
      <c r="B1691" s="42"/>
      <c r="C1691" s="43"/>
      <c r="D1691" s="43"/>
      <c r="E1691" s="44">
        <f>C1691+D1691</f>
        <v>0</v>
      </c>
      <c r="F1691" s="45"/>
      <c r="G1691" s="14">
        <f>ROUND(E1691*F1691,0)</f>
        <v>0</v>
      </c>
      <c r="H1691" s="15"/>
      <c r="I1691" s="47"/>
    </row>
    <row r="1692" spans="1:9" x14ac:dyDescent="0.25">
      <c r="A1692" s="291"/>
      <c r="B1692" s="228"/>
      <c r="C1692" s="228"/>
      <c r="D1692" s="228"/>
      <c r="E1692" s="277" t="s">
        <v>112</v>
      </c>
      <c r="F1692" s="277"/>
      <c r="G1692" s="277"/>
      <c r="H1692" s="23">
        <f>SUM(G1689:G1691)</f>
        <v>32625</v>
      </c>
      <c r="I1692" s="220"/>
    </row>
    <row r="1693" spans="1:9" x14ac:dyDescent="0.25">
      <c r="A1693" s="291"/>
      <c r="B1693" s="228"/>
      <c r="C1693" s="228"/>
      <c r="D1693" s="228"/>
      <c r="E1693" s="47"/>
      <c r="F1693" s="47"/>
      <c r="G1693" s="47"/>
      <c r="H1693" s="233"/>
      <c r="I1693" s="47"/>
    </row>
    <row r="1694" spans="1:9" x14ac:dyDescent="0.25">
      <c r="A1694" s="18"/>
      <c r="B1694" s="19"/>
      <c r="C1694" s="19"/>
      <c r="D1694" s="19"/>
      <c r="E1694" s="48" t="s">
        <v>113</v>
      </c>
      <c r="F1694" s="48"/>
      <c r="G1694" s="48"/>
      <c r="H1694" s="25">
        <f>H1692+H1686+H1672</f>
        <v>402248</v>
      </c>
      <c r="I1694" s="222"/>
    </row>
    <row r="1695" spans="1:9" x14ac:dyDescent="0.25">
      <c r="A1695" s="291"/>
      <c r="B1695" s="228"/>
      <c r="C1695" s="228"/>
      <c r="D1695" s="228"/>
      <c r="E1695" s="47"/>
      <c r="F1695" s="47"/>
      <c r="G1695" s="47"/>
      <c r="H1695" s="233"/>
      <c r="I1695" s="47"/>
    </row>
    <row r="1696" spans="1:9" x14ac:dyDescent="0.25">
      <c r="A1696" s="291" t="s">
        <v>114</v>
      </c>
      <c r="B1696" s="228"/>
      <c r="C1696" s="228"/>
      <c r="D1696" s="228"/>
      <c r="E1696" s="47"/>
      <c r="F1696" s="47"/>
      <c r="G1696" s="47"/>
      <c r="H1696" s="233"/>
      <c r="I1696" s="47"/>
    </row>
    <row r="1697" spans="1:9" x14ac:dyDescent="0.25">
      <c r="A1697" s="6" t="s">
        <v>0</v>
      </c>
      <c r="B1697" s="49"/>
      <c r="C1697" s="49"/>
      <c r="D1697" s="49"/>
      <c r="E1697" s="50"/>
      <c r="F1697" s="9" t="s">
        <v>115</v>
      </c>
      <c r="G1697" s="41" t="s">
        <v>116</v>
      </c>
      <c r="H1697" s="10"/>
      <c r="I1697" s="47"/>
    </row>
    <row r="1698" spans="1:9" x14ac:dyDescent="0.25">
      <c r="A1698" s="11" t="s">
        <v>117</v>
      </c>
      <c r="B1698" s="51"/>
      <c r="C1698" s="51"/>
      <c r="D1698" s="51"/>
      <c r="E1698" s="52"/>
      <c r="F1698" s="53"/>
      <c r="G1698" s="14">
        <f>F1698*H1694</f>
        <v>0</v>
      </c>
      <c r="H1698" s="15"/>
      <c r="I1698" s="47"/>
    </row>
    <row r="1699" spans="1:9" x14ac:dyDescent="0.25">
      <c r="A1699" s="11"/>
      <c r="B1699" s="51"/>
      <c r="C1699" s="51"/>
      <c r="D1699" s="51"/>
      <c r="E1699" s="52"/>
      <c r="F1699" s="53"/>
      <c r="G1699" s="14">
        <f>F1699*H1694</f>
        <v>0</v>
      </c>
      <c r="H1699" s="15"/>
      <c r="I1699" s="47"/>
    </row>
    <row r="1700" spans="1:9" x14ac:dyDescent="0.25">
      <c r="A1700" s="11"/>
      <c r="B1700" s="51"/>
      <c r="C1700" s="51"/>
      <c r="D1700" s="51"/>
      <c r="E1700" s="52"/>
      <c r="F1700" s="53"/>
      <c r="G1700" s="14">
        <f>F1700*H1694</f>
        <v>0</v>
      </c>
      <c r="H1700" s="17"/>
      <c r="I1700" s="47"/>
    </row>
    <row r="1701" spans="1:9" x14ac:dyDescent="0.25">
      <c r="A1701" s="4"/>
      <c r="B1701" s="4"/>
      <c r="C1701" s="4"/>
      <c r="D1701" s="4"/>
      <c r="E1701" s="46" t="s">
        <v>118</v>
      </c>
      <c r="F1701" s="46"/>
      <c r="G1701" s="46"/>
      <c r="H1701" s="36">
        <f>SUM(G1698:G1700)</f>
        <v>0</v>
      </c>
      <c r="I1701" s="220"/>
    </row>
    <row r="1702" spans="1:9" ht="15.75" thickBot="1" x14ac:dyDescent="0.3">
      <c r="A1702" s="4"/>
      <c r="B1702" s="4"/>
      <c r="C1702" s="4"/>
      <c r="D1702" s="4"/>
      <c r="E1702" s="5"/>
      <c r="F1702" s="5"/>
      <c r="G1702" s="5"/>
      <c r="H1702" s="5"/>
      <c r="I1702" s="47"/>
    </row>
    <row r="1703" spans="1:9" ht="15.75" thickBot="1" x14ac:dyDescent="0.3">
      <c r="A1703" s="4"/>
      <c r="B1703" s="4"/>
      <c r="C1703" s="4"/>
      <c r="D1703" s="4"/>
      <c r="E1703" s="54"/>
      <c r="F1703" s="54" t="s">
        <v>119</v>
      </c>
      <c r="G1703" s="54"/>
      <c r="H1703" s="240">
        <f>SUM(H1701+H1694)</f>
        <v>402248</v>
      </c>
      <c r="I1703" s="112"/>
    </row>
    <row r="1704" spans="1:9" x14ac:dyDescent="0.25">
      <c r="A1704" s="4"/>
      <c r="B1704" s="4"/>
      <c r="C1704" s="4"/>
      <c r="D1704" s="4"/>
      <c r="E1704" s="54"/>
      <c r="F1704" s="54"/>
      <c r="G1704" s="54"/>
      <c r="H1704" s="112"/>
      <c r="I1704" s="112"/>
    </row>
    <row r="1705" spans="1:9" x14ac:dyDescent="0.25">
      <c r="A1705" s="4"/>
      <c r="B1705" s="4"/>
      <c r="C1705" s="4"/>
      <c r="D1705" s="4"/>
      <c r="E1705" s="54"/>
      <c r="F1705" s="54"/>
      <c r="G1705" s="54"/>
      <c r="H1705" s="112"/>
      <c r="I1705" s="112"/>
    </row>
    <row r="1706" spans="1:9" x14ac:dyDescent="0.25">
      <c r="A1706" s="4"/>
      <c r="B1706" s="4"/>
      <c r="C1706" s="4"/>
      <c r="D1706" s="4"/>
      <c r="E1706" s="54"/>
      <c r="F1706" s="54"/>
      <c r="G1706" s="54"/>
      <c r="H1706" s="112"/>
      <c r="I1706" s="112"/>
    </row>
    <row r="1707" spans="1:9" x14ac:dyDescent="0.25">
      <c r="A1707" s="4"/>
      <c r="B1707" s="4"/>
      <c r="C1707" s="4"/>
      <c r="D1707" s="4"/>
      <c r="E1707" s="54"/>
      <c r="F1707" s="54"/>
      <c r="G1707" s="54"/>
      <c r="H1707" s="112"/>
      <c r="I1707" s="112"/>
    </row>
    <row r="1712" spans="1:9" x14ac:dyDescent="0.25">
      <c r="A1712" s="412" t="s">
        <v>79</v>
      </c>
      <c r="B1712" s="412"/>
      <c r="C1712" s="412"/>
      <c r="D1712" s="412"/>
      <c r="E1712" s="412"/>
      <c r="F1712" s="412"/>
      <c r="G1712" s="412"/>
      <c r="H1712" s="412"/>
      <c r="I1712" s="250"/>
    </row>
    <row r="1713" spans="1:9" x14ac:dyDescent="0.25">
      <c r="A1713" s="4"/>
      <c r="B1713" s="4"/>
      <c r="C1713" s="4"/>
      <c r="D1713" s="4"/>
      <c r="E1713" s="5"/>
      <c r="F1713" s="5"/>
      <c r="G1713" s="411" t="s">
        <v>326</v>
      </c>
      <c r="H1713" s="411"/>
      <c r="I1713" s="251"/>
    </row>
    <row r="1714" spans="1:9" x14ac:dyDescent="0.25">
      <c r="A1714" s="434" t="s">
        <v>237</v>
      </c>
      <c r="B1714" s="434"/>
      <c r="C1714" s="434"/>
      <c r="D1714" s="434"/>
      <c r="E1714" s="434"/>
      <c r="F1714" s="434"/>
      <c r="G1714" s="434"/>
      <c r="H1714" s="434"/>
      <c r="I1714" s="252"/>
    </row>
    <row r="1715" spans="1:9" x14ac:dyDescent="0.25">
      <c r="A1715" s="4"/>
      <c r="B1715" s="4"/>
      <c r="C1715" s="4"/>
      <c r="D1715" s="4"/>
      <c r="E1715" s="5"/>
      <c r="F1715" s="5"/>
      <c r="G1715" s="414" t="s">
        <v>215</v>
      </c>
      <c r="H1715" s="414"/>
      <c r="I1715" s="253"/>
    </row>
    <row r="1716" spans="1:9" x14ac:dyDescent="0.25">
      <c r="A1716" s="4" t="s">
        <v>82</v>
      </c>
      <c r="B1716" s="4"/>
      <c r="C1716" s="4"/>
      <c r="D1716" s="4"/>
      <c r="E1716" s="5"/>
      <c r="F1716" s="5"/>
      <c r="G1716" s="5"/>
      <c r="H1716" s="5"/>
      <c r="I1716" s="47"/>
    </row>
    <row r="1717" spans="1:9" x14ac:dyDescent="0.25">
      <c r="A1717" s="6" t="s">
        <v>0</v>
      </c>
      <c r="B1717" s="7"/>
      <c r="C1717" s="8" t="s">
        <v>83</v>
      </c>
      <c r="D1717" s="8" t="s">
        <v>84</v>
      </c>
      <c r="E1717" s="9" t="s">
        <v>85</v>
      </c>
      <c r="F1717" s="9" t="s">
        <v>86</v>
      </c>
      <c r="G1717" s="9" t="s">
        <v>87</v>
      </c>
      <c r="H1717" s="10"/>
      <c r="I1717" s="47"/>
    </row>
    <row r="1718" spans="1:9" x14ac:dyDescent="0.25">
      <c r="A1718" s="11" t="s">
        <v>88</v>
      </c>
      <c r="B1718" s="12"/>
      <c r="C1718" s="13"/>
      <c r="D1718" s="13"/>
      <c r="E1718" s="14"/>
      <c r="F1718" s="14"/>
      <c r="G1718" s="14">
        <f>ROUND(H1742*0.05,0)+8-16</f>
        <v>996</v>
      </c>
      <c r="H1718" s="15"/>
      <c r="I1718" s="47"/>
    </row>
    <row r="1719" spans="1:9" x14ac:dyDescent="0.25">
      <c r="A1719" s="11" t="s">
        <v>327</v>
      </c>
      <c r="B1719" s="12"/>
      <c r="C1719" s="13"/>
      <c r="D1719" s="13"/>
      <c r="E1719" s="14">
        <v>350000</v>
      </c>
      <c r="F1719" s="14">
        <v>0.02</v>
      </c>
      <c r="G1719" s="14">
        <f>ROUND(E1719*F1719,0)</f>
        <v>7000</v>
      </c>
      <c r="H1719" s="15"/>
      <c r="I1719" s="47"/>
    </row>
    <row r="1720" spans="1:9" x14ac:dyDescent="0.25">
      <c r="A1720" s="11" t="s">
        <v>328</v>
      </c>
      <c r="B1720" s="12"/>
      <c r="C1720" s="13"/>
      <c r="D1720" s="13"/>
      <c r="E1720" s="14">
        <v>50000</v>
      </c>
      <c r="F1720" s="16">
        <v>0.1</v>
      </c>
      <c r="G1720" s="14">
        <f>ROUND(E1720*F1720,0)</f>
        <v>5000</v>
      </c>
      <c r="H1720" s="15"/>
      <c r="I1720" s="47"/>
    </row>
    <row r="1721" spans="1:9" x14ac:dyDescent="0.25">
      <c r="A1721" s="11"/>
      <c r="B1721" s="12"/>
      <c r="C1721" s="13"/>
      <c r="D1721" s="13"/>
      <c r="E1721" s="14"/>
      <c r="F1721" s="14"/>
      <c r="G1721" s="14">
        <f>ROUND(E1721*F1721,0)</f>
        <v>0</v>
      </c>
      <c r="H1721" s="17"/>
      <c r="I1721" s="47"/>
    </row>
    <row r="1722" spans="1:9" x14ac:dyDescent="0.25">
      <c r="A1722" s="18"/>
      <c r="B1722" s="19"/>
      <c r="C1722" s="19"/>
      <c r="D1722" s="19"/>
      <c r="E1722" s="20"/>
      <c r="F1722" s="21" t="s">
        <v>90</v>
      </c>
      <c r="G1722" s="22"/>
      <c r="H1722" s="23">
        <f>SUM(G1718:G1721)</f>
        <v>12996</v>
      </c>
      <c r="I1722" s="220"/>
    </row>
    <row r="1723" spans="1:9" x14ac:dyDescent="0.25">
      <c r="A1723" s="291" t="s">
        <v>91</v>
      </c>
      <c r="B1723" s="228"/>
      <c r="C1723" s="228"/>
      <c r="D1723" s="228"/>
      <c r="E1723" s="47"/>
      <c r="F1723" s="47"/>
      <c r="G1723" s="47"/>
      <c r="H1723" s="233"/>
      <c r="I1723" s="47"/>
    </row>
    <row r="1724" spans="1:9" x14ac:dyDescent="0.25">
      <c r="A1724" s="24" t="s">
        <v>0</v>
      </c>
      <c r="B1724" s="24"/>
      <c r="C1724" s="8" t="s">
        <v>92</v>
      </c>
      <c r="D1724" s="8" t="s">
        <v>93</v>
      </c>
      <c r="E1724" s="9" t="s">
        <v>94</v>
      </c>
      <c r="F1724" s="9" t="s">
        <v>95</v>
      </c>
      <c r="G1724" s="25" t="s">
        <v>96</v>
      </c>
      <c r="H1724" s="10"/>
      <c r="I1724" s="47"/>
    </row>
    <row r="1725" spans="1:9" x14ac:dyDescent="0.25">
      <c r="A1725" s="26" t="s">
        <v>238</v>
      </c>
      <c r="B1725" s="27"/>
      <c r="C1725" s="28" t="s">
        <v>18</v>
      </c>
      <c r="D1725" s="29"/>
      <c r="E1725" s="30">
        <v>1</v>
      </c>
      <c r="F1725" s="74">
        <v>4000</v>
      </c>
      <c r="G1725" s="14">
        <f t="shared" ref="G1725:G1733" si="42">ROUND(E1725*F1725,0)</f>
        <v>4000</v>
      </c>
      <c r="H1725" s="15"/>
      <c r="I1725" s="47"/>
    </row>
    <row r="1726" spans="1:9" x14ac:dyDescent="0.25">
      <c r="A1726" s="26"/>
      <c r="B1726" s="27"/>
      <c r="C1726" s="28"/>
      <c r="D1726" s="31"/>
      <c r="E1726" s="30"/>
      <c r="F1726" s="14"/>
      <c r="G1726" s="14">
        <f t="shared" si="42"/>
        <v>0</v>
      </c>
      <c r="H1726" s="15"/>
      <c r="I1726" s="47"/>
    </row>
    <row r="1727" spans="1:9" x14ac:dyDescent="0.25">
      <c r="A1727" s="32"/>
      <c r="B1727" s="33"/>
      <c r="C1727" s="28"/>
      <c r="D1727" s="29"/>
      <c r="E1727" s="30"/>
      <c r="F1727" s="14"/>
      <c r="G1727" s="14">
        <f t="shared" si="42"/>
        <v>0</v>
      </c>
      <c r="H1727" s="15"/>
      <c r="I1727" s="47"/>
    </row>
    <row r="1728" spans="1:9" x14ac:dyDescent="0.25">
      <c r="A1728" s="11"/>
      <c r="B1728" s="12"/>
      <c r="C1728" s="35"/>
      <c r="D1728" s="31"/>
      <c r="E1728" s="30"/>
      <c r="F1728" s="14"/>
      <c r="G1728" s="14">
        <f t="shared" si="42"/>
        <v>0</v>
      </c>
      <c r="H1728" s="15"/>
      <c r="I1728" s="47"/>
    </row>
    <row r="1729" spans="1:9" hidden="1" x14ac:dyDescent="0.25">
      <c r="A1729" s="11"/>
      <c r="B1729" s="12"/>
      <c r="C1729" s="35"/>
      <c r="D1729" s="34"/>
      <c r="E1729" s="30"/>
      <c r="F1729" s="14"/>
      <c r="G1729" s="14">
        <f t="shared" si="42"/>
        <v>0</v>
      </c>
      <c r="H1729" s="15"/>
      <c r="I1729" s="47"/>
    </row>
    <row r="1730" spans="1:9" hidden="1" x14ac:dyDescent="0.25">
      <c r="A1730" s="11"/>
      <c r="B1730" s="12"/>
      <c r="C1730" s="35"/>
      <c r="D1730" s="31"/>
      <c r="E1730" s="30"/>
      <c r="F1730" s="14"/>
      <c r="G1730" s="14">
        <f t="shared" si="42"/>
        <v>0</v>
      </c>
      <c r="H1730" s="15"/>
      <c r="I1730" s="47"/>
    </row>
    <row r="1731" spans="1:9" hidden="1" x14ac:dyDescent="0.25">
      <c r="A1731" s="11"/>
      <c r="B1731" s="12"/>
      <c r="C1731" s="35"/>
      <c r="D1731" s="34"/>
      <c r="E1731" s="30"/>
      <c r="F1731" s="14"/>
      <c r="G1731" s="14">
        <f t="shared" si="42"/>
        <v>0</v>
      </c>
      <c r="H1731" s="15"/>
      <c r="I1731" s="47"/>
    </row>
    <row r="1732" spans="1:9" hidden="1" x14ac:dyDescent="0.25">
      <c r="A1732" s="11"/>
      <c r="B1732" s="12"/>
      <c r="C1732" s="35"/>
      <c r="D1732" s="31"/>
      <c r="E1732" s="30"/>
      <c r="F1732" s="14"/>
      <c r="G1732" s="14">
        <f t="shared" si="42"/>
        <v>0</v>
      </c>
      <c r="H1732" s="15"/>
      <c r="I1732" s="47"/>
    </row>
    <row r="1733" spans="1:9" x14ac:dyDescent="0.25">
      <c r="A1733" s="11"/>
      <c r="B1733" s="12"/>
      <c r="C1733" s="35"/>
      <c r="D1733" s="31"/>
      <c r="E1733" s="30"/>
      <c r="F1733" s="14"/>
      <c r="G1733" s="14">
        <f t="shared" si="42"/>
        <v>0</v>
      </c>
      <c r="H1733" s="17"/>
      <c r="I1733" s="47"/>
    </row>
    <row r="1734" spans="1:9" x14ac:dyDescent="0.25">
      <c r="A1734" s="291"/>
      <c r="B1734" s="228"/>
      <c r="C1734" s="228"/>
      <c r="D1734" s="228"/>
      <c r="E1734" s="36"/>
      <c r="F1734" s="37" t="s">
        <v>102</v>
      </c>
      <c r="G1734" s="38"/>
      <c r="H1734" s="23">
        <f>SUM(G1725:G1733)</f>
        <v>4000</v>
      </c>
      <c r="I1734" s="220"/>
    </row>
    <row r="1735" spans="1:9" x14ac:dyDescent="0.25">
      <c r="A1735" s="291"/>
      <c r="B1735" s="228"/>
      <c r="C1735" s="228"/>
      <c r="D1735" s="228"/>
      <c r="E1735" s="36"/>
      <c r="F1735" s="39" t="s">
        <v>103</v>
      </c>
      <c r="G1735" s="38"/>
      <c r="H1735" s="23">
        <f>ROUND((D1725*G1725)+(D1726*G1726)+(D1727*G1727)+(D1728*G1728)+(D1729*G1729)+(D1730*G1730)+(D1731*G1731)+(D1732*G1732)+(D1733*G1733),0)</f>
        <v>0</v>
      </c>
      <c r="I1735" s="220"/>
    </row>
    <row r="1736" spans="1:9" x14ac:dyDescent="0.25">
      <c r="A1736" s="291"/>
      <c r="B1736" s="228"/>
      <c r="C1736" s="228"/>
      <c r="D1736" s="228"/>
      <c r="E1736" s="36"/>
      <c r="F1736" s="20" t="s">
        <v>104</v>
      </c>
      <c r="G1736" s="40"/>
      <c r="H1736" s="23">
        <f>SUM(H1734:H1735)</f>
        <v>4000</v>
      </c>
      <c r="I1736" s="220"/>
    </row>
    <row r="1737" spans="1:9" x14ac:dyDescent="0.25">
      <c r="A1737" s="291" t="s">
        <v>105</v>
      </c>
      <c r="B1737" s="228"/>
      <c r="C1737" s="228"/>
      <c r="D1737" s="228"/>
      <c r="E1737" s="47"/>
      <c r="F1737" s="47"/>
      <c r="G1737" s="47"/>
      <c r="H1737" s="233"/>
      <c r="I1737" s="47"/>
    </row>
    <row r="1738" spans="1:9" x14ac:dyDescent="0.25">
      <c r="A1738" s="24" t="s">
        <v>0</v>
      </c>
      <c r="B1738" s="24"/>
      <c r="C1738" s="8" t="s">
        <v>106</v>
      </c>
      <c r="D1738" s="8" t="s">
        <v>107</v>
      </c>
      <c r="E1738" s="9" t="s">
        <v>108</v>
      </c>
      <c r="F1738" s="9" t="s">
        <v>109</v>
      </c>
      <c r="G1738" s="41" t="s">
        <v>96</v>
      </c>
      <c r="H1738" s="10"/>
      <c r="I1738" s="47"/>
    </row>
    <row r="1739" spans="1:9" x14ac:dyDescent="0.25">
      <c r="A1739" s="18" t="s">
        <v>110</v>
      </c>
      <c r="B1739" s="42"/>
      <c r="C1739" s="13">
        <f>104000+26000</f>
        <v>130000</v>
      </c>
      <c r="D1739" s="13">
        <f>+C1739*0.16</f>
        <v>20800</v>
      </c>
      <c r="E1739" s="14">
        <f>C1739+D1739</f>
        <v>150800</v>
      </c>
      <c r="F1739" s="30">
        <v>0.1</v>
      </c>
      <c r="G1739" s="14">
        <f>ROUND(E1739*F1739,0)</f>
        <v>15080</v>
      </c>
      <c r="H1739" s="15"/>
      <c r="I1739" s="47"/>
    </row>
    <row r="1740" spans="1:9" x14ac:dyDescent="0.25">
      <c r="A1740" s="18" t="s">
        <v>111</v>
      </c>
      <c r="B1740" s="42"/>
      <c r="C1740" s="13">
        <f>60400+25850</f>
        <v>86250</v>
      </c>
      <c r="D1740" s="13">
        <f>+C1740*0.16</f>
        <v>13800</v>
      </c>
      <c r="E1740" s="14">
        <f>C1740+D1740</f>
        <v>100050</v>
      </c>
      <c r="F1740" s="30">
        <v>0.05</v>
      </c>
      <c r="G1740" s="14">
        <f>ROUND(E1740*F1740,0)</f>
        <v>5003</v>
      </c>
      <c r="H1740" s="15"/>
      <c r="I1740" s="47"/>
    </row>
    <row r="1741" spans="1:9" x14ac:dyDescent="0.25">
      <c r="A1741" s="18"/>
      <c r="B1741" s="42"/>
      <c r="C1741" s="43"/>
      <c r="D1741" s="43"/>
      <c r="E1741" s="44">
        <f>C1741+D1741</f>
        <v>0</v>
      </c>
      <c r="F1741" s="45"/>
      <c r="G1741" s="14">
        <f>ROUND(E1741*F1741,0)</f>
        <v>0</v>
      </c>
      <c r="H1741" s="15"/>
      <c r="I1741" s="47"/>
    </row>
    <row r="1742" spans="1:9" x14ac:dyDescent="0.25">
      <c r="A1742" s="291"/>
      <c r="B1742" s="228"/>
      <c r="C1742" s="228"/>
      <c r="D1742" s="228"/>
      <c r="E1742" s="277" t="s">
        <v>112</v>
      </c>
      <c r="F1742" s="277"/>
      <c r="G1742" s="277"/>
      <c r="H1742" s="23">
        <f>SUM(G1739:G1741)</f>
        <v>20083</v>
      </c>
      <c r="I1742" s="220"/>
    </row>
    <row r="1743" spans="1:9" x14ac:dyDescent="0.25">
      <c r="A1743" s="291"/>
      <c r="B1743" s="228"/>
      <c r="C1743" s="228"/>
      <c r="D1743" s="228"/>
      <c r="E1743" s="47"/>
      <c r="F1743" s="47"/>
      <c r="G1743" s="47"/>
      <c r="H1743" s="233"/>
      <c r="I1743" s="47"/>
    </row>
    <row r="1744" spans="1:9" x14ac:dyDescent="0.25">
      <c r="A1744" s="18"/>
      <c r="B1744" s="19"/>
      <c r="C1744" s="19"/>
      <c r="D1744" s="19"/>
      <c r="E1744" s="48" t="s">
        <v>113</v>
      </c>
      <c r="F1744" s="48"/>
      <c r="G1744" s="48"/>
      <c r="H1744" s="25">
        <f>H1742+H1736+H1722</f>
        <v>37079</v>
      </c>
      <c r="I1744" s="222"/>
    </row>
    <row r="1745" spans="1:9" x14ac:dyDescent="0.25">
      <c r="A1745" s="291"/>
      <c r="B1745" s="228"/>
      <c r="C1745" s="228"/>
      <c r="D1745" s="228"/>
      <c r="E1745" s="47"/>
      <c r="F1745" s="47"/>
      <c r="G1745" s="47"/>
      <c r="H1745" s="233"/>
      <c r="I1745" s="47"/>
    </row>
    <row r="1746" spans="1:9" x14ac:dyDescent="0.25">
      <c r="A1746" s="291" t="s">
        <v>114</v>
      </c>
      <c r="B1746" s="228"/>
      <c r="C1746" s="228"/>
      <c r="D1746" s="228"/>
      <c r="E1746" s="47"/>
      <c r="F1746" s="47"/>
      <c r="G1746" s="47"/>
      <c r="H1746" s="233"/>
      <c r="I1746" s="47"/>
    </row>
    <row r="1747" spans="1:9" x14ac:dyDescent="0.25">
      <c r="A1747" s="6" t="s">
        <v>0</v>
      </c>
      <c r="B1747" s="49"/>
      <c r="C1747" s="49"/>
      <c r="D1747" s="49"/>
      <c r="E1747" s="50"/>
      <c r="F1747" s="9" t="s">
        <v>115</v>
      </c>
      <c r="G1747" s="41" t="s">
        <v>116</v>
      </c>
      <c r="H1747" s="10"/>
      <c r="I1747" s="47"/>
    </row>
    <row r="1748" spans="1:9" x14ac:dyDescent="0.25">
      <c r="A1748" s="11" t="s">
        <v>117</v>
      </c>
      <c r="B1748" s="51"/>
      <c r="C1748" s="51"/>
      <c r="D1748" s="51"/>
      <c r="E1748" s="52"/>
      <c r="F1748" s="53"/>
      <c r="G1748" s="14">
        <f>F1748*H1744</f>
        <v>0</v>
      </c>
      <c r="H1748" s="15"/>
      <c r="I1748" s="47"/>
    </row>
    <row r="1749" spans="1:9" x14ac:dyDescent="0.25">
      <c r="A1749" s="11"/>
      <c r="B1749" s="51"/>
      <c r="C1749" s="51"/>
      <c r="D1749" s="51"/>
      <c r="E1749" s="52"/>
      <c r="F1749" s="53"/>
      <c r="G1749" s="14">
        <f>F1749*H1744</f>
        <v>0</v>
      </c>
      <c r="H1749" s="15"/>
      <c r="I1749" s="47"/>
    </row>
    <row r="1750" spans="1:9" x14ac:dyDescent="0.25">
      <c r="A1750" s="11"/>
      <c r="B1750" s="51"/>
      <c r="C1750" s="51"/>
      <c r="D1750" s="51"/>
      <c r="E1750" s="52"/>
      <c r="F1750" s="53"/>
      <c r="G1750" s="14">
        <f>F1750*H1744</f>
        <v>0</v>
      </c>
      <c r="H1750" s="17"/>
      <c r="I1750" s="47"/>
    </row>
    <row r="1751" spans="1:9" x14ac:dyDescent="0.25">
      <c r="A1751" s="4"/>
      <c r="B1751" s="4"/>
      <c r="C1751" s="4"/>
      <c r="D1751" s="4"/>
      <c r="E1751" s="46" t="s">
        <v>118</v>
      </c>
      <c r="F1751" s="46"/>
      <c r="G1751" s="46"/>
      <c r="H1751" s="36">
        <f>SUM(G1748:G1750)</f>
        <v>0</v>
      </c>
      <c r="I1751" s="220"/>
    </row>
    <row r="1752" spans="1:9" ht="15.75" thickBot="1" x14ac:dyDescent="0.3">
      <c r="A1752" s="4"/>
      <c r="B1752" s="4"/>
      <c r="C1752" s="4"/>
      <c r="D1752" s="4"/>
      <c r="E1752" s="5"/>
      <c r="F1752" s="5"/>
      <c r="G1752" s="5"/>
      <c r="H1752" s="5"/>
      <c r="I1752" s="47"/>
    </row>
    <row r="1753" spans="1:9" ht="15.75" thickBot="1" x14ac:dyDescent="0.3">
      <c r="A1753" s="4"/>
      <c r="B1753" s="4"/>
      <c r="C1753" s="4"/>
      <c r="D1753" s="4"/>
      <c r="E1753" s="54"/>
      <c r="F1753" s="54" t="s">
        <v>119</v>
      </c>
      <c r="G1753" s="54"/>
      <c r="H1753" s="240">
        <f>SUM(H1751+H1744)</f>
        <v>37079</v>
      </c>
      <c r="I1753" s="112"/>
    </row>
    <row r="1754" spans="1:9" x14ac:dyDescent="0.25">
      <c r="A1754" s="4"/>
      <c r="B1754" s="4"/>
      <c r="C1754" s="4"/>
      <c r="D1754" s="4"/>
      <c r="E1754" s="54"/>
      <c r="F1754" s="54"/>
      <c r="G1754" s="54"/>
      <c r="H1754" s="112"/>
      <c r="I1754" s="112"/>
    </row>
    <row r="1755" spans="1:9" hidden="1" x14ac:dyDescent="0.25">
      <c r="A1755" s="4"/>
      <c r="B1755" s="4"/>
      <c r="C1755" s="4"/>
      <c r="D1755" s="4"/>
      <c r="E1755" s="54"/>
      <c r="F1755" s="54"/>
      <c r="G1755" s="54"/>
      <c r="H1755" s="112"/>
      <c r="I1755" s="112"/>
    </row>
    <row r="1756" spans="1:9" hidden="1" x14ac:dyDescent="0.25">
      <c r="A1756" s="4"/>
      <c r="B1756" s="4"/>
      <c r="C1756" s="4"/>
      <c r="D1756" s="4"/>
      <c r="E1756" s="54"/>
      <c r="F1756" s="54"/>
      <c r="G1756" s="54"/>
      <c r="H1756" s="112"/>
      <c r="I1756" s="112"/>
    </row>
    <row r="1757" spans="1:9" hidden="1" x14ac:dyDescent="0.25">
      <c r="A1757" s="4"/>
      <c r="B1757" s="4"/>
      <c r="C1757" s="4"/>
      <c r="D1757" s="4"/>
      <c r="E1757" s="54"/>
      <c r="F1757" s="54"/>
      <c r="G1757" s="54"/>
      <c r="H1757" s="112"/>
      <c r="I1757" s="112"/>
    </row>
    <row r="1758" spans="1:9" hidden="1" x14ac:dyDescent="0.25">
      <c r="A1758" s="4"/>
      <c r="B1758" s="4"/>
      <c r="C1758" s="4"/>
      <c r="D1758" s="4"/>
      <c r="E1758" s="54"/>
      <c r="F1758" s="54"/>
      <c r="G1758" s="54"/>
      <c r="H1758" s="112"/>
      <c r="I1758" s="112"/>
    </row>
    <row r="1759" spans="1:9" hidden="1" x14ac:dyDescent="0.25">
      <c r="A1759" s="4"/>
      <c r="B1759" s="4"/>
      <c r="C1759" s="4"/>
      <c r="D1759" s="4"/>
      <c r="E1759" s="54"/>
      <c r="F1759" s="54"/>
      <c r="G1759" s="54"/>
      <c r="H1759" s="112"/>
      <c r="I1759" s="112"/>
    </row>
    <row r="1760" spans="1:9" hidden="1" x14ac:dyDescent="0.25">
      <c r="A1760" s="4"/>
      <c r="B1760" s="4"/>
      <c r="C1760" s="4"/>
      <c r="D1760" s="4"/>
      <c r="E1760" s="54"/>
      <c r="F1760" s="54"/>
      <c r="G1760" s="54"/>
      <c r="H1760" s="112"/>
      <c r="I1760" s="112"/>
    </row>
    <row r="1761" spans="1:9" hidden="1" x14ac:dyDescent="0.25">
      <c r="A1761" s="4"/>
      <c r="B1761" s="4"/>
      <c r="C1761" s="4"/>
      <c r="D1761" s="4"/>
      <c r="E1761" s="54"/>
      <c r="F1761" s="54"/>
      <c r="G1761" s="54"/>
      <c r="H1761" s="112"/>
      <c r="I1761" s="112"/>
    </row>
    <row r="1762" spans="1:9" hidden="1" x14ac:dyDescent="0.25">
      <c r="A1762" s="4"/>
      <c r="B1762" s="4"/>
      <c r="C1762" s="4"/>
      <c r="D1762" s="4"/>
      <c r="E1762" s="54"/>
      <c r="F1762" s="54"/>
      <c r="G1762" s="54"/>
      <c r="H1762" s="112"/>
      <c r="I1762" s="112"/>
    </row>
    <row r="1763" spans="1:9" x14ac:dyDescent="0.25">
      <c r="A1763" s="4"/>
      <c r="B1763" s="4"/>
      <c r="C1763" s="4"/>
      <c r="D1763" s="4"/>
      <c r="E1763" s="54"/>
      <c r="F1763" s="54"/>
      <c r="G1763" s="54"/>
      <c r="H1763" s="112"/>
      <c r="I1763" s="112"/>
    </row>
    <row r="1764" spans="1:9" x14ac:dyDescent="0.25">
      <c r="A1764" s="4"/>
      <c r="B1764" s="4"/>
      <c r="C1764" s="4"/>
      <c r="D1764" s="4"/>
      <c r="E1764" s="54"/>
      <c r="F1764" s="54"/>
      <c r="G1764" s="54"/>
      <c r="H1764" s="112"/>
      <c r="I1764" s="112"/>
    </row>
    <row r="1765" spans="1:9" hidden="1" x14ac:dyDescent="0.25">
      <c r="A1765" s="4"/>
      <c r="B1765" s="4"/>
      <c r="C1765" s="4"/>
      <c r="D1765" s="4"/>
      <c r="E1765" s="54"/>
      <c r="F1765" s="54"/>
      <c r="G1765" s="54"/>
      <c r="H1765" s="112"/>
      <c r="I1765" s="112"/>
    </row>
    <row r="1766" spans="1:9" hidden="1" x14ac:dyDescent="0.25">
      <c r="A1766" s="4"/>
      <c r="B1766" s="4"/>
      <c r="C1766" s="4"/>
      <c r="D1766" s="4"/>
      <c r="E1766" s="54"/>
      <c r="F1766" s="54"/>
      <c r="G1766" s="54"/>
      <c r="H1766" s="112"/>
      <c r="I1766" s="112"/>
    </row>
    <row r="1767" spans="1:9" hidden="1" x14ac:dyDescent="0.25">
      <c r="A1767" s="4"/>
      <c r="B1767" s="4"/>
      <c r="C1767" s="4"/>
      <c r="D1767" s="4"/>
      <c r="E1767" s="54"/>
      <c r="F1767" s="54"/>
      <c r="G1767" s="54"/>
      <c r="H1767" s="112"/>
      <c r="I1767" s="112"/>
    </row>
    <row r="1768" spans="1:9" hidden="1" x14ac:dyDescent="0.25">
      <c r="A1768" s="4"/>
      <c r="B1768" s="4"/>
      <c r="C1768" s="4"/>
      <c r="D1768" s="4"/>
      <c r="E1768" s="54"/>
      <c r="F1768" s="54"/>
      <c r="G1768" s="54"/>
      <c r="H1768" s="112"/>
      <c r="I1768" s="112"/>
    </row>
    <row r="1771" spans="1:9" x14ac:dyDescent="0.25">
      <c r="A1771" s="412" t="s">
        <v>79</v>
      </c>
      <c r="B1771" s="412"/>
      <c r="C1771" s="412"/>
      <c r="D1771" s="412"/>
      <c r="E1771" s="412"/>
      <c r="F1771" s="412"/>
      <c r="G1771" s="412"/>
      <c r="H1771" s="412"/>
      <c r="I1771" s="250"/>
    </row>
    <row r="1772" spans="1:9" x14ac:dyDescent="0.25">
      <c r="A1772" s="4"/>
      <c r="B1772" s="4"/>
      <c r="C1772" s="4"/>
      <c r="D1772" s="4"/>
      <c r="E1772" s="5"/>
      <c r="F1772" s="5"/>
      <c r="G1772" s="411" t="s">
        <v>326</v>
      </c>
      <c r="H1772" s="411"/>
      <c r="I1772" s="251"/>
    </row>
    <row r="1773" spans="1:9" ht="45.75" customHeight="1" x14ac:dyDescent="0.25">
      <c r="A1773" s="434" t="s">
        <v>448</v>
      </c>
      <c r="B1773" s="434"/>
      <c r="C1773" s="434"/>
      <c r="D1773" s="434"/>
      <c r="E1773" s="434"/>
      <c r="F1773" s="434"/>
      <c r="G1773" s="434"/>
      <c r="H1773" s="434"/>
      <c r="I1773" s="252"/>
    </row>
    <row r="1774" spans="1:9" x14ac:dyDescent="0.25">
      <c r="A1774" s="4"/>
      <c r="B1774" s="4"/>
      <c r="C1774" s="4"/>
      <c r="D1774" s="4"/>
      <c r="E1774" s="5"/>
      <c r="F1774" s="5"/>
      <c r="G1774" s="414" t="s">
        <v>215</v>
      </c>
      <c r="H1774" s="414"/>
      <c r="I1774" s="253"/>
    </row>
    <row r="1775" spans="1:9" x14ac:dyDescent="0.25">
      <c r="A1775" s="4" t="s">
        <v>82</v>
      </c>
      <c r="B1775" s="4"/>
      <c r="C1775" s="4"/>
      <c r="D1775" s="4"/>
      <c r="E1775" s="5"/>
      <c r="F1775" s="5"/>
      <c r="G1775" s="5"/>
      <c r="H1775" s="5"/>
      <c r="I1775" s="47"/>
    </row>
    <row r="1776" spans="1:9" x14ac:dyDescent="0.25">
      <c r="A1776" s="6" t="s">
        <v>0</v>
      </c>
      <c r="B1776" s="7"/>
      <c r="C1776" s="8" t="s">
        <v>83</v>
      </c>
      <c r="D1776" s="8" t="s">
        <v>84</v>
      </c>
      <c r="E1776" s="9" t="s">
        <v>85</v>
      </c>
      <c r="F1776" s="9" t="s">
        <v>86</v>
      </c>
      <c r="G1776" s="9" t="s">
        <v>87</v>
      </c>
      <c r="H1776" s="10"/>
      <c r="I1776" s="47"/>
    </row>
    <row r="1777" spans="1:9" x14ac:dyDescent="0.25">
      <c r="A1777" s="11" t="s">
        <v>88</v>
      </c>
      <c r="B1777" s="12"/>
      <c r="C1777" s="13"/>
      <c r="D1777" s="13"/>
      <c r="E1777" s="14"/>
      <c r="F1777" s="14"/>
      <c r="G1777" s="14">
        <f>ROUND(H1801*0.05,0)+8-16</f>
        <v>12535</v>
      </c>
      <c r="H1777" s="15"/>
      <c r="I1777" s="47"/>
    </row>
    <row r="1778" spans="1:9" x14ac:dyDescent="0.25">
      <c r="A1778" s="11" t="s">
        <v>327</v>
      </c>
      <c r="B1778" s="12"/>
      <c r="C1778" s="13"/>
      <c r="D1778" s="13"/>
      <c r="E1778" s="14">
        <v>350000</v>
      </c>
      <c r="F1778" s="14">
        <v>0.1</v>
      </c>
      <c r="G1778" s="14">
        <f>ROUND(E1778*F1778,0)</f>
        <v>35000</v>
      </c>
      <c r="H1778" s="15"/>
      <c r="I1778" s="47"/>
    </row>
    <row r="1779" spans="1:9" x14ac:dyDescent="0.25">
      <c r="A1779" s="11" t="s">
        <v>221</v>
      </c>
      <c r="B1779" s="12"/>
      <c r="C1779" s="13"/>
      <c r="D1779" s="13"/>
      <c r="E1779" s="14">
        <v>7000</v>
      </c>
      <c r="F1779" s="16">
        <v>13</v>
      </c>
      <c r="G1779" s="14">
        <f>ROUND(E1779*F1779,0)</f>
        <v>91000</v>
      </c>
      <c r="H1779" s="15"/>
      <c r="I1779" s="47"/>
    </row>
    <row r="1780" spans="1:9" x14ac:dyDescent="0.25">
      <c r="A1780" s="11" t="s">
        <v>328</v>
      </c>
      <c r="B1780" s="12"/>
      <c r="C1780" s="13"/>
      <c r="D1780" s="13"/>
      <c r="E1780" s="14">
        <v>50000</v>
      </c>
      <c r="F1780" s="14">
        <v>1</v>
      </c>
      <c r="G1780" s="14">
        <f>ROUND(E1780*F1780,0)</f>
        <v>50000</v>
      </c>
      <c r="H1780" s="17"/>
      <c r="I1780" s="47"/>
    </row>
    <row r="1781" spans="1:9" x14ac:dyDescent="0.25">
      <c r="A1781" s="18"/>
      <c r="B1781" s="19"/>
      <c r="C1781" s="19"/>
      <c r="D1781" s="19"/>
      <c r="E1781" s="20"/>
      <c r="F1781" s="21" t="s">
        <v>90</v>
      </c>
      <c r="G1781" s="22"/>
      <c r="H1781" s="23">
        <f>SUM(G1777:G1780)</f>
        <v>188535</v>
      </c>
      <c r="I1781" s="220"/>
    </row>
    <row r="1782" spans="1:9" x14ac:dyDescent="0.25">
      <c r="A1782" s="291" t="s">
        <v>91</v>
      </c>
      <c r="B1782" s="228"/>
      <c r="C1782" s="228"/>
      <c r="D1782" s="228"/>
      <c r="E1782" s="47"/>
      <c r="F1782" s="47"/>
      <c r="G1782" s="47"/>
      <c r="H1782" s="233"/>
      <c r="I1782" s="47"/>
    </row>
    <row r="1783" spans="1:9" x14ac:dyDescent="0.25">
      <c r="A1783" s="24" t="s">
        <v>0</v>
      </c>
      <c r="B1783" s="24"/>
      <c r="C1783" s="8" t="s">
        <v>92</v>
      </c>
      <c r="D1783" s="8" t="s">
        <v>93</v>
      </c>
      <c r="E1783" s="9" t="s">
        <v>94</v>
      </c>
      <c r="F1783" s="9" t="s">
        <v>95</v>
      </c>
      <c r="G1783" s="25" t="s">
        <v>96</v>
      </c>
      <c r="H1783" s="10"/>
      <c r="I1783" s="47"/>
    </row>
    <row r="1784" spans="1:9" ht="45" customHeight="1" x14ac:dyDescent="0.25">
      <c r="A1784" s="420" t="s">
        <v>239</v>
      </c>
      <c r="B1784" s="421"/>
      <c r="C1784" s="59" t="s">
        <v>18</v>
      </c>
      <c r="D1784" s="60"/>
      <c r="E1784" s="61">
        <v>2</v>
      </c>
      <c r="F1784" s="62">
        <f>289900*1.3</f>
        <v>376870</v>
      </c>
      <c r="G1784" s="62">
        <f t="shared" ref="G1784:G1792" si="43">ROUND(E1784*F1784,0)</f>
        <v>753740</v>
      </c>
      <c r="H1784" s="15"/>
      <c r="I1784" s="47"/>
    </row>
    <row r="1785" spans="1:9" ht="43.15" customHeight="1" x14ac:dyDescent="0.25">
      <c r="A1785" s="420" t="s">
        <v>240</v>
      </c>
      <c r="B1785" s="421"/>
      <c r="C1785" s="59" t="s">
        <v>18</v>
      </c>
      <c r="D1785" s="65"/>
      <c r="E1785" s="61">
        <v>2</v>
      </c>
      <c r="F1785" s="62">
        <v>215000</v>
      </c>
      <c r="G1785" s="62">
        <f t="shared" si="43"/>
        <v>430000</v>
      </c>
      <c r="H1785" s="15"/>
      <c r="I1785" s="47"/>
    </row>
    <row r="1786" spans="1:9" ht="42.6" customHeight="1" x14ac:dyDescent="0.25">
      <c r="A1786" s="420" t="s">
        <v>241</v>
      </c>
      <c r="B1786" s="421"/>
      <c r="C1786" s="59" t="s">
        <v>18</v>
      </c>
      <c r="D1786" s="65"/>
      <c r="E1786" s="61">
        <v>2</v>
      </c>
      <c r="F1786" s="62">
        <f>89900*1.3</f>
        <v>116870</v>
      </c>
      <c r="G1786" s="62">
        <f t="shared" si="43"/>
        <v>233740</v>
      </c>
      <c r="H1786" s="15"/>
      <c r="I1786" s="47"/>
    </row>
    <row r="1787" spans="1:9" ht="28.15" customHeight="1" x14ac:dyDescent="0.25">
      <c r="A1787" s="420" t="s">
        <v>242</v>
      </c>
      <c r="B1787" s="421"/>
      <c r="C1787" s="59" t="s">
        <v>18</v>
      </c>
      <c r="D1787" s="65"/>
      <c r="E1787" s="61">
        <v>2</v>
      </c>
      <c r="F1787" s="62">
        <f>23900*1.3</f>
        <v>31070</v>
      </c>
      <c r="G1787" s="62">
        <f t="shared" si="43"/>
        <v>62140</v>
      </c>
      <c r="H1787" s="15"/>
      <c r="I1787" s="47"/>
    </row>
    <row r="1788" spans="1:9" ht="44.45" customHeight="1" x14ac:dyDescent="0.25">
      <c r="A1788" s="420" t="s">
        <v>243</v>
      </c>
      <c r="B1788" s="421"/>
      <c r="C1788" s="59" t="s">
        <v>18</v>
      </c>
      <c r="D1788" s="65"/>
      <c r="E1788" s="61">
        <v>2</v>
      </c>
      <c r="F1788" s="62">
        <f>69900*1.3</f>
        <v>90870</v>
      </c>
      <c r="G1788" s="62">
        <f t="shared" si="43"/>
        <v>181740</v>
      </c>
      <c r="H1788" s="15"/>
      <c r="I1788" s="47"/>
    </row>
    <row r="1789" spans="1:9" ht="28.9" hidden="1" customHeight="1" x14ac:dyDescent="0.25">
      <c r="A1789" s="458"/>
      <c r="B1789" s="459"/>
      <c r="C1789" s="59"/>
      <c r="D1789" s="65"/>
      <c r="E1789" s="61"/>
      <c r="F1789" s="62"/>
      <c r="G1789" s="62">
        <f t="shared" si="43"/>
        <v>0</v>
      </c>
      <c r="H1789" s="15"/>
      <c r="I1789" s="47"/>
    </row>
    <row r="1790" spans="1:9" hidden="1" x14ac:dyDescent="0.25">
      <c r="A1790" s="11"/>
      <c r="B1790" s="12"/>
      <c r="C1790" s="35"/>
      <c r="D1790" s="34"/>
      <c r="E1790" s="30"/>
      <c r="F1790" s="14"/>
      <c r="G1790" s="14">
        <f t="shared" si="43"/>
        <v>0</v>
      </c>
      <c r="H1790" s="15"/>
      <c r="I1790" s="47"/>
    </row>
    <row r="1791" spans="1:9" hidden="1" x14ac:dyDescent="0.25">
      <c r="A1791" s="11"/>
      <c r="B1791" s="12"/>
      <c r="C1791" s="35"/>
      <c r="D1791" s="31"/>
      <c r="E1791" s="30"/>
      <c r="F1791" s="14"/>
      <c r="G1791" s="14">
        <f t="shared" si="43"/>
        <v>0</v>
      </c>
      <c r="H1791" s="15"/>
      <c r="I1791" s="47"/>
    </row>
    <row r="1792" spans="1:9" hidden="1" x14ac:dyDescent="0.25">
      <c r="A1792" s="11"/>
      <c r="B1792" s="12"/>
      <c r="C1792" s="35"/>
      <c r="D1792" s="31"/>
      <c r="E1792" s="30"/>
      <c r="F1792" s="14"/>
      <c r="G1792" s="14">
        <f t="shared" si="43"/>
        <v>0</v>
      </c>
      <c r="H1792" s="17"/>
      <c r="I1792" s="47"/>
    </row>
    <row r="1793" spans="1:9" x14ac:dyDescent="0.25">
      <c r="A1793" s="291"/>
      <c r="B1793" s="228"/>
      <c r="C1793" s="228"/>
      <c r="D1793" s="228"/>
      <c r="E1793" s="36"/>
      <c r="F1793" s="37" t="s">
        <v>102</v>
      </c>
      <c r="G1793" s="38"/>
      <c r="H1793" s="23">
        <f>SUM(G1784:G1792)</f>
        <v>1661360</v>
      </c>
      <c r="I1793" s="220"/>
    </row>
    <row r="1794" spans="1:9" x14ac:dyDescent="0.25">
      <c r="A1794" s="291"/>
      <c r="B1794" s="228"/>
      <c r="C1794" s="228"/>
      <c r="D1794" s="228"/>
      <c r="E1794" s="36"/>
      <c r="F1794" s="39" t="s">
        <v>103</v>
      </c>
      <c r="G1794" s="38"/>
      <c r="H1794" s="23">
        <f>ROUND((D1784*G1784)+(D1785*G1785)+(D1786*G1786)+(D1787*G1787)+(D1788*G1788)+(D1789*G1789)+(D1790*G1790)+(D1791*G1791)+(D1792*G1792),0)</f>
        <v>0</v>
      </c>
      <c r="I1794" s="220"/>
    </row>
    <row r="1795" spans="1:9" x14ac:dyDescent="0.25">
      <c r="A1795" s="291"/>
      <c r="B1795" s="228"/>
      <c r="C1795" s="228"/>
      <c r="D1795" s="228"/>
      <c r="E1795" s="36"/>
      <c r="F1795" s="20" t="s">
        <v>104</v>
      </c>
      <c r="G1795" s="40"/>
      <c r="H1795" s="23">
        <f>SUM(H1793:H1794)</f>
        <v>1661360</v>
      </c>
      <c r="I1795" s="220"/>
    </row>
    <row r="1796" spans="1:9" x14ac:dyDescent="0.25">
      <c r="A1796" s="291" t="s">
        <v>105</v>
      </c>
      <c r="B1796" s="228"/>
      <c r="C1796" s="228"/>
      <c r="D1796" s="228"/>
      <c r="E1796" s="47"/>
      <c r="F1796" s="47"/>
      <c r="G1796" s="47"/>
      <c r="H1796" s="233"/>
      <c r="I1796" s="47"/>
    </row>
    <row r="1797" spans="1:9" x14ac:dyDescent="0.25">
      <c r="A1797" s="24" t="s">
        <v>0</v>
      </c>
      <c r="B1797" s="24"/>
      <c r="C1797" s="8" t="s">
        <v>106</v>
      </c>
      <c r="D1797" s="8" t="s">
        <v>107</v>
      </c>
      <c r="E1797" s="9" t="s">
        <v>108</v>
      </c>
      <c r="F1797" s="9" t="s">
        <v>109</v>
      </c>
      <c r="G1797" s="41" t="s">
        <v>96</v>
      </c>
      <c r="H1797" s="10"/>
      <c r="I1797" s="47"/>
    </row>
    <row r="1798" spans="1:9" x14ac:dyDescent="0.25">
      <c r="A1798" s="18" t="s">
        <v>110</v>
      </c>
      <c r="B1798" s="42"/>
      <c r="C1798" s="13">
        <f>104000+26000</f>
        <v>130000</v>
      </c>
      <c r="D1798" s="13">
        <f>+C1798*0.16</f>
        <v>20800</v>
      </c>
      <c r="E1798" s="14">
        <f>C1798+D1798</f>
        <v>150800</v>
      </c>
      <c r="F1798" s="30">
        <v>1</v>
      </c>
      <c r="G1798" s="14">
        <f>ROUND(E1798*F1798,0)</f>
        <v>150800</v>
      </c>
      <c r="H1798" s="15"/>
      <c r="I1798" s="47"/>
    </row>
    <row r="1799" spans="1:9" x14ac:dyDescent="0.25">
      <c r="A1799" s="18" t="s">
        <v>111</v>
      </c>
      <c r="B1799" s="42"/>
      <c r="C1799" s="13">
        <f>60400+25850</f>
        <v>86250</v>
      </c>
      <c r="D1799" s="13">
        <f>+C1799*0.16</f>
        <v>13800</v>
      </c>
      <c r="E1799" s="14">
        <f>C1799+D1799</f>
        <v>100050</v>
      </c>
      <c r="F1799" s="30">
        <v>1</v>
      </c>
      <c r="G1799" s="14">
        <f>ROUND(E1799*F1799,0)</f>
        <v>100050</v>
      </c>
      <c r="H1799" s="15"/>
      <c r="I1799" s="47"/>
    </row>
    <row r="1800" spans="1:9" x14ac:dyDescent="0.25">
      <c r="A1800" s="18"/>
      <c r="B1800" s="42"/>
      <c r="C1800" s="43"/>
      <c r="D1800" s="43"/>
      <c r="E1800" s="44">
        <f>C1800+D1800</f>
        <v>0</v>
      </c>
      <c r="F1800" s="45"/>
      <c r="G1800" s="14">
        <f>ROUND(E1800*F1800,0)</f>
        <v>0</v>
      </c>
      <c r="H1800" s="17"/>
      <c r="I1800" s="47"/>
    </row>
    <row r="1801" spans="1:9" x14ac:dyDescent="0.25">
      <c r="A1801" s="4"/>
      <c r="B1801" s="4"/>
      <c r="C1801" s="4"/>
      <c r="D1801" s="4"/>
      <c r="E1801" s="46" t="s">
        <v>112</v>
      </c>
      <c r="F1801" s="46"/>
      <c r="G1801" s="46"/>
      <c r="H1801" s="36">
        <f>SUM(G1798:G1800)</f>
        <v>250850</v>
      </c>
      <c r="I1801" s="220"/>
    </row>
    <row r="1802" spans="1:9" x14ac:dyDescent="0.25">
      <c r="A1802" s="4"/>
      <c r="B1802" s="4"/>
      <c r="C1802" s="4"/>
      <c r="D1802" s="4"/>
      <c r="E1802" s="5"/>
      <c r="F1802" s="5"/>
      <c r="G1802" s="5"/>
      <c r="H1802" s="47"/>
      <c r="I1802" s="47"/>
    </row>
    <row r="1803" spans="1:9" x14ac:dyDescent="0.25">
      <c r="A1803" s="18"/>
      <c r="B1803" s="19"/>
      <c r="C1803" s="19"/>
      <c r="D1803" s="19"/>
      <c r="E1803" s="48" t="s">
        <v>113</v>
      </c>
      <c r="F1803" s="48"/>
      <c r="G1803" s="48"/>
      <c r="H1803" s="239">
        <f>H1801+H1795+H1781</f>
        <v>2100745</v>
      </c>
      <c r="I1803" s="222"/>
    </row>
    <row r="1804" spans="1:9" x14ac:dyDescent="0.25">
      <c r="A1804" s="4"/>
      <c r="B1804" s="4"/>
      <c r="C1804" s="4"/>
      <c r="D1804" s="4"/>
      <c r="E1804" s="5"/>
      <c r="F1804" s="5"/>
      <c r="G1804" s="5"/>
      <c r="H1804" s="5"/>
      <c r="I1804" s="47"/>
    </row>
    <row r="1805" spans="1:9" x14ac:dyDescent="0.25">
      <c r="A1805" s="4" t="s">
        <v>114</v>
      </c>
      <c r="B1805" s="4"/>
      <c r="C1805" s="4"/>
      <c r="D1805" s="4"/>
      <c r="E1805" s="5"/>
      <c r="F1805" s="5"/>
      <c r="G1805" s="5"/>
      <c r="H1805" s="5"/>
      <c r="I1805" s="47"/>
    </row>
    <row r="1806" spans="1:9" x14ac:dyDescent="0.25">
      <c r="A1806" s="6" t="s">
        <v>0</v>
      </c>
      <c r="B1806" s="49"/>
      <c r="C1806" s="49"/>
      <c r="D1806" s="49"/>
      <c r="E1806" s="50"/>
      <c r="F1806" s="9" t="s">
        <v>115</v>
      </c>
      <c r="G1806" s="41" t="s">
        <v>116</v>
      </c>
      <c r="H1806" s="235"/>
      <c r="I1806" s="47"/>
    </row>
    <row r="1807" spans="1:9" x14ac:dyDescent="0.25">
      <c r="A1807" s="11" t="s">
        <v>117</v>
      </c>
      <c r="B1807" s="51"/>
      <c r="C1807" s="51"/>
      <c r="D1807" s="51"/>
      <c r="E1807" s="52"/>
      <c r="F1807" s="53"/>
      <c r="G1807" s="14">
        <f>F1807*H1803</f>
        <v>0</v>
      </c>
      <c r="H1807" s="236"/>
      <c r="I1807" s="47"/>
    </row>
    <row r="1808" spans="1:9" hidden="1" x14ac:dyDescent="0.25">
      <c r="A1808" s="11"/>
      <c r="B1808" s="51"/>
      <c r="C1808" s="51"/>
      <c r="D1808" s="51"/>
      <c r="E1808" s="52"/>
      <c r="F1808" s="53"/>
      <c r="G1808" s="14">
        <f>F1808*H1803</f>
        <v>0</v>
      </c>
      <c r="H1808" s="236"/>
      <c r="I1808" s="47"/>
    </row>
    <row r="1809" spans="1:9" hidden="1" x14ac:dyDescent="0.25">
      <c r="A1809" s="11"/>
      <c r="B1809" s="51"/>
      <c r="C1809" s="51"/>
      <c r="D1809" s="51"/>
      <c r="E1809" s="52"/>
      <c r="F1809" s="53"/>
      <c r="G1809" s="14">
        <f>F1809*H1803</f>
        <v>0</v>
      </c>
      <c r="H1809" s="237"/>
      <c r="I1809" s="47"/>
    </row>
    <row r="1810" spans="1:9" x14ac:dyDescent="0.25">
      <c r="A1810" s="4"/>
      <c r="B1810" s="4"/>
      <c r="C1810" s="4"/>
      <c r="D1810" s="4"/>
      <c r="E1810" s="46" t="s">
        <v>118</v>
      </c>
      <c r="F1810" s="46"/>
      <c r="G1810" s="46"/>
      <c r="H1810" s="36">
        <f>SUM(G1807:G1809)</f>
        <v>0</v>
      </c>
      <c r="I1810" s="220"/>
    </row>
    <row r="1811" spans="1:9" ht="15.75" thickBot="1" x14ac:dyDescent="0.3">
      <c r="A1811" s="4"/>
      <c r="B1811" s="4"/>
      <c r="C1811" s="4"/>
      <c r="D1811" s="4"/>
      <c r="E1811" s="5"/>
      <c r="F1811" s="5"/>
      <c r="G1811" s="5"/>
      <c r="H1811" s="5"/>
      <c r="I1811" s="47"/>
    </row>
    <row r="1812" spans="1:9" ht="15.75" thickBot="1" x14ac:dyDescent="0.3">
      <c r="A1812" s="4"/>
      <c r="B1812" s="4"/>
      <c r="C1812" s="4"/>
      <c r="D1812" s="4"/>
      <c r="E1812" s="54"/>
      <c r="F1812" s="54" t="s">
        <v>119</v>
      </c>
      <c r="G1812" s="54"/>
      <c r="H1812" s="240">
        <f>SUM(H1810+H1803)</f>
        <v>2100745</v>
      </c>
      <c r="I1812" s="112"/>
    </row>
    <row r="1813" spans="1:9" x14ac:dyDescent="0.25">
      <c r="A1813" s="4"/>
      <c r="B1813" s="4"/>
      <c r="C1813" s="4"/>
      <c r="D1813" s="4"/>
      <c r="E1813" s="54"/>
      <c r="F1813" s="54"/>
      <c r="G1813" s="54"/>
      <c r="H1813" s="112"/>
      <c r="I1813" s="112"/>
    </row>
    <row r="1814" spans="1:9" x14ac:dyDescent="0.25">
      <c r="A1814" s="4"/>
      <c r="B1814" s="4"/>
      <c r="C1814" s="4"/>
      <c r="D1814" s="4"/>
      <c r="E1814" s="54"/>
      <c r="F1814" s="54"/>
      <c r="G1814" s="54"/>
      <c r="H1814" s="112"/>
      <c r="I1814" s="112"/>
    </row>
    <row r="1815" spans="1:9" x14ac:dyDescent="0.25">
      <c r="A1815" s="4"/>
      <c r="B1815" s="4"/>
      <c r="C1815" s="4"/>
      <c r="D1815" s="4"/>
      <c r="E1815" s="54"/>
      <c r="F1815" s="54"/>
      <c r="G1815" s="54"/>
      <c r="H1815" s="112"/>
      <c r="I1815" s="112"/>
    </row>
    <row r="1816" spans="1:9" x14ac:dyDescent="0.25">
      <c r="A1816" s="4"/>
      <c r="B1816" s="4"/>
      <c r="C1816" s="4"/>
      <c r="D1816" s="4"/>
      <c r="E1816" s="54"/>
      <c r="F1816" s="54"/>
      <c r="G1816" s="54"/>
      <c r="H1816" s="112"/>
      <c r="I1816" s="112"/>
    </row>
    <row r="1817" spans="1:9" x14ac:dyDescent="0.25">
      <c r="A1817" s="4"/>
      <c r="B1817" s="4"/>
      <c r="C1817" s="4"/>
      <c r="D1817" s="4"/>
      <c r="E1817" s="54"/>
      <c r="F1817" s="54"/>
      <c r="G1817" s="54"/>
      <c r="H1817" s="112"/>
      <c r="I1817" s="112"/>
    </row>
    <row r="1818" spans="1:9" x14ac:dyDescent="0.25">
      <c r="A1818" s="4"/>
      <c r="B1818" s="4"/>
      <c r="C1818" s="4"/>
      <c r="D1818" s="4"/>
      <c r="E1818" s="54"/>
      <c r="F1818" s="54"/>
      <c r="G1818" s="54"/>
      <c r="H1818" s="112"/>
      <c r="I1818" s="112"/>
    </row>
    <row r="1819" spans="1:9" x14ac:dyDescent="0.25">
      <c r="A1819" s="4"/>
      <c r="B1819" s="4"/>
      <c r="C1819" s="4"/>
      <c r="D1819" s="4"/>
      <c r="E1819" s="54"/>
      <c r="F1819" s="54"/>
      <c r="G1819" s="54"/>
      <c r="H1819" s="112"/>
      <c r="I1819" s="112"/>
    </row>
    <row r="1820" spans="1:9" hidden="1" x14ac:dyDescent="0.25">
      <c r="A1820" s="4"/>
      <c r="B1820" s="4"/>
      <c r="C1820" s="4"/>
      <c r="D1820" s="4"/>
      <c r="E1820" s="54"/>
      <c r="F1820" s="54"/>
      <c r="G1820" s="54"/>
      <c r="H1820" s="112"/>
      <c r="I1820" s="112"/>
    </row>
    <row r="1823" spans="1:9" x14ac:dyDescent="0.25">
      <c r="A1823" s="412" t="s">
        <v>79</v>
      </c>
      <c r="B1823" s="412"/>
      <c r="C1823" s="412"/>
      <c r="D1823" s="412"/>
      <c r="E1823" s="412"/>
      <c r="F1823" s="412"/>
      <c r="G1823" s="412"/>
      <c r="H1823" s="412"/>
      <c r="I1823" s="250"/>
    </row>
    <row r="1824" spans="1:9" x14ac:dyDescent="0.25">
      <c r="A1824" s="4"/>
      <c r="B1824" s="4"/>
      <c r="C1824" s="4"/>
      <c r="D1824" s="4"/>
      <c r="E1824" s="5"/>
      <c r="F1824" s="5"/>
      <c r="G1824" s="411" t="s">
        <v>326</v>
      </c>
      <c r="H1824" s="411"/>
      <c r="I1824" s="251"/>
    </row>
    <row r="1825" spans="1:9" ht="47.45" customHeight="1" x14ac:dyDescent="0.25">
      <c r="A1825" s="410" t="s">
        <v>449</v>
      </c>
      <c r="B1825" s="410"/>
      <c r="C1825" s="410"/>
      <c r="D1825" s="410"/>
      <c r="E1825" s="410"/>
      <c r="F1825" s="410"/>
      <c r="G1825" s="410"/>
      <c r="H1825" s="410"/>
      <c r="I1825" s="254"/>
    </row>
    <row r="1826" spans="1:9" x14ac:dyDescent="0.25">
      <c r="A1826" s="4"/>
      <c r="B1826" s="4"/>
      <c r="C1826" s="4"/>
      <c r="D1826" s="4"/>
      <c r="E1826" s="5"/>
      <c r="F1826" s="5"/>
      <c r="G1826" s="414" t="s">
        <v>120</v>
      </c>
      <c r="H1826" s="414"/>
      <c r="I1826" s="253"/>
    </row>
    <row r="1827" spans="1:9" x14ac:dyDescent="0.25">
      <c r="A1827" s="4" t="s">
        <v>82</v>
      </c>
      <c r="B1827" s="4"/>
      <c r="C1827" s="4"/>
      <c r="D1827" s="4"/>
      <c r="E1827" s="5"/>
      <c r="F1827" s="5"/>
      <c r="G1827" s="5"/>
      <c r="H1827" s="5"/>
      <c r="I1827" s="47"/>
    </row>
    <row r="1828" spans="1:9" x14ac:dyDescent="0.25">
      <c r="A1828" s="6" t="s">
        <v>0</v>
      </c>
      <c r="B1828" s="7"/>
      <c r="C1828" s="8" t="s">
        <v>83</v>
      </c>
      <c r="D1828" s="8" t="s">
        <v>84</v>
      </c>
      <c r="E1828" s="9" t="s">
        <v>85</v>
      </c>
      <c r="F1828" s="9" t="s">
        <v>86</v>
      </c>
      <c r="G1828" s="9" t="s">
        <v>87</v>
      </c>
      <c r="H1828" s="10"/>
      <c r="I1828" s="47"/>
    </row>
    <row r="1829" spans="1:9" x14ac:dyDescent="0.25">
      <c r="A1829" s="11" t="s">
        <v>88</v>
      </c>
      <c r="B1829" s="12"/>
      <c r="C1829" s="13"/>
      <c r="D1829" s="13"/>
      <c r="E1829" s="14"/>
      <c r="F1829" s="14"/>
      <c r="G1829" s="14">
        <f>ROUND(H1852*0.05,0)+8-16</f>
        <v>189187</v>
      </c>
      <c r="H1829" s="15"/>
      <c r="I1829" s="47"/>
    </row>
    <row r="1830" spans="1:9" x14ac:dyDescent="0.25">
      <c r="A1830" s="11" t="s">
        <v>327</v>
      </c>
      <c r="B1830" s="12"/>
      <c r="C1830" s="13"/>
      <c r="D1830" s="13"/>
      <c r="E1830" s="14">
        <v>350000</v>
      </c>
      <c r="F1830" s="14">
        <v>1</v>
      </c>
      <c r="G1830" s="14">
        <f>ROUND(E1830*F1830,0)</f>
        <v>350000</v>
      </c>
      <c r="H1830" s="15"/>
      <c r="I1830" s="47"/>
    </row>
    <row r="1831" spans="1:9" x14ac:dyDescent="0.25">
      <c r="A1831" s="11" t="s">
        <v>328</v>
      </c>
      <c r="B1831" s="12"/>
      <c r="C1831" s="13"/>
      <c r="D1831" s="13"/>
      <c r="E1831" s="14">
        <v>50000</v>
      </c>
      <c r="F1831" s="16">
        <v>1</v>
      </c>
      <c r="G1831" s="14">
        <f>ROUND(E1831*F1831,0)</f>
        <v>50000</v>
      </c>
      <c r="H1831" s="15"/>
      <c r="I1831" s="47"/>
    </row>
    <row r="1832" spans="1:9" x14ac:dyDescent="0.25">
      <c r="A1832" s="11"/>
      <c r="B1832" s="12"/>
      <c r="C1832" s="13"/>
      <c r="D1832" s="13"/>
      <c r="E1832" s="14"/>
      <c r="F1832" s="14"/>
      <c r="G1832" s="14">
        <f>ROUND(E1832*F1832,0)</f>
        <v>0</v>
      </c>
      <c r="H1832" s="17"/>
      <c r="I1832" s="47"/>
    </row>
    <row r="1833" spans="1:9" x14ac:dyDescent="0.25">
      <c r="A1833" s="18"/>
      <c r="B1833" s="19"/>
      <c r="C1833" s="19"/>
      <c r="D1833" s="19"/>
      <c r="E1833" s="20"/>
      <c r="F1833" s="21" t="s">
        <v>90</v>
      </c>
      <c r="G1833" s="22"/>
      <c r="H1833" s="23">
        <f>SUM(G1829:G1832)</f>
        <v>589187</v>
      </c>
      <c r="I1833" s="220"/>
    </row>
    <row r="1834" spans="1:9" x14ac:dyDescent="0.25">
      <c r="A1834" s="291" t="s">
        <v>91</v>
      </c>
      <c r="B1834" s="228"/>
      <c r="C1834" s="228"/>
      <c r="D1834" s="228"/>
      <c r="E1834" s="47"/>
      <c r="F1834" s="47"/>
      <c r="G1834" s="47"/>
      <c r="H1834" s="233"/>
      <c r="I1834" s="47"/>
    </row>
    <row r="1835" spans="1:9" x14ac:dyDescent="0.25">
      <c r="A1835" s="24" t="s">
        <v>0</v>
      </c>
      <c r="B1835" s="24"/>
      <c r="C1835" s="8" t="s">
        <v>92</v>
      </c>
      <c r="D1835" s="8" t="s">
        <v>93</v>
      </c>
      <c r="E1835" s="9" t="s">
        <v>94</v>
      </c>
      <c r="F1835" s="9" t="s">
        <v>95</v>
      </c>
      <c r="G1835" s="25" t="s">
        <v>96</v>
      </c>
      <c r="H1835" s="10"/>
      <c r="I1835" s="47"/>
    </row>
    <row r="1836" spans="1:9" ht="6.6" customHeight="1" x14ac:dyDescent="0.25">
      <c r="A1836" s="460"/>
      <c r="B1836" s="461"/>
      <c r="C1836" s="110"/>
      <c r="D1836" s="111"/>
      <c r="E1836" s="61"/>
      <c r="F1836" s="14"/>
      <c r="G1836" s="14">
        <f t="shared" ref="G1836:G1843" si="44">ROUND(E1836*F1836,0)</f>
        <v>0</v>
      </c>
      <c r="H1836" s="15"/>
      <c r="I1836" s="47"/>
    </row>
    <row r="1837" spans="1:9" x14ac:dyDescent="0.25">
      <c r="A1837" s="108" t="s">
        <v>244</v>
      </c>
      <c r="B1837" s="109"/>
      <c r="C1837" s="104" t="s">
        <v>9</v>
      </c>
      <c r="D1837" s="31"/>
      <c r="E1837" s="190">
        <v>30</v>
      </c>
      <c r="F1837" s="14">
        <v>3200</v>
      </c>
      <c r="G1837" s="14">
        <f t="shared" si="44"/>
        <v>96000</v>
      </c>
      <c r="H1837" s="15"/>
      <c r="I1837" s="47"/>
    </row>
    <row r="1838" spans="1:9" x14ac:dyDescent="0.25">
      <c r="A1838" s="108" t="s">
        <v>149</v>
      </c>
      <c r="B1838" s="107"/>
      <c r="C1838" s="104" t="s">
        <v>18</v>
      </c>
      <c r="D1838" s="105"/>
      <c r="E1838" s="30">
        <v>50</v>
      </c>
      <c r="F1838" s="14">
        <v>2000</v>
      </c>
      <c r="G1838" s="14">
        <f t="shared" si="44"/>
        <v>100000</v>
      </c>
      <c r="H1838" s="15"/>
      <c r="I1838" s="47"/>
    </row>
    <row r="1839" spans="1:9" x14ac:dyDescent="0.25">
      <c r="A1839" s="108" t="s">
        <v>245</v>
      </c>
      <c r="B1839" s="109"/>
      <c r="C1839" s="104" t="s">
        <v>18</v>
      </c>
      <c r="D1839" s="105"/>
      <c r="E1839" s="30">
        <v>3</v>
      </c>
      <c r="F1839" s="14">
        <v>19000</v>
      </c>
      <c r="G1839" s="14">
        <f t="shared" si="44"/>
        <v>57000</v>
      </c>
      <c r="H1839" s="15"/>
      <c r="I1839" s="47"/>
    </row>
    <row r="1840" spans="1:9" x14ac:dyDescent="0.25">
      <c r="A1840" s="108" t="s">
        <v>246</v>
      </c>
      <c r="B1840" s="109"/>
      <c r="C1840" s="35" t="s">
        <v>247</v>
      </c>
      <c r="D1840" s="31"/>
      <c r="E1840" s="30">
        <v>8</v>
      </c>
      <c r="F1840" s="14">
        <v>58000</v>
      </c>
      <c r="G1840" s="14">
        <f t="shared" si="44"/>
        <v>464000</v>
      </c>
      <c r="H1840" s="15"/>
      <c r="I1840" s="47"/>
    </row>
    <row r="1841" spans="1:9" x14ac:dyDescent="0.25">
      <c r="A1841" s="108" t="s">
        <v>248</v>
      </c>
      <c r="B1841" s="109"/>
      <c r="C1841" s="35" t="s">
        <v>18</v>
      </c>
      <c r="D1841" s="34"/>
      <c r="E1841" s="30">
        <v>3</v>
      </c>
      <c r="F1841" s="14">
        <v>100000</v>
      </c>
      <c r="G1841" s="14">
        <f t="shared" si="44"/>
        <v>300000</v>
      </c>
      <c r="H1841" s="15"/>
      <c r="I1841" s="47"/>
    </row>
    <row r="1842" spans="1:9" hidden="1" x14ac:dyDescent="0.25">
      <c r="A1842" s="108"/>
      <c r="B1842" s="109"/>
      <c r="C1842" s="35"/>
      <c r="D1842" s="31"/>
      <c r="E1842" s="30"/>
      <c r="F1842" s="14"/>
      <c r="G1842" s="14">
        <f t="shared" si="44"/>
        <v>0</v>
      </c>
      <c r="H1842" s="15"/>
      <c r="I1842" s="47"/>
    </row>
    <row r="1843" spans="1:9" hidden="1" x14ac:dyDescent="0.25">
      <c r="A1843" s="108"/>
      <c r="B1843" s="109"/>
      <c r="C1843" s="35"/>
      <c r="D1843" s="31"/>
      <c r="E1843" s="30"/>
      <c r="F1843" s="14"/>
      <c r="G1843" s="14">
        <f t="shared" si="44"/>
        <v>0</v>
      </c>
      <c r="H1843" s="17"/>
      <c r="I1843" s="47"/>
    </row>
    <row r="1844" spans="1:9" x14ac:dyDescent="0.25">
      <c r="A1844" s="297"/>
      <c r="B1844" s="255"/>
      <c r="C1844" s="228"/>
      <c r="D1844" s="228"/>
      <c r="E1844" s="36"/>
      <c r="F1844" s="37" t="s">
        <v>102</v>
      </c>
      <c r="G1844" s="38"/>
      <c r="H1844" s="23">
        <f>SUM(G1836:G1843)</f>
        <v>1017000</v>
      </c>
      <c r="I1844" s="220"/>
    </row>
    <row r="1845" spans="1:9" x14ac:dyDescent="0.25">
      <c r="A1845" s="291"/>
      <c r="B1845" s="228"/>
      <c r="C1845" s="228"/>
      <c r="D1845" s="228"/>
      <c r="E1845" s="36"/>
      <c r="F1845" s="39" t="s">
        <v>103</v>
      </c>
      <c r="G1845" s="38"/>
      <c r="H1845" s="23">
        <f>ROUND((D1836*G1836)+(D1837*G1837)+(D1838*G1838)+(D1839*G1839)+(D1840*G1840)+(D1841*G1841)+(D1842*G1842)+(D1843*G1843),0)</f>
        <v>0</v>
      </c>
      <c r="I1845" s="220"/>
    </row>
    <row r="1846" spans="1:9" x14ac:dyDescent="0.25">
      <c r="A1846" s="291"/>
      <c r="B1846" s="228"/>
      <c r="C1846" s="228"/>
      <c r="D1846" s="228"/>
      <c r="E1846" s="36"/>
      <c r="F1846" s="20" t="s">
        <v>104</v>
      </c>
      <c r="G1846" s="40"/>
      <c r="H1846" s="23">
        <f>SUM(H1844:H1845)</f>
        <v>1017000</v>
      </c>
      <c r="I1846" s="220"/>
    </row>
    <row r="1847" spans="1:9" x14ac:dyDescent="0.25">
      <c r="A1847" s="291" t="s">
        <v>105</v>
      </c>
      <c r="B1847" s="228"/>
      <c r="C1847" s="228"/>
      <c r="D1847" s="228"/>
      <c r="E1847" s="47"/>
      <c r="F1847" s="47"/>
      <c r="G1847" s="47"/>
      <c r="H1847" s="233"/>
      <c r="I1847" s="47"/>
    </row>
    <row r="1848" spans="1:9" x14ac:dyDescent="0.25">
      <c r="A1848" s="24" t="s">
        <v>0</v>
      </c>
      <c r="B1848" s="24"/>
      <c r="C1848" s="8" t="s">
        <v>106</v>
      </c>
      <c r="D1848" s="8" t="s">
        <v>107</v>
      </c>
      <c r="E1848" s="9" t="s">
        <v>108</v>
      </c>
      <c r="F1848" s="9" t="s">
        <v>109</v>
      </c>
      <c r="G1848" s="41" t="s">
        <v>96</v>
      </c>
      <c r="H1848" s="10"/>
      <c r="I1848" s="47"/>
    </row>
    <row r="1849" spans="1:9" x14ac:dyDescent="0.25">
      <c r="A1849" s="18" t="s">
        <v>110</v>
      </c>
      <c r="B1849" s="42"/>
      <c r="C1849" s="13">
        <f>104000+26000</f>
        <v>130000</v>
      </c>
      <c r="D1849" s="13">
        <f>+C1849*0.16</f>
        <v>20800</v>
      </c>
      <c r="E1849" s="14">
        <f>C1849+D1849</f>
        <v>150800</v>
      </c>
      <c r="F1849" s="30">
        <v>0</v>
      </c>
      <c r="G1849" s="14">
        <f>ROUND(E1849*F1849,0)</f>
        <v>0</v>
      </c>
      <c r="H1849" s="15"/>
      <c r="I1849" s="47"/>
    </row>
    <row r="1850" spans="1:9" x14ac:dyDescent="0.25">
      <c r="A1850" s="18" t="s">
        <v>111</v>
      </c>
      <c r="B1850" s="42"/>
      <c r="C1850" s="13">
        <f>60400+25850</f>
        <v>86250</v>
      </c>
      <c r="D1850" s="13">
        <f>+C1850*0.16</f>
        <v>13800</v>
      </c>
      <c r="E1850" s="14">
        <f>C1850+D1850</f>
        <v>100050</v>
      </c>
      <c r="F1850" s="30">
        <v>37.82</v>
      </c>
      <c r="G1850" s="14">
        <f>ROUND(E1850*F1850,0)</f>
        <v>3783891</v>
      </c>
      <c r="H1850" s="15"/>
      <c r="I1850" s="47"/>
    </row>
    <row r="1851" spans="1:9" x14ac:dyDescent="0.25">
      <c r="A1851" s="18"/>
      <c r="B1851" s="42"/>
      <c r="C1851" s="43"/>
      <c r="D1851" s="43"/>
      <c r="E1851" s="44">
        <f>C1851+D1851</f>
        <v>0</v>
      </c>
      <c r="F1851" s="45"/>
      <c r="G1851" s="14">
        <f>ROUND(E1851*F1851,0)</f>
        <v>0</v>
      </c>
      <c r="H1851" s="15"/>
      <c r="I1851" s="47"/>
    </row>
    <row r="1852" spans="1:9" x14ac:dyDescent="0.25">
      <c r="A1852" s="291"/>
      <c r="B1852" s="228"/>
      <c r="C1852" s="228"/>
      <c r="D1852" s="228"/>
      <c r="E1852" s="277" t="s">
        <v>112</v>
      </c>
      <c r="F1852" s="277"/>
      <c r="G1852" s="277"/>
      <c r="H1852" s="23">
        <f>SUM(G1849:G1851)</f>
        <v>3783891</v>
      </c>
      <c r="I1852" s="220"/>
    </row>
    <row r="1853" spans="1:9" x14ac:dyDescent="0.25">
      <c r="A1853" s="291"/>
      <c r="B1853" s="228"/>
      <c r="C1853" s="228"/>
      <c r="D1853" s="228"/>
      <c r="E1853" s="47"/>
      <c r="F1853" s="47"/>
      <c r="G1853" s="47"/>
      <c r="H1853" s="233"/>
      <c r="I1853" s="47"/>
    </row>
    <row r="1854" spans="1:9" x14ac:dyDescent="0.25">
      <c r="A1854" s="18"/>
      <c r="B1854" s="19"/>
      <c r="C1854" s="19"/>
      <c r="D1854" s="19"/>
      <c r="E1854" s="48" t="s">
        <v>113</v>
      </c>
      <c r="F1854" s="48"/>
      <c r="G1854" s="48"/>
      <c r="H1854" s="25">
        <f>H1852+H1846+H1833</f>
        <v>5390078</v>
      </c>
      <c r="I1854" s="222"/>
    </row>
    <row r="1855" spans="1:9" x14ac:dyDescent="0.25">
      <c r="A1855" s="291"/>
      <c r="B1855" s="228"/>
      <c r="C1855" s="228"/>
      <c r="D1855" s="228"/>
      <c r="E1855" s="47"/>
      <c r="F1855" s="47"/>
      <c r="G1855" s="47"/>
      <c r="H1855" s="233"/>
      <c r="I1855" s="47"/>
    </row>
    <row r="1856" spans="1:9" x14ac:dyDescent="0.25">
      <c r="A1856" s="291" t="s">
        <v>114</v>
      </c>
      <c r="B1856" s="228"/>
      <c r="C1856" s="228"/>
      <c r="D1856" s="228"/>
      <c r="E1856" s="47"/>
      <c r="F1856" s="47"/>
      <c r="G1856" s="47"/>
      <c r="H1856" s="233"/>
      <c r="I1856" s="47"/>
    </row>
    <row r="1857" spans="1:9" x14ac:dyDescent="0.25">
      <c r="A1857" s="6" t="s">
        <v>0</v>
      </c>
      <c r="B1857" s="49"/>
      <c r="C1857" s="49"/>
      <c r="D1857" s="49"/>
      <c r="E1857" s="50"/>
      <c r="F1857" s="9" t="s">
        <v>115</v>
      </c>
      <c r="G1857" s="41" t="s">
        <v>116</v>
      </c>
      <c r="H1857" s="10"/>
      <c r="I1857" s="47"/>
    </row>
    <row r="1858" spans="1:9" x14ac:dyDescent="0.25">
      <c r="A1858" s="11" t="s">
        <v>117</v>
      </c>
      <c r="B1858" s="51"/>
      <c r="C1858" s="51"/>
      <c r="D1858" s="51"/>
      <c r="E1858" s="52"/>
      <c r="F1858" s="53"/>
      <c r="G1858" s="14">
        <f>F1858*H1854</f>
        <v>0</v>
      </c>
      <c r="H1858" s="17"/>
      <c r="I1858" s="47"/>
    </row>
    <row r="1859" spans="1:9" hidden="1" x14ac:dyDescent="0.25">
      <c r="A1859" s="81"/>
      <c r="B1859" s="301"/>
      <c r="C1859" s="301"/>
      <c r="D1859" s="301"/>
      <c r="E1859" s="302"/>
      <c r="F1859" s="303"/>
      <c r="G1859" s="304">
        <f>F1859*H1854</f>
        <v>0</v>
      </c>
      <c r="H1859" s="236"/>
      <c r="I1859" s="47"/>
    </row>
    <row r="1860" spans="1:9" hidden="1" x14ac:dyDescent="0.25">
      <c r="A1860" s="11"/>
      <c r="B1860" s="51"/>
      <c r="C1860" s="51"/>
      <c r="D1860" s="51"/>
      <c r="E1860" s="52"/>
      <c r="F1860" s="53"/>
      <c r="G1860" s="14">
        <f>F1860*H1854</f>
        <v>0</v>
      </c>
      <c r="H1860" s="237"/>
      <c r="I1860" s="47"/>
    </row>
    <row r="1861" spans="1:9" x14ac:dyDescent="0.25">
      <c r="A1861" s="4"/>
      <c r="B1861" s="4"/>
      <c r="C1861" s="4"/>
      <c r="D1861" s="4"/>
      <c r="E1861" s="46" t="s">
        <v>118</v>
      </c>
      <c r="F1861" s="46"/>
      <c r="G1861" s="46"/>
      <c r="H1861" s="36">
        <f>SUM(G1858:G1860)</f>
        <v>0</v>
      </c>
      <c r="I1861" s="220"/>
    </row>
    <row r="1862" spans="1:9" ht="15.75" thickBot="1" x14ac:dyDescent="0.3">
      <c r="A1862" s="4"/>
      <c r="B1862" s="4"/>
      <c r="C1862" s="4"/>
      <c r="D1862" s="4"/>
      <c r="E1862" s="5"/>
      <c r="F1862" s="5"/>
      <c r="G1862" s="5"/>
      <c r="H1862" s="5"/>
      <c r="I1862" s="47"/>
    </row>
    <row r="1863" spans="1:9" ht="15.75" thickBot="1" x14ac:dyDescent="0.3">
      <c r="A1863" s="4"/>
      <c r="B1863" s="4"/>
      <c r="C1863" s="4"/>
      <c r="D1863" s="4"/>
      <c r="E1863" s="54"/>
      <c r="F1863" s="54" t="s">
        <v>119</v>
      </c>
      <c r="G1863" s="54"/>
      <c r="H1863" s="240">
        <f>SUM(H1861+H1854)</f>
        <v>5390078</v>
      </c>
      <c r="I1863" s="112"/>
    </row>
    <row r="1864" spans="1:9" x14ac:dyDescent="0.25">
      <c r="A1864" s="4"/>
      <c r="B1864" s="4"/>
      <c r="C1864" s="4"/>
      <c r="D1864" s="4"/>
      <c r="E1864" s="54"/>
      <c r="F1864" s="54"/>
      <c r="G1864" s="54"/>
      <c r="H1864" s="112"/>
      <c r="I1864" s="112"/>
    </row>
    <row r="1865" spans="1:9" x14ac:dyDescent="0.25">
      <c r="A1865" s="4"/>
      <c r="B1865" s="4"/>
      <c r="C1865" s="4"/>
      <c r="D1865" s="4"/>
      <c r="E1865" s="54"/>
      <c r="F1865" s="54"/>
      <c r="G1865" s="54"/>
      <c r="H1865" s="112"/>
      <c r="I1865" s="112"/>
    </row>
    <row r="1866" spans="1:9" x14ac:dyDescent="0.25">
      <c r="A1866" s="4"/>
      <c r="B1866" s="4"/>
      <c r="C1866" s="4"/>
      <c r="D1866" s="4"/>
      <c r="E1866" s="54"/>
      <c r="F1866" s="54"/>
      <c r="G1866" s="54"/>
      <c r="H1866" s="112"/>
      <c r="I1866" s="112"/>
    </row>
    <row r="1867" spans="1:9" x14ac:dyDescent="0.25">
      <c r="A1867" s="4"/>
      <c r="B1867" s="4"/>
      <c r="C1867" s="4"/>
      <c r="D1867" s="4"/>
      <c r="E1867" s="54"/>
      <c r="F1867" s="54"/>
      <c r="G1867" s="54"/>
      <c r="H1867" s="112"/>
      <c r="I1867" s="112"/>
    </row>
    <row r="1870" spans="1:9" x14ac:dyDescent="0.25">
      <c r="A1870" s="412" t="s">
        <v>79</v>
      </c>
      <c r="B1870" s="412"/>
      <c r="C1870" s="412"/>
      <c r="D1870" s="412"/>
      <c r="E1870" s="412"/>
      <c r="F1870" s="412"/>
      <c r="G1870" s="412"/>
      <c r="H1870" s="412"/>
      <c r="I1870" s="250"/>
    </row>
    <row r="1871" spans="1:9" x14ac:dyDescent="0.25">
      <c r="A1871" s="4"/>
      <c r="B1871" s="4"/>
      <c r="C1871" s="4"/>
      <c r="D1871" s="4"/>
      <c r="E1871" s="5"/>
      <c r="F1871" s="5"/>
      <c r="G1871" s="411" t="s">
        <v>326</v>
      </c>
      <c r="H1871" s="411"/>
      <c r="I1871" s="251"/>
    </row>
    <row r="1872" spans="1:9" ht="44.45" customHeight="1" x14ac:dyDescent="0.25">
      <c r="A1872" s="410" t="s">
        <v>356</v>
      </c>
      <c r="B1872" s="410"/>
      <c r="C1872" s="410"/>
      <c r="D1872" s="410"/>
      <c r="E1872" s="410"/>
      <c r="F1872" s="410"/>
      <c r="G1872" s="410"/>
      <c r="H1872" s="410"/>
      <c r="I1872" s="254"/>
    </row>
    <row r="1873" spans="1:9" x14ac:dyDescent="0.25">
      <c r="A1873" s="4"/>
      <c r="B1873" s="4"/>
      <c r="C1873" s="4"/>
      <c r="D1873" s="4"/>
      <c r="E1873" s="5"/>
      <c r="F1873" s="5"/>
      <c r="G1873" s="414" t="s">
        <v>160</v>
      </c>
      <c r="H1873" s="414"/>
      <c r="I1873" s="253"/>
    </row>
    <row r="1874" spans="1:9" x14ac:dyDescent="0.25">
      <c r="A1874" s="4" t="s">
        <v>82</v>
      </c>
      <c r="B1874" s="4"/>
      <c r="C1874" s="4"/>
      <c r="D1874" s="4"/>
      <c r="E1874" s="5"/>
      <c r="F1874" s="5"/>
      <c r="G1874" s="5"/>
      <c r="H1874" s="5"/>
      <c r="I1874" s="47"/>
    </row>
    <row r="1875" spans="1:9" x14ac:dyDescent="0.25">
      <c r="A1875" s="6" t="s">
        <v>0</v>
      </c>
      <c r="B1875" s="7"/>
      <c r="C1875" s="8" t="s">
        <v>83</v>
      </c>
      <c r="D1875" s="8" t="s">
        <v>84</v>
      </c>
      <c r="E1875" s="9" t="s">
        <v>85</v>
      </c>
      <c r="F1875" s="9" t="s">
        <v>86</v>
      </c>
      <c r="G1875" s="9" t="s">
        <v>87</v>
      </c>
      <c r="H1875" s="10"/>
      <c r="I1875" s="47"/>
    </row>
    <row r="1876" spans="1:9" x14ac:dyDescent="0.25">
      <c r="A1876" s="11" t="s">
        <v>88</v>
      </c>
      <c r="B1876" s="12"/>
      <c r="C1876" s="13"/>
      <c r="D1876" s="13"/>
      <c r="E1876" s="14"/>
      <c r="F1876" s="14"/>
      <c r="G1876" s="14">
        <f>ROUND(H1900*0.05,0)+8-16</f>
        <v>6640</v>
      </c>
      <c r="H1876" s="15"/>
      <c r="I1876" s="47"/>
    </row>
    <row r="1877" spans="1:9" x14ac:dyDescent="0.25">
      <c r="A1877" s="11" t="s">
        <v>327</v>
      </c>
      <c r="B1877" s="12"/>
      <c r="C1877" s="13"/>
      <c r="D1877" s="13"/>
      <c r="E1877" s="14">
        <v>350000</v>
      </c>
      <c r="F1877" s="14">
        <v>0.5</v>
      </c>
      <c r="G1877" s="14">
        <f>ROUND(E1877*F1877,0)</f>
        <v>175000</v>
      </c>
      <c r="H1877" s="15"/>
      <c r="I1877" s="47"/>
    </row>
    <row r="1878" spans="1:9" x14ac:dyDescent="0.25">
      <c r="A1878" s="11" t="s">
        <v>328</v>
      </c>
      <c r="B1878" s="12"/>
      <c r="C1878" s="13"/>
      <c r="D1878" s="13"/>
      <c r="E1878" s="14">
        <v>50000</v>
      </c>
      <c r="F1878" s="74">
        <v>1</v>
      </c>
      <c r="G1878" s="14">
        <f>ROUND(E1878*F1878,0)</f>
        <v>50000</v>
      </c>
      <c r="H1878" s="15"/>
      <c r="I1878" s="47"/>
    </row>
    <row r="1879" spans="1:9" x14ac:dyDescent="0.25">
      <c r="A1879" s="11"/>
      <c r="B1879" s="12"/>
      <c r="C1879" s="13"/>
      <c r="D1879" s="13"/>
      <c r="E1879" s="14"/>
      <c r="F1879" s="16"/>
      <c r="G1879" s="14">
        <f>ROUND(E1879*F1879,0)</f>
        <v>0</v>
      </c>
      <c r="H1879" s="15"/>
      <c r="I1879" s="47"/>
    </row>
    <row r="1880" spans="1:9" x14ac:dyDescent="0.25">
      <c r="A1880" s="11"/>
      <c r="B1880" s="12"/>
      <c r="C1880" s="13"/>
      <c r="D1880" s="13"/>
      <c r="E1880" s="14"/>
      <c r="F1880" s="14"/>
      <c r="G1880" s="14">
        <f>ROUND(E1880*F1880,0)</f>
        <v>0</v>
      </c>
      <c r="H1880" s="17"/>
      <c r="I1880" s="47"/>
    </row>
    <row r="1881" spans="1:9" x14ac:dyDescent="0.25">
      <c r="A1881" s="18"/>
      <c r="B1881" s="19"/>
      <c r="C1881" s="19"/>
      <c r="D1881" s="19"/>
      <c r="E1881" s="20"/>
      <c r="F1881" s="21" t="s">
        <v>90</v>
      </c>
      <c r="G1881" s="22"/>
      <c r="H1881" s="23">
        <f>SUM(G1876:G1880)</f>
        <v>231640</v>
      </c>
      <c r="I1881" s="220"/>
    </row>
    <row r="1882" spans="1:9" x14ac:dyDescent="0.25">
      <c r="A1882" s="291" t="s">
        <v>91</v>
      </c>
      <c r="B1882" s="228"/>
      <c r="C1882" s="228"/>
      <c r="D1882" s="228"/>
      <c r="E1882" s="47"/>
      <c r="F1882" s="47"/>
      <c r="G1882" s="47"/>
      <c r="H1882" s="233"/>
      <c r="I1882" s="47"/>
    </row>
    <row r="1883" spans="1:9" x14ac:dyDescent="0.25">
      <c r="A1883" s="24" t="s">
        <v>0</v>
      </c>
      <c r="B1883" s="24"/>
      <c r="C1883" s="8" t="s">
        <v>92</v>
      </c>
      <c r="D1883" s="8" t="s">
        <v>93</v>
      </c>
      <c r="E1883" s="9" t="s">
        <v>94</v>
      </c>
      <c r="F1883" s="9" t="s">
        <v>95</v>
      </c>
      <c r="G1883" s="25" t="s">
        <v>96</v>
      </c>
      <c r="H1883" s="10"/>
      <c r="I1883" s="47"/>
    </row>
    <row r="1884" spans="1:9" x14ac:dyDescent="0.25">
      <c r="A1884" s="306" t="s">
        <v>362</v>
      </c>
      <c r="B1884" s="12"/>
      <c r="C1884" s="35" t="s">
        <v>212</v>
      </c>
      <c r="D1884" s="34">
        <v>0.05</v>
      </c>
      <c r="E1884" s="30">
        <f>1*1*0.07</f>
        <v>7.0000000000000007E-2</v>
      </c>
      <c r="F1884" s="14">
        <f>+$H$3523</f>
        <v>2838505</v>
      </c>
      <c r="G1884" s="14">
        <f t="shared" ref="G1884:G1891" si="45">ROUND(E1884*F1884,0)</f>
        <v>198695</v>
      </c>
      <c r="H1884" s="15"/>
      <c r="I1884" s="47"/>
    </row>
    <row r="1885" spans="1:9" x14ac:dyDescent="0.25">
      <c r="A1885" s="11" t="s">
        <v>249</v>
      </c>
      <c r="B1885" s="12"/>
      <c r="C1885" s="35" t="s">
        <v>9</v>
      </c>
      <c r="D1885" s="31">
        <v>0.05</v>
      </c>
      <c r="E1885" s="77">
        <v>10</v>
      </c>
      <c r="F1885" s="74">
        <f>ROUND(17000/6,0)</f>
        <v>2833</v>
      </c>
      <c r="G1885" s="14">
        <f t="shared" si="45"/>
        <v>28330</v>
      </c>
      <c r="H1885" s="15"/>
      <c r="I1885" s="47"/>
    </row>
    <row r="1886" spans="1:9" x14ac:dyDescent="0.25">
      <c r="A1886" s="81" t="s">
        <v>250</v>
      </c>
      <c r="B1886" s="12"/>
      <c r="C1886" s="35" t="s">
        <v>206</v>
      </c>
      <c r="D1886" s="31">
        <v>0.05</v>
      </c>
      <c r="E1886" s="30">
        <v>0.1</v>
      </c>
      <c r="F1886" s="14">
        <v>8000</v>
      </c>
      <c r="G1886" s="14">
        <f t="shared" si="45"/>
        <v>800</v>
      </c>
      <c r="H1886" s="15"/>
      <c r="I1886" s="47"/>
    </row>
    <row r="1887" spans="1:9" x14ac:dyDescent="0.25">
      <c r="A1887" s="11" t="s">
        <v>364</v>
      </c>
      <c r="B1887" s="12"/>
      <c r="C1887" s="35" t="s">
        <v>7</v>
      </c>
      <c r="D1887" s="31"/>
      <c r="E1887" s="30">
        <v>1</v>
      </c>
      <c r="F1887" s="74">
        <f>+$H$1654</f>
        <v>253636</v>
      </c>
      <c r="G1887" s="14">
        <f t="shared" si="45"/>
        <v>253636</v>
      </c>
      <c r="H1887" s="15"/>
      <c r="I1887" s="47"/>
    </row>
    <row r="1888" spans="1:9" x14ac:dyDescent="0.25">
      <c r="A1888" s="11"/>
      <c r="B1888" s="12"/>
      <c r="C1888" s="35"/>
      <c r="D1888" s="31"/>
      <c r="E1888" s="30"/>
      <c r="F1888" s="14"/>
      <c r="G1888" s="14">
        <f t="shared" si="45"/>
        <v>0</v>
      </c>
      <c r="H1888" s="15"/>
      <c r="I1888" s="47"/>
    </row>
    <row r="1889" spans="1:9" x14ac:dyDescent="0.25">
      <c r="A1889" s="11"/>
      <c r="B1889" s="12"/>
      <c r="C1889" s="35"/>
      <c r="D1889" s="34"/>
      <c r="E1889" s="30"/>
      <c r="F1889" s="14"/>
      <c r="G1889" s="14">
        <f t="shared" si="45"/>
        <v>0</v>
      </c>
      <c r="H1889" s="15"/>
      <c r="I1889" s="47"/>
    </row>
    <row r="1890" spans="1:9" x14ac:dyDescent="0.25">
      <c r="A1890" s="11"/>
      <c r="B1890" s="12"/>
      <c r="C1890" s="35"/>
      <c r="D1890" s="31"/>
      <c r="E1890" s="30"/>
      <c r="F1890" s="14"/>
      <c r="G1890" s="14">
        <f t="shared" si="45"/>
        <v>0</v>
      </c>
      <c r="H1890" s="15"/>
      <c r="I1890" s="47"/>
    </row>
    <row r="1891" spans="1:9" x14ac:dyDescent="0.25">
      <c r="A1891" s="11"/>
      <c r="B1891" s="12"/>
      <c r="C1891" s="35"/>
      <c r="D1891" s="31"/>
      <c r="E1891" s="30"/>
      <c r="F1891" s="14"/>
      <c r="G1891" s="14">
        <f t="shared" si="45"/>
        <v>0</v>
      </c>
      <c r="H1891" s="17"/>
      <c r="I1891" s="47"/>
    </row>
    <row r="1892" spans="1:9" x14ac:dyDescent="0.25">
      <c r="A1892" s="291"/>
      <c r="B1892" s="228"/>
      <c r="C1892" s="228"/>
      <c r="D1892" s="228"/>
      <c r="E1892" s="36"/>
      <c r="F1892" s="37" t="s">
        <v>102</v>
      </c>
      <c r="G1892" s="38"/>
      <c r="H1892" s="23">
        <f>SUM(G1884:G1891)</f>
        <v>481461</v>
      </c>
      <c r="I1892" s="220"/>
    </row>
    <row r="1893" spans="1:9" x14ac:dyDescent="0.25">
      <c r="A1893" s="291"/>
      <c r="B1893" s="228"/>
      <c r="C1893" s="228"/>
      <c r="D1893" s="228"/>
      <c r="E1893" s="36"/>
      <c r="F1893" s="39" t="s">
        <v>103</v>
      </c>
      <c r="G1893" s="38"/>
      <c r="H1893" s="23">
        <f>ROUND((D1884*G1884)+(D1885*G1885)+(D1886*G1886)+(D1887*G1887)+(D1888*G1888)+(D1889*G1889)+(D1890*G1890)+(D1891*G1891),0)</f>
        <v>11391</v>
      </c>
      <c r="I1893" s="220"/>
    </row>
    <row r="1894" spans="1:9" x14ac:dyDescent="0.25">
      <c r="A1894" s="291"/>
      <c r="B1894" s="228"/>
      <c r="C1894" s="228"/>
      <c r="D1894" s="228"/>
      <c r="E1894" s="36"/>
      <c r="F1894" s="20" t="s">
        <v>104</v>
      </c>
      <c r="G1894" s="40"/>
      <c r="H1894" s="23">
        <f>SUM(H1892:H1893)</f>
        <v>492852</v>
      </c>
      <c r="I1894" s="220"/>
    </row>
    <row r="1895" spans="1:9" x14ac:dyDescent="0.25">
      <c r="A1895" s="291" t="s">
        <v>105</v>
      </c>
      <c r="B1895" s="228"/>
      <c r="C1895" s="228"/>
      <c r="D1895" s="228"/>
      <c r="E1895" s="47"/>
      <c r="F1895" s="47"/>
      <c r="G1895" s="47"/>
      <c r="H1895" s="233"/>
      <c r="I1895" s="47"/>
    </row>
    <row r="1896" spans="1:9" x14ac:dyDescent="0.25">
      <c r="A1896" s="24" t="s">
        <v>0</v>
      </c>
      <c r="B1896" s="24"/>
      <c r="C1896" s="8" t="s">
        <v>106</v>
      </c>
      <c r="D1896" s="8" t="s">
        <v>107</v>
      </c>
      <c r="E1896" s="9" t="s">
        <v>108</v>
      </c>
      <c r="F1896" s="9" t="s">
        <v>109</v>
      </c>
      <c r="G1896" s="41" t="s">
        <v>96</v>
      </c>
      <c r="H1896" s="10"/>
      <c r="I1896" s="47"/>
    </row>
    <row r="1897" spans="1:9" x14ac:dyDescent="0.25">
      <c r="A1897" s="18" t="s">
        <v>110</v>
      </c>
      <c r="B1897" s="42"/>
      <c r="C1897" s="13">
        <f>104000+26000</f>
        <v>130000</v>
      </c>
      <c r="D1897" s="13">
        <f>+C1897*0.16</f>
        <v>20800</v>
      </c>
      <c r="E1897" s="14">
        <f>C1897+D1897</f>
        <v>150800</v>
      </c>
      <c r="F1897" s="30">
        <v>0.55000000000000004</v>
      </c>
      <c r="G1897" s="14">
        <f>ROUND(E1897*F1897,0)</f>
        <v>82940</v>
      </c>
      <c r="H1897" s="15"/>
      <c r="I1897" s="47"/>
    </row>
    <row r="1898" spans="1:9" x14ac:dyDescent="0.25">
      <c r="A1898" s="18" t="s">
        <v>111</v>
      </c>
      <c r="B1898" s="42"/>
      <c r="C1898" s="13">
        <f>60400+25850</f>
        <v>86250</v>
      </c>
      <c r="D1898" s="13">
        <f>+C1898*0.16</f>
        <v>13800</v>
      </c>
      <c r="E1898" s="14">
        <f>C1898+D1898</f>
        <v>100050</v>
      </c>
      <c r="F1898" s="30">
        <v>0.5</v>
      </c>
      <c r="G1898" s="14">
        <f>ROUND(E1898*F1898,0)</f>
        <v>50025</v>
      </c>
      <c r="H1898" s="15"/>
      <c r="I1898" s="47"/>
    </row>
    <row r="1899" spans="1:9" x14ac:dyDescent="0.25">
      <c r="A1899" s="18"/>
      <c r="B1899" s="42"/>
      <c r="C1899" s="43"/>
      <c r="D1899" s="43"/>
      <c r="E1899" s="44">
        <f>C1899+D1899</f>
        <v>0</v>
      </c>
      <c r="F1899" s="45"/>
      <c r="G1899" s="14">
        <f>ROUND(E1899*F1899,0)</f>
        <v>0</v>
      </c>
      <c r="H1899" s="15"/>
      <c r="I1899" s="47"/>
    </row>
    <row r="1900" spans="1:9" x14ac:dyDescent="0.25">
      <c r="A1900" s="291"/>
      <c r="B1900" s="228"/>
      <c r="C1900" s="228"/>
      <c r="D1900" s="228"/>
      <c r="E1900" s="277" t="s">
        <v>112</v>
      </c>
      <c r="F1900" s="277"/>
      <c r="G1900" s="277"/>
      <c r="H1900" s="82">
        <f>SUM(G1897:G1899)</f>
        <v>132965</v>
      </c>
      <c r="I1900" s="221"/>
    </row>
    <row r="1901" spans="1:9" x14ac:dyDescent="0.25">
      <c r="A1901" s="291"/>
      <c r="B1901" s="228"/>
      <c r="C1901" s="228"/>
      <c r="D1901" s="228"/>
      <c r="E1901" s="47"/>
      <c r="F1901" s="47"/>
      <c r="G1901" s="47"/>
      <c r="H1901" s="233"/>
      <c r="I1901" s="47"/>
    </row>
    <row r="1902" spans="1:9" x14ac:dyDescent="0.25">
      <c r="A1902" s="18"/>
      <c r="B1902" s="19"/>
      <c r="C1902" s="19"/>
      <c r="D1902" s="19"/>
      <c r="E1902" s="48" t="s">
        <v>113</v>
      </c>
      <c r="F1902" s="48"/>
      <c r="G1902" s="48"/>
      <c r="H1902" s="25">
        <f>H1900+H1894+H1881</f>
        <v>857457</v>
      </c>
      <c r="I1902" s="222"/>
    </row>
    <row r="1903" spans="1:9" x14ac:dyDescent="0.25">
      <c r="A1903" s="291"/>
      <c r="B1903" s="228"/>
      <c r="C1903" s="228"/>
      <c r="D1903" s="228"/>
      <c r="E1903" s="47"/>
      <c r="F1903" s="47"/>
      <c r="G1903" s="47"/>
      <c r="H1903" s="233"/>
      <c r="I1903" s="47"/>
    </row>
    <row r="1904" spans="1:9" x14ac:dyDescent="0.25">
      <c r="A1904" s="291" t="s">
        <v>114</v>
      </c>
      <c r="B1904" s="228"/>
      <c r="C1904" s="228"/>
      <c r="D1904" s="228"/>
      <c r="E1904" s="47"/>
      <c r="F1904" s="47"/>
      <c r="G1904" s="47"/>
      <c r="H1904" s="233"/>
      <c r="I1904" s="47"/>
    </row>
    <row r="1905" spans="1:9" x14ac:dyDescent="0.25">
      <c r="A1905" s="6" t="s">
        <v>0</v>
      </c>
      <c r="B1905" s="49"/>
      <c r="C1905" s="49"/>
      <c r="D1905" s="49"/>
      <c r="E1905" s="50"/>
      <c r="F1905" s="9" t="s">
        <v>115</v>
      </c>
      <c r="G1905" s="41" t="s">
        <v>116</v>
      </c>
      <c r="H1905" s="10"/>
      <c r="I1905" s="47"/>
    </row>
    <row r="1906" spans="1:9" x14ac:dyDescent="0.25">
      <c r="A1906" s="11" t="s">
        <v>117</v>
      </c>
      <c r="B1906" s="51"/>
      <c r="C1906" s="51"/>
      <c r="D1906" s="51"/>
      <c r="E1906" s="52"/>
      <c r="F1906" s="53"/>
      <c r="G1906" s="14">
        <f>F1906*H1902</f>
        <v>0</v>
      </c>
      <c r="H1906" s="15"/>
      <c r="I1906" s="47"/>
    </row>
    <row r="1907" spans="1:9" x14ac:dyDescent="0.25">
      <c r="A1907" s="11"/>
      <c r="B1907" s="51"/>
      <c r="C1907" s="51"/>
      <c r="D1907" s="51"/>
      <c r="E1907" s="52"/>
      <c r="F1907" s="53"/>
      <c r="G1907" s="14">
        <f>F1907*H1902</f>
        <v>0</v>
      </c>
      <c r="H1907" s="15"/>
      <c r="I1907" s="47"/>
    </row>
    <row r="1908" spans="1:9" x14ac:dyDescent="0.25">
      <c r="A1908" s="11"/>
      <c r="B1908" s="51"/>
      <c r="C1908" s="51"/>
      <c r="D1908" s="51"/>
      <c r="E1908" s="52"/>
      <c r="F1908" s="53"/>
      <c r="G1908" s="14">
        <f>F1908*H1902</f>
        <v>0</v>
      </c>
      <c r="H1908" s="17"/>
      <c r="I1908" s="47"/>
    </row>
    <row r="1909" spans="1:9" x14ac:dyDescent="0.25">
      <c r="A1909" s="4"/>
      <c r="B1909" s="4"/>
      <c r="C1909" s="4"/>
      <c r="D1909" s="4"/>
      <c r="E1909" s="46" t="s">
        <v>118</v>
      </c>
      <c r="F1909" s="46"/>
      <c r="G1909" s="46"/>
      <c r="H1909" s="36">
        <f>SUM(G1906:G1908)</f>
        <v>0</v>
      </c>
      <c r="I1909" s="220"/>
    </row>
    <row r="1910" spans="1:9" ht="15.75" thickBot="1" x14ac:dyDescent="0.3">
      <c r="A1910" s="4"/>
      <c r="B1910" s="4"/>
      <c r="C1910" s="4"/>
      <c r="D1910" s="4"/>
      <c r="E1910" s="5"/>
      <c r="F1910" s="5"/>
      <c r="G1910" s="5"/>
      <c r="H1910" s="5"/>
      <c r="I1910" s="47"/>
    </row>
    <row r="1911" spans="1:9" ht="15.75" thickBot="1" x14ac:dyDescent="0.3">
      <c r="A1911" s="4"/>
      <c r="B1911" s="4"/>
      <c r="C1911" s="4"/>
      <c r="D1911" s="4"/>
      <c r="E1911" s="54"/>
      <c r="F1911" s="54" t="s">
        <v>119</v>
      </c>
      <c r="G1911" s="54"/>
      <c r="H1911" s="240">
        <f>SUM(H1909+H1902)</f>
        <v>857457</v>
      </c>
      <c r="I1911" s="112"/>
    </row>
    <row r="1912" spans="1:9" x14ac:dyDescent="0.25">
      <c r="A1912" s="4"/>
      <c r="B1912" s="4"/>
      <c r="C1912" s="4"/>
      <c r="D1912" s="4"/>
      <c r="E1912" s="54"/>
      <c r="F1912" s="54"/>
      <c r="G1912" s="54"/>
      <c r="H1912" s="112"/>
      <c r="I1912" s="112"/>
    </row>
    <row r="1913" spans="1:9" x14ac:dyDescent="0.25">
      <c r="A1913" s="4"/>
      <c r="B1913" s="4"/>
      <c r="C1913" s="4"/>
      <c r="D1913" s="4"/>
      <c r="E1913" s="54"/>
      <c r="F1913" s="54"/>
      <c r="G1913" s="54"/>
      <c r="H1913" s="112"/>
      <c r="I1913" s="112"/>
    </row>
    <row r="1914" spans="1:9" x14ac:dyDescent="0.25">
      <c r="A1914" s="4"/>
      <c r="B1914" s="4"/>
      <c r="C1914" s="4"/>
      <c r="D1914" s="4"/>
      <c r="E1914" s="54"/>
      <c r="F1914" s="54"/>
      <c r="G1914" s="54"/>
      <c r="H1914" s="112"/>
      <c r="I1914" s="112"/>
    </row>
    <row r="1915" spans="1:9" x14ac:dyDescent="0.25">
      <c r="A1915" s="4"/>
      <c r="B1915" s="4"/>
      <c r="C1915" s="4"/>
      <c r="D1915" s="4"/>
      <c r="E1915" s="54"/>
      <c r="F1915" s="54"/>
      <c r="G1915" s="54"/>
      <c r="H1915" s="112"/>
      <c r="I1915" s="112"/>
    </row>
    <row r="1916" spans="1:9" x14ac:dyDescent="0.25">
      <c r="A1916" s="4"/>
      <c r="B1916" s="4"/>
      <c r="C1916" s="4"/>
      <c r="D1916" s="4"/>
      <c r="E1916" s="54"/>
      <c r="F1916" s="54"/>
      <c r="G1916" s="54"/>
      <c r="H1916" s="112"/>
      <c r="I1916" s="112"/>
    </row>
    <row r="1917" spans="1:9" x14ac:dyDescent="0.25">
      <c r="A1917" s="4"/>
      <c r="B1917" s="4"/>
      <c r="C1917" s="4"/>
      <c r="D1917" s="4"/>
      <c r="E1917" s="54"/>
      <c r="F1917" s="54"/>
      <c r="G1917" s="54"/>
      <c r="H1917" s="112"/>
      <c r="I1917" s="112"/>
    </row>
    <row r="1918" spans="1:9" x14ac:dyDescent="0.25">
      <c r="A1918" s="4"/>
      <c r="B1918" s="4"/>
      <c r="C1918" s="4"/>
      <c r="D1918" s="4"/>
      <c r="E1918" s="54"/>
      <c r="F1918" s="54"/>
      <c r="G1918" s="54"/>
      <c r="H1918" s="112"/>
      <c r="I1918" s="112"/>
    </row>
    <row r="1919" spans="1:9" x14ac:dyDescent="0.25">
      <c r="A1919" s="4"/>
      <c r="B1919" s="4"/>
      <c r="C1919" s="4"/>
      <c r="D1919" s="4"/>
      <c r="E1919" s="54"/>
      <c r="F1919" s="54"/>
      <c r="G1919" s="54"/>
      <c r="H1919" s="112"/>
      <c r="I1919" s="112"/>
    </row>
    <row r="1920" spans="1:9" x14ac:dyDescent="0.25">
      <c r="A1920" s="4"/>
      <c r="B1920" s="4"/>
      <c r="C1920" s="4"/>
      <c r="D1920" s="4"/>
      <c r="E1920" s="54"/>
      <c r="F1920" s="54"/>
      <c r="G1920" s="54"/>
      <c r="H1920" s="112"/>
      <c r="I1920" s="112"/>
    </row>
    <row r="1922" spans="1:9" x14ac:dyDescent="0.25">
      <c r="A1922" s="463" t="s">
        <v>79</v>
      </c>
      <c r="B1922" s="463"/>
      <c r="C1922" s="463"/>
      <c r="D1922" s="463"/>
      <c r="E1922" s="463"/>
      <c r="F1922" s="463"/>
      <c r="G1922" s="463"/>
      <c r="H1922" s="463"/>
      <c r="I1922" s="265"/>
    </row>
    <row r="1923" spans="1:9" x14ac:dyDescent="0.25">
      <c r="A1923" s="132"/>
      <c r="B1923" s="132"/>
      <c r="C1923" s="132"/>
      <c r="D1923" s="132"/>
      <c r="E1923" s="5"/>
      <c r="F1923" s="5"/>
      <c r="G1923" s="5"/>
      <c r="H1923" s="5"/>
      <c r="I1923" s="47"/>
    </row>
    <row r="1924" spans="1:9" x14ac:dyDescent="0.25">
      <c r="A1924" s="132"/>
      <c r="B1924" s="132"/>
      <c r="C1924" s="132"/>
      <c r="D1924" s="132"/>
      <c r="E1924" s="5"/>
      <c r="F1924" s="5"/>
      <c r="G1924" s="411" t="s">
        <v>326</v>
      </c>
      <c r="H1924" s="411"/>
      <c r="I1924" s="251"/>
    </row>
    <row r="1925" spans="1:9" ht="30" customHeight="1" x14ac:dyDescent="0.25">
      <c r="A1925" s="462" t="s">
        <v>344</v>
      </c>
      <c r="B1925" s="462"/>
      <c r="C1925" s="462"/>
      <c r="D1925" s="462"/>
      <c r="E1925" s="462"/>
      <c r="F1925" s="462"/>
      <c r="G1925" s="462"/>
      <c r="H1925" s="462"/>
      <c r="I1925" s="266"/>
    </row>
    <row r="1926" spans="1:9" x14ac:dyDescent="0.25">
      <c r="A1926" s="132"/>
      <c r="B1926" s="132"/>
      <c r="C1926" s="132"/>
      <c r="D1926" s="132"/>
      <c r="E1926" s="5"/>
      <c r="F1926" s="5"/>
      <c r="G1926" s="133" t="s">
        <v>160</v>
      </c>
      <c r="H1926" s="91"/>
      <c r="I1926" s="261"/>
    </row>
    <row r="1927" spans="1:9" x14ac:dyDescent="0.25">
      <c r="A1927" s="132" t="s">
        <v>82</v>
      </c>
      <c r="B1927" s="132"/>
      <c r="C1927" s="132"/>
      <c r="D1927" s="132"/>
      <c r="E1927" s="5"/>
      <c r="F1927" s="5"/>
      <c r="G1927" s="5"/>
      <c r="H1927" s="5"/>
      <c r="I1927" s="47"/>
    </row>
    <row r="1928" spans="1:9" x14ac:dyDescent="0.25">
      <c r="A1928" s="134" t="s">
        <v>0</v>
      </c>
      <c r="B1928" s="135"/>
      <c r="C1928" s="136" t="s">
        <v>83</v>
      </c>
      <c r="D1928" s="136" t="s">
        <v>84</v>
      </c>
      <c r="E1928" s="9" t="s">
        <v>85</v>
      </c>
      <c r="F1928" s="9" t="s">
        <v>86</v>
      </c>
      <c r="G1928" s="9" t="s">
        <v>87</v>
      </c>
      <c r="H1928" s="10"/>
      <c r="I1928" s="47"/>
    </row>
    <row r="1929" spans="1:9" x14ac:dyDescent="0.25">
      <c r="A1929" s="137" t="s">
        <v>88</v>
      </c>
      <c r="B1929" s="138"/>
      <c r="C1929" s="139"/>
      <c r="D1929" s="139"/>
      <c r="E1929" s="14"/>
      <c r="F1929" s="14"/>
      <c r="G1929" s="14">
        <f>ROUND(H1955*0.05,0)-249</f>
        <v>579</v>
      </c>
      <c r="H1929" s="15"/>
      <c r="I1929" s="47"/>
    </row>
    <row r="1930" spans="1:9" x14ac:dyDescent="0.25">
      <c r="A1930" s="137" t="s">
        <v>258</v>
      </c>
      <c r="B1930" s="138"/>
      <c r="C1930" s="140" t="s">
        <v>259</v>
      </c>
      <c r="D1930" s="139"/>
      <c r="E1930" s="14">
        <v>200000</v>
      </c>
      <c r="F1930" s="16">
        <v>0.15</v>
      </c>
      <c r="G1930" s="14">
        <f>ROUND(E1930*F1930,0)</f>
        <v>30000</v>
      </c>
      <c r="H1930" s="15"/>
      <c r="I1930" s="47"/>
    </row>
    <row r="1931" spans="1:9" x14ac:dyDescent="0.25">
      <c r="A1931" s="11" t="s">
        <v>327</v>
      </c>
      <c r="B1931" s="138"/>
      <c r="C1931" s="140"/>
      <c r="D1931" s="139"/>
      <c r="E1931" s="14">
        <v>350000</v>
      </c>
      <c r="F1931" s="16">
        <v>0.01</v>
      </c>
      <c r="G1931" s="14">
        <f t="shared" ref="G1931:G1932" si="46">ROUND(E1931*F1931,0)</f>
        <v>3500</v>
      </c>
      <c r="H1931" s="15"/>
      <c r="I1931" s="47"/>
    </row>
    <row r="1932" spans="1:9" x14ac:dyDescent="0.25">
      <c r="A1932" s="11" t="s">
        <v>328</v>
      </c>
      <c r="B1932" s="138"/>
      <c r="C1932" s="140"/>
      <c r="D1932" s="139"/>
      <c r="E1932" s="14">
        <v>50000</v>
      </c>
      <c r="F1932" s="14">
        <v>0.01</v>
      </c>
      <c r="G1932" s="14">
        <f t="shared" si="46"/>
        <v>500</v>
      </c>
      <c r="H1932" s="17"/>
      <c r="I1932" s="47"/>
    </row>
    <row r="1933" spans="1:9" x14ac:dyDescent="0.25">
      <c r="A1933" s="141"/>
      <c r="B1933" s="142"/>
      <c r="C1933" s="142"/>
      <c r="D1933" s="142"/>
      <c r="E1933" s="98"/>
      <c r="F1933" s="99" t="s">
        <v>90</v>
      </c>
      <c r="G1933" s="143"/>
      <c r="H1933" s="14">
        <f>SUM(G1929:G1932)</f>
        <v>34579</v>
      </c>
      <c r="I1933" s="230"/>
    </row>
    <row r="1934" spans="1:9" x14ac:dyDescent="0.25">
      <c r="A1934" s="311" t="s">
        <v>91</v>
      </c>
      <c r="B1934" s="312"/>
      <c r="C1934" s="312"/>
      <c r="D1934" s="312"/>
      <c r="E1934" s="47"/>
      <c r="F1934" s="47"/>
      <c r="G1934" s="47"/>
      <c r="H1934" s="233"/>
      <c r="I1934" s="47"/>
    </row>
    <row r="1935" spans="1:9" x14ac:dyDescent="0.25">
      <c r="A1935" s="144" t="s">
        <v>0</v>
      </c>
      <c r="B1935" s="144"/>
      <c r="C1935" s="136" t="s">
        <v>92</v>
      </c>
      <c r="D1935" s="136" t="s">
        <v>93</v>
      </c>
      <c r="E1935" s="9" t="s">
        <v>94</v>
      </c>
      <c r="F1935" s="9" t="s">
        <v>95</v>
      </c>
      <c r="G1935" s="25" t="s">
        <v>96</v>
      </c>
      <c r="H1935" s="10"/>
      <c r="I1935" s="47"/>
    </row>
    <row r="1936" spans="1:9" x14ac:dyDescent="0.25">
      <c r="A1936" s="456" t="s">
        <v>149</v>
      </c>
      <c r="B1936" s="457"/>
      <c r="C1936" s="145" t="s">
        <v>92</v>
      </c>
      <c r="D1936" s="146"/>
      <c r="E1936" s="61">
        <v>2</v>
      </c>
      <c r="F1936" s="62">
        <v>2000</v>
      </c>
      <c r="G1936" s="62">
        <f t="shared" ref="G1936" si="47">ROUND(E1936*F1936,0)</f>
        <v>4000</v>
      </c>
      <c r="H1936" s="71"/>
      <c r="I1936" s="226"/>
    </row>
    <row r="1937" spans="1:12" x14ac:dyDescent="0.25">
      <c r="A1937" s="456"/>
      <c r="B1937" s="457"/>
      <c r="C1937" s="145"/>
      <c r="D1937" s="146"/>
      <c r="E1937" s="61"/>
      <c r="F1937" s="62"/>
      <c r="G1937" s="62"/>
      <c r="H1937" s="71"/>
      <c r="I1937" s="226"/>
    </row>
    <row r="1938" spans="1:12" ht="15" customHeight="1" x14ac:dyDescent="0.25">
      <c r="A1938" s="456"/>
      <c r="B1938" s="457"/>
      <c r="C1938" s="145"/>
      <c r="D1938" s="31"/>
      <c r="E1938" s="61"/>
      <c r="F1938" s="14"/>
      <c r="G1938" s="62">
        <f t="shared" ref="G1938:G1946" si="48">ROUND(E1938*F1938,0)</f>
        <v>0</v>
      </c>
      <c r="H1938" s="15"/>
      <c r="I1938" s="47"/>
    </row>
    <row r="1939" spans="1:12" x14ac:dyDescent="0.25">
      <c r="A1939" s="456"/>
      <c r="B1939" s="457"/>
      <c r="C1939" s="145"/>
      <c r="D1939" s="146"/>
      <c r="E1939" s="61"/>
      <c r="F1939" s="62"/>
      <c r="G1939" s="62">
        <f t="shared" si="48"/>
        <v>0</v>
      </c>
      <c r="H1939" s="71"/>
      <c r="I1939" s="226"/>
    </row>
    <row r="1940" spans="1:12" hidden="1" x14ac:dyDescent="0.25">
      <c r="A1940" s="456"/>
      <c r="B1940" s="457"/>
      <c r="C1940" s="145"/>
      <c r="D1940" s="146"/>
      <c r="E1940" s="61"/>
      <c r="F1940" s="62"/>
      <c r="G1940" s="62">
        <f t="shared" si="48"/>
        <v>0</v>
      </c>
      <c r="H1940" s="71"/>
      <c r="I1940" s="226"/>
    </row>
    <row r="1941" spans="1:12" hidden="1" x14ac:dyDescent="0.25">
      <c r="A1941" s="456"/>
      <c r="B1941" s="457"/>
      <c r="C1941" s="145"/>
      <c r="D1941" s="147"/>
      <c r="E1941" s="30"/>
      <c r="F1941" s="14"/>
      <c r="G1941" s="62">
        <f t="shared" si="48"/>
        <v>0</v>
      </c>
      <c r="H1941" s="15"/>
      <c r="I1941" s="47"/>
    </row>
    <row r="1942" spans="1:12" hidden="1" x14ac:dyDescent="0.25">
      <c r="A1942" s="456"/>
      <c r="B1942" s="457"/>
      <c r="C1942" s="145"/>
      <c r="D1942" s="146"/>
      <c r="E1942" s="61"/>
      <c r="F1942" s="62"/>
      <c r="G1942" s="62">
        <f t="shared" si="48"/>
        <v>0</v>
      </c>
      <c r="H1942" s="71"/>
      <c r="I1942" s="226"/>
    </row>
    <row r="1943" spans="1:12" hidden="1" x14ac:dyDescent="0.25">
      <c r="A1943" s="456"/>
      <c r="B1943" s="457"/>
      <c r="C1943" s="145"/>
      <c r="D1943" s="146"/>
      <c r="E1943" s="61"/>
      <c r="F1943" s="62"/>
      <c r="G1943" s="62"/>
      <c r="H1943" s="15"/>
      <c r="I1943" s="47"/>
    </row>
    <row r="1944" spans="1:12" x14ac:dyDescent="0.25">
      <c r="A1944" s="137"/>
      <c r="B1944" s="138"/>
      <c r="C1944" s="140"/>
      <c r="D1944" s="147"/>
      <c r="E1944" s="30"/>
      <c r="F1944" s="14"/>
      <c r="G1944" s="62">
        <f t="shared" si="48"/>
        <v>0</v>
      </c>
      <c r="H1944" s="17"/>
      <c r="I1944" s="47"/>
    </row>
    <row r="1945" spans="1:12" x14ac:dyDescent="0.25">
      <c r="A1945" s="137"/>
      <c r="B1945" s="148"/>
      <c r="C1945" s="140"/>
      <c r="D1945" s="147"/>
      <c r="E1945" s="30"/>
      <c r="F1945" s="14"/>
      <c r="G1945" s="62">
        <f t="shared" si="48"/>
        <v>0</v>
      </c>
      <c r="H1945" s="17"/>
      <c r="I1945" s="47"/>
    </row>
    <row r="1946" spans="1:12" x14ac:dyDescent="0.25">
      <c r="A1946" s="137"/>
      <c r="B1946" s="138"/>
      <c r="C1946" s="140"/>
      <c r="D1946" s="147"/>
      <c r="E1946" s="30"/>
      <c r="F1946" s="14"/>
      <c r="G1946" s="62">
        <f t="shared" si="48"/>
        <v>0</v>
      </c>
      <c r="H1946" s="17"/>
      <c r="I1946" s="47"/>
    </row>
    <row r="1947" spans="1:12" x14ac:dyDescent="0.25">
      <c r="A1947" s="311"/>
      <c r="B1947" s="312"/>
      <c r="C1947" s="312"/>
      <c r="D1947" s="312"/>
      <c r="E1947" s="149"/>
      <c r="F1947" s="150" t="s">
        <v>102</v>
      </c>
      <c r="G1947" s="151"/>
      <c r="H1947" s="23">
        <f>SUM(G1936:G1946)</f>
        <v>4000</v>
      </c>
      <c r="I1947" s="220"/>
    </row>
    <row r="1948" spans="1:12" x14ac:dyDescent="0.25">
      <c r="A1948" s="311"/>
      <c r="B1948" s="312"/>
      <c r="C1948" s="312"/>
      <c r="D1948" s="312"/>
      <c r="E1948" s="36"/>
      <c r="F1948" s="39" t="s">
        <v>103</v>
      </c>
      <c r="G1948" s="38"/>
      <c r="H1948" s="23">
        <f>(D1936*G1936)+(D1937*G1937)+(D1938*G1938)+(D1939*G1939)+(D1940*G1940)+(D1941*G1941)+(D1942*G1942)+(D1943*G1943)+(D1944*G1944)+(D1945*G1945)+(D1946*G1946)</f>
        <v>0</v>
      </c>
      <c r="I1948" s="220"/>
      <c r="L1948" s="64"/>
    </row>
    <row r="1949" spans="1:12" x14ac:dyDescent="0.25">
      <c r="A1949" s="311"/>
      <c r="B1949" s="312"/>
      <c r="C1949" s="312"/>
      <c r="D1949" s="312"/>
      <c r="E1949" s="36"/>
      <c r="F1949" s="20" t="s">
        <v>104</v>
      </c>
      <c r="G1949" s="40"/>
      <c r="H1949" s="23">
        <f>SUM(H1947:H1948)</f>
        <v>4000</v>
      </c>
      <c r="I1949" s="220"/>
    </row>
    <row r="1950" spans="1:12" x14ac:dyDescent="0.25">
      <c r="A1950" s="311" t="s">
        <v>105</v>
      </c>
      <c r="B1950" s="312"/>
      <c r="C1950" s="312"/>
      <c r="D1950" s="312"/>
      <c r="E1950" s="47"/>
      <c r="F1950" s="47"/>
      <c r="G1950" s="47"/>
      <c r="H1950" s="233"/>
      <c r="I1950" s="47"/>
    </row>
    <row r="1951" spans="1:12" x14ac:dyDescent="0.25">
      <c r="A1951" s="144" t="s">
        <v>0</v>
      </c>
      <c r="B1951" s="144"/>
      <c r="C1951" s="136" t="s">
        <v>106</v>
      </c>
      <c r="D1951" s="136" t="s">
        <v>107</v>
      </c>
      <c r="E1951" s="9" t="s">
        <v>108</v>
      </c>
      <c r="F1951" s="9" t="s">
        <v>109</v>
      </c>
      <c r="G1951" s="9" t="s">
        <v>96</v>
      </c>
      <c r="H1951" s="10"/>
      <c r="I1951" s="47"/>
    </row>
    <row r="1952" spans="1:12" x14ac:dyDescent="0.25">
      <c r="A1952" s="137" t="s">
        <v>110</v>
      </c>
      <c r="B1952" s="138"/>
      <c r="C1952" s="13">
        <f>104000+26000</f>
        <v>130000</v>
      </c>
      <c r="D1952" s="13">
        <f>+C1952*0.16</f>
        <v>20800</v>
      </c>
      <c r="E1952" s="14">
        <f>C1952+D1952</f>
        <v>150800</v>
      </c>
      <c r="F1952" s="30">
        <v>7.0000000000000007E-2</v>
      </c>
      <c r="G1952" s="14">
        <f>E1952*F1952</f>
        <v>10556.000000000002</v>
      </c>
      <c r="H1952" s="15"/>
      <c r="I1952" s="47"/>
    </row>
    <row r="1953" spans="1:12" x14ac:dyDescent="0.25">
      <c r="A1953" s="137" t="s">
        <v>111</v>
      </c>
      <c r="B1953" s="138"/>
      <c r="C1953" s="13">
        <f>60400+25850</f>
        <v>86250</v>
      </c>
      <c r="D1953" s="13">
        <f>+C1953*0.16</f>
        <v>13800</v>
      </c>
      <c r="E1953" s="14">
        <f>C1953+D1953</f>
        <v>100050</v>
      </c>
      <c r="F1953" s="30">
        <v>0.06</v>
      </c>
      <c r="G1953" s="14">
        <f>E1953*F1953</f>
        <v>6003</v>
      </c>
      <c r="H1953" s="15"/>
      <c r="I1953" s="47"/>
    </row>
    <row r="1954" spans="1:12" x14ac:dyDescent="0.25">
      <c r="A1954" s="137"/>
      <c r="B1954" s="138"/>
      <c r="C1954" s="139"/>
      <c r="D1954" s="139"/>
      <c r="E1954" s="14">
        <f>C1954+D1954</f>
        <v>0</v>
      </c>
      <c r="F1954" s="30"/>
      <c r="G1954" s="14">
        <f>E1954*F1954</f>
        <v>0</v>
      </c>
      <c r="H1954" s="17"/>
      <c r="I1954" s="47"/>
    </row>
    <row r="1955" spans="1:12" x14ac:dyDescent="0.25">
      <c r="A1955" s="311"/>
      <c r="B1955" s="312"/>
      <c r="C1955" s="312"/>
      <c r="D1955" s="312"/>
      <c r="E1955" s="101" t="s">
        <v>112</v>
      </c>
      <c r="F1955" s="37"/>
      <c r="G1955" s="38"/>
      <c r="H1955" s="23">
        <f>SUM(G1952:G1954)</f>
        <v>16559</v>
      </c>
      <c r="I1955" s="220"/>
    </row>
    <row r="1956" spans="1:12" x14ac:dyDescent="0.25">
      <c r="A1956" s="311"/>
      <c r="B1956" s="312"/>
      <c r="C1956" s="312"/>
      <c r="D1956" s="312"/>
      <c r="E1956" s="47"/>
      <c r="F1956" s="47"/>
      <c r="G1956" s="47"/>
      <c r="H1956" s="233"/>
      <c r="I1956" s="47"/>
    </row>
    <row r="1957" spans="1:12" x14ac:dyDescent="0.25">
      <c r="A1957" s="141"/>
      <c r="B1957" s="142"/>
      <c r="C1957" s="142"/>
      <c r="D1957" s="142"/>
      <c r="E1957" s="48" t="s">
        <v>113</v>
      </c>
      <c r="F1957" s="48"/>
      <c r="G1957" s="50"/>
      <c r="H1957" s="25">
        <f>H1955+H1949+H1933</f>
        <v>55138</v>
      </c>
      <c r="I1957" s="222"/>
    </row>
    <row r="1958" spans="1:12" x14ac:dyDescent="0.25">
      <c r="A1958" s="311"/>
      <c r="B1958" s="312"/>
      <c r="C1958" s="312"/>
      <c r="D1958" s="312"/>
      <c r="E1958" s="47"/>
      <c r="F1958" s="47"/>
      <c r="G1958" s="47"/>
      <c r="H1958" s="233"/>
      <c r="I1958" s="47"/>
    </row>
    <row r="1959" spans="1:12" x14ac:dyDescent="0.25">
      <c r="A1959" s="311" t="s">
        <v>114</v>
      </c>
      <c r="B1959" s="312"/>
      <c r="C1959" s="312"/>
      <c r="D1959" s="312"/>
      <c r="E1959" s="47"/>
      <c r="F1959" s="47"/>
      <c r="G1959" s="47"/>
      <c r="H1959" s="233"/>
      <c r="I1959" s="47"/>
    </row>
    <row r="1960" spans="1:12" x14ac:dyDescent="0.25">
      <c r="A1960" s="134" t="s">
        <v>0</v>
      </c>
      <c r="B1960" s="152"/>
      <c r="C1960" s="152"/>
      <c r="D1960" s="152"/>
      <c r="E1960" s="50"/>
      <c r="F1960" s="9" t="s">
        <v>115</v>
      </c>
      <c r="G1960" s="9" t="s">
        <v>116</v>
      </c>
      <c r="H1960" s="10"/>
      <c r="I1960" s="47"/>
    </row>
    <row r="1961" spans="1:12" x14ac:dyDescent="0.25">
      <c r="A1961" s="137" t="s">
        <v>260</v>
      </c>
      <c r="B1961" s="148"/>
      <c r="C1961" s="148"/>
      <c r="D1961" s="148"/>
      <c r="E1961" s="52"/>
      <c r="F1961" s="14"/>
      <c r="G1961" s="14">
        <f>F1961*H1957</f>
        <v>0</v>
      </c>
      <c r="H1961" s="15"/>
      <c r="I1961" s="47"/>
    </row>
    <row r="1962" spans="1:12" x14ac:dyDescent="0.25">
      <c r="A1962" s="137"/>
      <c r="B1962" s="148"/>
      <c r="C1962" s="148"/>
      <c r="D1962" s="148"/>
      <c r="E1962" s="52"/>
      <c r="F1962" s="14"/>
      <c r="G1962" s="14"/>
      <c r="H1962" s="15"/>
      <c r="I1962" s="47"/>
    </row>
    <row r="1963" spans="1:12" x14ac:dyDescent="0.25">
      <c r="A1963" s="137"/>
      <c r="B1963" s="148"/>
      <c r="C1963" s="148"/>
      <c r="D1963" s="148"/>
      <c r="E1963" s="52"/>
      <c r="F1963" s="14"/>
      <c r="G1963" s="14"/>
      <c r="H1963" s="17"/>
      <c r="I1963" s="47"/>
    </row>
    <row r="1964" spans="1:12" x14ac:dyDescent="0.25">
      <c r="A1964" s="132"/>
      <c r="B1964" s="132"/>
      <c r="C1964" s="132"/>
      <c r="D1964" s="132"/>
      <c r="E1964" s="101" t="s">
        <v>118</v>
      </c>
      <c r="F1964" s="37"/>
      <c r="G1964" s="38"/>
      <c r="H1964" s="36">
        <f>SUM(G1961:G1963)</f>
        <v>0</v>
      </c>
      <c r="I1964" s="220"/>
    </row>
    <row r="1965" spans="1:12" ht="15.75" thickBot="1" x14ac:dyDescent="0.3">
      <c r="A1965" s="132"/>
      <c r="B1965" s="132"/>
      <c r="C1965" s="132"/>
      <c r="D1965" s="132"/>
      <c r="E1965" s="5"/>
      <c r="F1965" s="5"/>
      <c r="G1965" s="5"/>
      <c r="H1965" s="5"/>
      <c r="I1965" s="47"/>
    </row>
    <row r="1966" spans="1:12" ht="15.75" thickBot="1" x14ac:dyDescent="0.3">
      <c r="A1966" s="132"/>
      <c r="B1966" s="132"/>
      <c r="C1966" s="132"/>
      <c r="D1966" s="132"/>
      <c r="E1966" s="54"/>
      <c r="F1966" s="54" t="s">
        <v>119</v>
      </c>
      <c r="G1966" s="54"/>
      <c r="H1966" s="240">
        <f>ROUND(SUM(H1964+H1957),0)</f>
        <v>55138</v>
      </c>
      <c r="I1966" s="112"/>
      <c r="K1966" s="192"/>
      <c r="L1966" s="191"/>
    </row>
    <row r="1970" spans="1:9" x14ac:dyDescent="0.25">
      <c r="A1970" s="132"/>
      <c r="B1970" s="132"/>
      <c r="C1970" s="132"/>
      <c r="D1970" s="132"/>
      <c r="E1970" s="54"/>
      <c r="F1970" s="54"/>
      <c r="G1970" s="54"/>
      <c r="H1970" s="112"/>
      <c r="I1970" s="112"/>
    </row>
    <row r="1971" spans="1:9" hidden="1" x14ac:dyDescent="0.25">
      <c r="A1971" s="132"/>
      <c r="B1971" s="132"/>
      <c r="C1971" s="132"/>
      <c r="D1971" s="132"/>
      <c r="E1971" s="54"/>
      <c r="F1971" s="54"/>
      <c r="G1971" s="54"/>
      <c r="H1971" s="112"/>
      <c r="I1971" s="112"/>
    </row>
    <row r="1972" spans="1:9" hidden="1" x14ac:dyDescent="0.25">
      <c r="A1972" s="132"/>
      <c r="B1972" s="132"/>
      <c r="C1972" s="132"/>
      <c r="D1972" s="132"/>
      <c r="E1972" s="54"/>
      <c r="F1972" s="54"/>
      <c r="G1972" s="54"/>
      <c r="H1972" s="112"/>
      <c r="I1972" s="112"/>
    </row>
    <row r="1973" spans="1:9" x14ac:dyDescent="0.25">
      <c r="A1973" s="132"/>
      <c r="B1973" s="132"/>
      <c r="C1973" s="132"/>
      <c r="D1973" s="132"/>
      <c r="E1973" s="54"/>
      <c r="F1973" s="54"/>
      <c r="G1973" s="54"/>
      <c r="H1973" s="112"/>
      <c r="I1973" s="112"/>
    </row>
    <row r="1976" spans="1:9" x14ac:dyDescent="0.25">
      <c r="A1976" s="463" t="s">
        <v>79</v>
      </c>
      <c r="B1976" s="463"/>
      <c r="C1976" s="463"/>
      <c r="D1976" s="463"/>
      <c r="E1976" s="463"/>
      <c r="F1976" s="463"/>
      <c r="G1976" s="463"/>
      <c r="H1976" s="463"/>
      <c r="I1976" s="265"/>
    </row>
    <row r="1977" spans="1:9" x14ac:dyDescent="0.25">
      <c r="A1977" s="132"/>
      <c r="B1977" s="132"/>
      <c r="C1977" s="132"/>
      <c r="D1977" s="132"/>
      <c r="E1977" s="5"/>
      <c r="F1977" s="5"/>
      <c r="G1977" s="5"/>
      <c r="H1977" s="5"/>
      <c r="I1977" s="47"/>
    </row>
    <row r="1978" spans="1:9" x14ac:dyDescent="0.25">
      <c r="A1978" s="132"/>
      <c r="B1978" s="132"/>
      <c r="C1978" s="132"/>
      <c r="D1978" s="132"/>
      <c r="E1978" s="5"/>
      <c r="F1978" s="5"/>
      <c r="G1978" s="411" t="s">
        <v>326</v>
      </c>
      <c r="H1978" s="411"/>
      <c r="I1978" s="251"/>
    </row>
    <row r="1979" spans="1:9" ht="43.5" customHeight="1" x14ac:dyDescent="0.25">
      <c r="A1979" s="462" t="s">
        <v>261</v>
      </c>
      <c r="B1979" s="462"/>
      <c r="C1979" s="462"/>
      <c r="D1979" s="462"/>
      <c r="E1979" s="462"/>
      <c r="F1979" s="462"/>
      <c r="G1979" s="462"/>
      <c r="H1979" s="462"/>
      <c r="I1979" s="266"/>
    </row>
    <row r="1980" spans="1:9" x14ac:dyDescent="0.25">
      <c r="A1980" s="132"/>
      <c r="B1980" s="132"/>
      <c r="C1980" s="132"/>
      <c r="D1980" s="132"/>
      <c r="E1980" s="5"/>
      <c r="F1980" s="5"/>
      <c r="G1980" s="133" t="s">
        <v>160</v>
      </c>
      <c r="H1980" s="91"/>
      <c r="I1980" s="261"/>
    </row>
    <row r="1981" spans="1:9" x14ac:dyDescent="0.25">
      <c r="A1981" s="132" t="s">
        <v>82</v>
      </c>
      <c r="B1981" s="132"/>
      <c r="C1981" s="132"/>
      <c r="D1981" s="132"/>
      <c r="E1981" s="5"/>
      <c r="F1981" s="5"/>
      <c r="G1981" s="5"/>
      <c r="H1981" s="5"/>
      <c r="I1981" s="47"/>
    </row>
    <row r="1982" spans="1:9" x14ac:dyDescent="0.25">
      <c r="A1982" s="134" t="s">
        <v>0</v>
      </c>
      <c r="B1982" s="135"/>
      <c r="C1982" s="136" t="s">
        <v>83</v>
      </c>
      <c r="D1982" s="136" t="s">
        <v>84</v>
      </c>
      <c r="E1982" s="9" t="s">
        <v>85</v>
      </c>
      <c r="F1982" s="9" t="s">
        <v>86</v>
      </c>
      <c r="G1982" s="9" t="s">
        <v>87</v>
      </c>
      <c r="H1982" s="10"/>
      <c r="I1982" s="47"/>
    </row>
    <row r="1983" spans="1:9" x14ac:dyDescent="0.25">
      <c r="A1983" s="137" t="s">
        <v>88</v>
      </c>
      <c r="B1983" s="138"/>
      <c r="C1983" s="139"/>
      <c r="D1983" s="139"/>
      <c r="E1983" s="14"/>
      <c r="F1983" s="14"/>
      <c r="G1983" s="14">
        <f>ROUND(H2009*0.05,0)-249</f>
        <v>529</v>
      </c>
      <c r="H1983" s="15"/>
      <c r="I1983" s="47"/>
    </row>
    <row r="1984" spans="1:9" x14ac:dyDescent="0.25">
      <c r="A1984" s="11" t="s">
        <v>328</v>
      </c>
      <c r="B1984" s="138"/>
      <c r="C1984" s="140"/>
      <c r="D1984" s="139"/>
      <c r="E1984" s="14">
        <v>50000</v>
      </c>
      <c r="F1984" s="16">
        <v>0.05</v>
      </c>
      <c r="G1984" s="14">
        <f>ROUND(E1984*F1984,0)</f>
        <v>2500</v>
      </c>
      <c r="H1984" s="15"/>
      <c r="I1984" s="47"/>
    </row>
    <row r="1985" spans="1:9" x14ac:dyDescent="0.25">
      <c r="A1985" s="11" t="s">
        <v>327</v>
      </c>
      <c r="B1985" s="138"/>
      <c r="C1985" s="140"/>
      <c r="D1985" s="139"/>
      <c r="E1985" s="14">
        <v>350000</v>
      </c>
      <c r="F1985" s="16">
        <v>0.01</v>
      </c>
      <c r="G1985" s="14">
        <f t="shared" ref="G1985:G1986" si="49">ROUND(E1985*F1985,0)</f>
        <v>3500</v>
      </c>
      <c r="H1985" s="15"/>
      <c r="I1985" s="47"/>
    </row>
    <row r="1986" spans="1:9" x14ac:dyDescent="0.25">
      <c r="A1986" s="137"/>
      <c r="B1986" s="138"/>
      <c r="C1986" s="140"/>
      <c r="D1986" s="139"/>
      <c r="E1986" s="14"/>
      <c r="F1986" s="14"/>
      <c r="G1986" s="14">
        <f t="shared" si="49"/>
        <v>0</v>
      </c>
      <c r="H1986" s="17"/>
      <c r="I1986" s="47"/>
    </row>
    <row r="1987" spans="1:9" x14ac:dyDescent="0.25">
      <c r="A1987" s="141"/>
      <c r="B1987" s="142"/>
      <c r="C1987" s="142"/>
      <c r="D1987" s="142"/>
      <c r="E1987" s="98"/>
      <c r="F1987" s="99" t="s">
        <v>90</v>
      </c>
      <c r="G1987" s="143"/>
      <c r="H1987" s="14">
        <f>SUM(G1983:G1986)</f>
        <v>6529</v>
      </c>
      <c r="I1987" s="230"/>
    </row>
    <row r="1988" spans="1:9" x14ac:dyDescent="0.25">
      <c r="A1988" s="311" t="s">
        <v>91</v>
      </c>
      <c r="B1988" s="312"/>
      <c r="C1988" s="312"/>
      <c r="D1988" s="312"/>
      <c r="E1988" s="47"/>
      <c r="F1988" s="47"/>
      <c r="G1988" s="47"/>
      <c r="H1988" s="233"/>
      <c r="I1988" s="47"/>
    </row>
    <row r="1989" spans="1:9" x14ac:dyDescent="0.25">
      <c r="A1989" s="144" t="s">
        <v>0</v>
      </c>
      <c r="B1989" s="144"/>
      <c r="C1989" s="136" t="s">
        <v>92</v>
      </c>
      <c r="D1989" s="136" t="s">
        <v>93</v>
      </c>
      <c r="E1989" s="9" t="s">
        <v>94</v>
      </c>
      <c r="F1989" s="9" t="s">
        <v>95</v>
      </c>
      <c r="G1989" s="25" t="s">
        <v>96</v>
      </c>
      <c r="H1989" s="10"/>
      <c r="I1989" s="47"/>
    </row>
    <row r="1990" spans="1:9" x14ac:dyDescent="0.25">
      <c r="A1990" s="456" t="s">
        <v>262</v>
      </c>
      <c r="B1990" s="457"/>
      <c r="C1990" s="145" t="s">
        <v>92</v>
      </c>
      <c r="D1990" s="146"/>
      <c r="E1990" s="61">
        <v>1</v>
      </c>
      <c r="F1990" s="62">
        <v>15000</v>
      </c>
      <c r="G1990" s="62">
        <f t="shared" ref="G1990:G1992" si="50">ROUND(E1990*F1990,0)</f>
        <v>15000</v>
      </c>
      <c r="H1990" s="71"/>
      <c r="I1990" s="226"/>
    </row>
    <row r="1991" spans="1:9" x14ac:dyDescent="0.25">
      <c r="A1991" s="456" t="s">
        <v>263</v>
      </c>
      <c r="B1991" s="457"/>
      <c r="C1991" s="145" t="s">
        <v>92</v>
      </c>
      <c r="D1991" s="146"/>
      <c r="E1991" s="61">
        <v>4</v>
      </c>
      <c r="F1991" s="62">
        <v>200</v>
      </c>
      <c r="G1991" s="62">
        <f t="shared" si="50"/>
        <v>800</v>
      </c>
      <c r="H1991" s="71"/>
      <c r="I1991" s="226"/>
    </row>
    <row r="1992" spans="1:9" ht="15" customHeight="1" x14ac:dyDescent="0.25">
      <c r="A1992" s="456"/>
      <c r="B1992" s="457"/>
      <c r="C1992" s="145"/>
      <c r="D1992" s="31"/>
      <c r="E1992" s="61"/>
      <c r="F1992" s="14"/>
      <c r="G1992" s="62">
        <f t="shared" si="50"/>
        <v>0</v>
      </c>
      <c r="H1992" s="15"/>
      <c r="I1992" s="47"/>
    </row>
    <row r="1993" spans="1:9" hidden="1" x14ac:dyDescent="0.25">
      <c r="A1993" s="456"/>
      <c r="B1993" s="457"/>
      <c r="C1993" s="145"/>
      <c r="D1993" s="146"/>
      <c r="E1993" s="61"/>
      <c r="F1993" s="62"/>
      <c r="G1993" s="62">
        <f t="shared" ref="G1993:G1996" si="51">ROUND(E1993*F1993,0)</f>
        <v>0</v>
      </c>
      <c r="H1993" s="71"/>
      <c r="I1993" s="226"/>
    </row>
    <row r="1994" spans="1:9" hidden="1" x14ac:dyDescent="0.25">
      <c r="A1994" s="456"/>
      <c r="B1994" s="457"/>
      <c r="C1994" s="145"/>
      <c r="D1994" s="146"/>
      <c r="E1994" s="61"/>
      <c r="F1994" s="62"/>
      <c r="G1994" s="62">
        <f t="shared" si="51"/>
        <v>0</v>
      </c>
      <c r="H1994" s="71"/>
      <c r="I1994" s="226"/>
    </row>
    <row r="1995" spans="1:9" hidden="1" x14ac:dyDescent="0.25">
      <c r="A1995" s="456"/>
      <c r="B1995" s="457"/>
      <c r="C1995" s="145"/>
      <c r="D1995" s="147"/>
      <c r="E1995" s="30"/>
      <c r="F1995" s="14"/>
      <c r="G1995" s="62">
        <f t="shared" si="51"/>
        <v>0</v>
      </c>
      <c r="H1995" s="15"/>
      <c r="I1995" s="47"/>
    </row>
    <row r="1996" spans="1:9" hidden="1" x14ac:dyDescent="0.25">
      <c r="A1996" s="456"/>
      <c r="B1996" s="457"/>
      <c r="C1996" s="145"/>
      <c r="D1996" s="146"/>
      <c r="E1996" s="61"/>
      <c r="F1996" s="62"/>
      <c r="G1996" s="62">
        <f t="shared" si="51"/>
        <v>0</v>
      </c>
      <c r="H1996" s="71"/>
      <c r="I1996" s="226"/>
    </row>
    <row r="1997" spans="1:9" hidden="1" x14ac:dyDescent="0.25">
      <c r="A1997" s="456"/>
      <c r="B1997" s="457"/>
      <c r="C1997" s="145"/>
      <c r="D1997" s="146"/>
      <c r="E1997" s="61"/>
      <c r="F1997" s="62"/>
      <c r="G1997" s="62"/>
      <c r="H1997" s="15"/>
      <c r="I1997" s="47"/>
    </row>
    <row r="1998" spans="1:9" hidden="1" x14ac:dyDescent="0.25">
      <c r="A1998" s="137"/>
      <c r="B1998" s="138"/>
      <c r="C1998" s="140"/>
      <c r="D1998" s="147"/>
      <c r="E1998" s="30"/>
      <c r="F1998" s="14"/>
      <c r="G1998" s="62">
        <f t="shared" ref="G1998:G2000" si="52">ROUND(E1998*F1998,0)</f>
        <v>0</v>
      </c>
      <c r="H1998" s="17"/>
      <c r="I1998" s="47"/>
    </row>
    <row r="1999" spans="1:9" hidden="1" x14ac:dyDescent="0.25">
      <c r="A1999" s="137"/>
      <c r="B1999" s="148"/>
      <c r="C1999" s="140"/>
      <c r="D1999" s="147"/>
      <c r="E1999" s="30"/>
      <c r="F1999" s="14"/>
      <c r="G1999" s="62">
        <f t="shared" si="52"/>
        <v>0</v>
      </c>
      <c r="H1999" s="17"/>
      <c r="I1999" s="47"/>
    </row>
    <row r="2000" spans="1:9" x14ac:dyDescent="0.25">
      <c r="A2000" s="137"/>
      <c r="B2000" s="138"/>
      <c r="C2000" s="140"/>
      <c r="D2000" s="147"/>
      <c r="E2000" s="30"/>
      <c r="F2000" s="14"/>
      <c r="G2000" s="62">
        <f t="shared" si="52"/>
        <v>0</v>
      </c>
      <c r="H2000" s="17"/>
      <c r="I2000" s="47"/>
    </row>
    <row r="2001" spans="1:12" x14ac:dyDescent="0.25">
      <c r="A2001" s="311"/>
      <c r="B2001" s="312"/>
      <c r="C2001" s="312"/>
      <c r="D2001" s="312"/>
      <c r="E2001" s="149"/>
      <c r="F2001" s="150" t="s">
        <v>102</v>
      </c>
      <c r="G2001" s="151"/>
      <c r="H2001" s="23">
        <f>SUM(G1990:G2000)</f>
        <v>15800</v>
      </c>
      <c r="I2001" s="220"/>
    </row>
    <row r="2002" spans="1:12" x14ac:dyDescent="0.25">
      <c r="A2002" s="311"/>
      <c r="B2002" s="312"/>
      <c r="C2002" s="312"/>
      <c r="D2002" s="312"/>
      <c r="E2002" s="36"/>
      <c r="F2002" s="39" t="s">
        <v>103</v>
      </c>
      <c r="G2002" s="38"/>
      <c r="H2002" s="23">
        <f>(D1990*G1990)+(D1991*G1991)+(D1992*G1992)+(D1993*G1993)+(D1994*G1994)+(D1995*G1995)+(D1996*G1996)+(D1997*G1997)+(D1998*G1998)+(D1999*G1999)+(D2000*G2000)</f>
        <v>0</v>
      </c>
      <c r="I2002" s="220"/>
      <c r="L2002" s="64"/>
    </row>
    <row r="2003" spans="1:12" x14ac:dyDescent="0.25">
      <c r="A2003" s="311"/>
      <c r="B2003" s="312"/>
      <c r="C2003" s="312"/>
      <c r="D2003" s="312"/>
      <c r="E2003" s="36"/>
      <c r="F2003" s="20" t="s">
        <v>104</v>
      </c>
      <c r="G2003" s="40"/>
      <c r="H2003" s="23">
        <f>SUM(H2001:H2002)</f>
        <v>15800</v>
      </c>
      <c r="I2003" s="220"/>
    </row>
    <row r="2004" spans="1:12" x14ac:dyDescent="0.25">
      <c r="A2004" s="311" t="s">
        <v>105</v>
      </c>
      <c r="B2004" s="312"/>
      <c r="C2004" s="312"/>
      <c r="D2004" s="312"/>
      <c r="E2004" s="47"/>
      <c r="F2004" s="47"/>
      <c r="G2004" s="47"/>
      <c r="H2004" s="233"/>
      <c r="I2004" s="47"/>
    </row>
    <row r="2005" spans="1:12" x14ac:dyDescent="0.25">
      <c r="A2005" s="144" t="s">
        <v>0</v>
      </c>
      <c r="B2005" s="144"/>
      <c r="C2005" s="136" t="s">
        <v>106</v>
      </c>
      <c r="D2005" s="136" t="s">
        <v>107</v>
      </c>
      <c r="E2005" s="9" t="s">
        <v>108</v>
      </c>
      <c r="F2005" s="9" t="s">
        <v>109</v>
      </c>
      <c r="G2005" s="9" t="s">
        <v>96</v>
      </c>
      <c r="H2005" s="10"/>
      <c r="I2005" s="47"/>
    </row>
    <row r="2006" spans="1:12" x14ac:dyDescent="0.25">
      <c r="A2006" s="137" t="s">
        <v>110</v>
      </c>
      <c r="B2006" s="138"/>
      <c r="C2006" s="13">
        <f>104000+26000</f>
        <v>130000</v>
      </c>
      <c r="D2006" s="13">
        <f>+C2006*0.16</f>
        <v>20800</v>
      </c>
      <c r="E2006" s="14">
        <f>C2006+D2006</f>
        <v>150800</v>
      </c>
      <c r="F2006" s="30">
        <v>7.0000000000000007E-2</v>
      </c>
      <c r="G2006" s="14">
        <f>E2006*F2006</f>
        <v>10556.000000000002</v>
      </c>
      <c r="H2006" s="15"/>
      <c r="I2006" s="47"/>
    </row>
    <row r="2007" spans="1:12" x14ac:dyDescent="0.25">
      <c r="A2007" s="137" t="s">
        <v>111</v>
      </c>
      <c r="B2007" s="138"/>
      <c r="C2007" s="13">
        <f>60400+25850</f>
        <v>86250</v>
      </c>
      <c r="D2007" s="13">
        <f>+C2007*0.16</f>
        <v>13800</v>
      </c>
      <c r="E2007" s="14">
        <f>C2007+D2007</f>
        <v>100050</v>
      </c>
      <c r="F2007" s="30">
        <v>0.05</v>
      </c>
      <c r="G2007" s="14">
        <f>E2007*F2007</f>
        <v>5002.5</v>
      </c>
      <c r="H2007" s="15"/>
      <c r="I2007" s="47"/>
    </row>
    <row r="2008" spans="1:12" hidden="1" x14ac:dyDescent="0.25">
      <c r="A2008" s="137"/>
      <c r="B2008" s="138"/>
      <c r="C2008" s="139"/>
      <c r="D2008" s="139"/>
      <c r="E2008" s="14">
        <f>C2008+D2008</f>
        <v>0</v>
      </c>
      <c r="F2008" s="30"/>
      <c r="G2008" s="14">
        <f>E2008*F2008</f>
        <v>0</v>
      </c>
      <c r="H2008" s="17"/>
      <c r="I2008" s="47"/>
    </row>
    <row r="2009" spans="1:12" x14ac:dyDescent="0.25">
      <c r="A2009" s="311"/>
      <c r="B2009" s="312"/>
      <c r="C2009" s="312"/>
      <c r="D2009" s="312"/>
      <c r="E2009" s="101" t="s">
        <v>112</v>
      </c>
      <c r="F2009" s="37"/>
      <c r="G2009" s="38"/>
      <c r="H2009" s="23">
        <f>SUM(G2006:G2008)</f>
        <v>15558.500000000002</v>
      </c>
      <c r="I2009" s="220"/>
    </row>
    <row r="2010" spans="1:12" x14ac:dyDescent="0.25">
      <c r="A2010" s="311"/>
      <c r="B2010" s="312"/>
      <c r="C2010" s="312"/>
      <c r="D2010" s="312"/>
      <c r="E2010" s="47"/>
      <c r="F2010" s="47"/>
      <c r="G2010" s="47"/>
      <c r="H2010" s="233"/>
      <c r="I2010" s="47"/>
    </row>
    <row r="2011" spans="1:12" x14ac:dyDescent="0.25">
      <c r="A2011" s="141"/>
      <c r="B2011" s="142"/>
      <c r="C2011" s="142"/>
      <c r="D2011" s="142"/>
      <c r="E2011" s="48" t="s">
        <v>113</v>
      </c>
      <c r="F2011" s="48"/>
      <c r="G2011" s="50"/>
      <c r="H2011" s="25">
        <f>H2009+H2003+H1987</f>
        <v>37887.5</v>
      </c>
      <c r="I2011" s="222"/>
    </row>
    <row r="2012" spans="1:12" x14ac:dyDescent="0.25">
      <c r="A2012" s="311"/>
      <c r="B2012" s="312"/>
      <c r="C2012" s="312"/>
      <c r="D2012" s="312"/>
      <c r="E2012" s="47"/>
      <c r="F2012" s="47"/>
      <c r="G2012" s="47"/>
      <c r="H2012" s="233"/>
      <c r="I2012" s="47"/>
    </row>
    <row r="2013" spans="1:12" x14ac:dyDescent="0.25">
      <c r="A2013" s="311" t="s">
        <v>114</v>
      </c>
      <c r="B2013" s="312"/>
      <c r="C2013" s="312"/>
      <c r="D2013" s="312"/>
      <c r="E2013" s="47"/>
      <c r="F2013" s="47"/>
      <c r="G2013" s="47"/>
      <c r="H2013" s="233"/>
      <c r="I2013" s="47"/>
    </row>
    <row r="2014" spans="1:12" x14ac:dyDescent="0.25">
      <c r="A2014" s="134" t="s">
        <v>0</v>
      </c>
      <c r="B2014" s="152"/>
      <c r="C2014" s="152"/>
      <c r="D2014" s="152"/>
      <c r="E2014" s="50"/>
      <c r="F2014" s="9" t="s">
        <v>115</v>
      </c>
      <c r="G2014" s="9" t="s">
        <v>116</v>
      </c>
      <c r="H2014" s="10"/>
      <c r="I2014" s="47"/>
    </row>
    <row r="2015" spans="1:12" x14ac:dyDescent="0.25">
      <c r="A2015" s="137" t="s">
        <v>260</v>
      </c>
      <c r="B2015" s="148"/>
      <c r="C2015" s="148"/>
      <c r="D2015" s="148"/>
      <c r="E2015" s="52"/>
      <c r="F2015" s="14"/>
      <c r="G2015" s="14">
        <f>F2015*H2011</f>
        <v>0</v>
      </c>
      <c r="H2015" s="17"/>
      <c r="I2015" s="47"/>
    </row>
    <row r="2016" spans="1:12" hidden="1" x14ac:dyDescent="0.25">
      <c r="A2016" s="309"/>
      <c r="B2016" s="310"/>
      <c r="C2016" s="310"/>
      <c r="D2016" s="310"/>
      <c r="E2016" s="302"/>
      <c r="F2016" s="304"/>
      <c r="G2016" s="304"/>
      <c r="H2016" s="236"/>
      <c r="I2016" s="47"/>
    </row>
    <row r="2017" spans="1:12" hidden="1" x14ac:dyDescent="0.25">
      <c r="A2017" s="137"/>
      <c r="B2017" s="148"/>
      <c r="C2017" s="148"/>
      <c r="D2017" s="148"/>
      <c r="E2017" s="52"/>
      <c r="F2017" s="14"/>
      <c r="G2017" s="14"/>
      <c r="H2017" s="237"/>
      <c r="I2017" s="47"/>
    </row>
    <row r="2018" spans="1:12" x14ac:dyDescent="0.25">
      <c r="A2018" s="132"/>
      <c r="B2018" s="132"/>
      <c r="C2018" s="132"/>
      <c r="D2018" s="132"/>
      <c r="E2018" s="101" t="s">
        <v>118</v>
      </c>
      <c r="F2018" s="37"/>
      <c r="G2018" s="38"/>
      <c r="H2018" s="36">
        <f>SUM(G2015:G2017)</f>
        <v>0</v>
      </c>
      <c r="I2018" s="220"/>
    </row>
    <row r="2019" spans="1:12" ht="15.75" thickBot="1" x14ac:dyDescent="0.3">
      <c r="A2019" s="132"/>
      <c r="B2019" s="132"/>
      <c r="C2019" s="132"/>
      <c r="D2019" s="132"/>
      <c r="E2019" s="5"/>
      <c r="F2019" s="5"/>
      <c r="G2019" s="5"/>
      <c r="H2019" s="5"/>
      <c r="I2019" s="47"/>
    </row>
    <row r="2020" spans="1:12" ht="15.75" thickBot="1" x14ac:dyDescent="0.3">
      <c r="A2020" s="132"/>
      <c r="B2020" s="132"/>
      <c r="C2020" s="132"/>
      <c r="D2020" s="132"/>
      <c r="E2020" s="54"/>
      <c r="F2020" s="54" t="s">
        <v>119</v>
      </c>
      <c r="G2020" s="54"/>
      <c r="H2020" s="240">
        <f>ROUND(SUM(H2018+H2011),0)</f>
        <v>37888</v>
      </c>
      <c r="I2020" s="112"/>
      <c r="K2020" s="154"/>
      <c r="L2020" s="193"/>
    </row>
    <row r="2021" spans="1:12" x14ac:dyDescent="0.25">
      <c r="A2021" s="132"/>
      <c r="B2021" s="132"/>
      <c r="C2021" s="132"/>
      <c r="D2021" s="132"/>
      <c r="E2021" s="54"/>
      <c r="F2021" s="54"/>
      <c r="G2021" s="54"/>
      <c r="H2021" s="112"/>
      <c r="I2021" s="112"/>
      <c r="K2021" s="154"/>
      <c r="L2021" s="153"/>
    </row>
    <row r="2022" spans="1:12" x14ac:dyDescent="0.25">
      <c r="A2022" s="132"/>
      <c r="B2022" s="132"/>
      <c r="C2022" s="132"/>
      <c r="D2022" s="132"/>
      <c r="E2022" s="54"/>
      <c r="F2022" s="54"/>
      <c r="G2022" s="54"/>
      <c r="H2022" s="112"/>
      <c r="I2022" s="112"/>
      <c r="K2022" s="154"/>
      <c r="L2022" s="153"/>
    </row>
    <row r="2023" spans="1:12" x14ac:dyDescent="0.25">
      <c r="A2023" s="132"/>
      <c r="B2023" s="132"/>
      <c r="C2023" s="132"/>
      <c r="D2023" s="132"/>
      <c r="E2023" s="54"/>
      <c r="F2023" s="54"/>
      <c r="G2023" s="54"/>
      <c r="H2023" s="112"/>
      <c r="I2023" s="112"/>
      <c r="K2023" s="154"/>
      <c r="L2023" s="153"/>
    </row>
    <row r="2024" spans="1:12" x14ac:dyDescent="0.25">
      <c r="A2024" s="132"/>
      <c r="B2024" s="132"/>
      <c r="C2024" s="132"/>
      <c r="D2024" s="132"/>
      <c r="E2024" s="54"/>
      <c r="F2024" s="54"/>
      <c r="G2024" s="54"/>
      <c r="H2024" s="112"/>
      <c r="I2024" s="112"/>
      <c r="K2024" s="154"/>
      <c r="L2024" s="153"/>
    </row>
    <row r="2025" spans="1:12" x14ac:dyDescent="0.25">
      <c r="A2025" s="132"/>
      <c r="B2025" s="132"/>
      <c r="C2025" s="132"/>
      <c r="D2025" s="132"/>
      <c r="E2025" s="54"/>
      <c r="F2025" s="54"/>
      <c r="G2025" s="54"/>
      <c r="H2025" s="112"/>
      <c r="I2025" s="112"/>
      <c r="K2025" s="154"/>
      <c r="L2025" s="153"/>
    </row>
    <row r="2026" spans="1:12" x14ac:dyDescent="0.25">
      <c r="A2026" s="132"/>
      <c r="B2026" s="132"/>
      <c r="C2026" s="132"/>
      <c r="D2026" s="132"/>
      <c r="E2026" s="54"/>
      <c r="F2026" s="54"/>
      <c r="G2026" s="54"/>
      <c r="H2026" s="112"/>
      <c r="I2026" s="112"/>
      <c r="K2026" s="154"/>
      <c r="L2026" s="153"/>
    </row>
    <row r="2027" spans="1:12" x14ac:dyDescent="0.25">
      <c r="A2027" s="132"/>
      <c r="B2027" s="132"/>
      <c r="C2027" s="132"/>
      <c r="D2027" s="132"/>
      <c r="E2027" s="54"/>
      <c r="F2027" s="54"/>
      <c r="G2027" s="54"/>
      <c r="H2027" s="112"/>
      <c r="I2027" s="112"/>
      <c r="K2027" s="154"/>
      <c r="L2027" s="153"/>
    </row>
    <row r="2028" spans="1:12" x14ac:dyDescent="0.25">
      <c r="A2028" s="132"/>
      <c r="B2028" s="132"/>
      <c r="C2028" s="132"/>
      <c r="D2028" s="132"/>
      <c r="E2028" s="54"/>
      <c r="F2028" s="54"/>
      <c r="G2028" s="54"/>
      <c r="H2028" s="112"/>
      <c r="I2028" s="112"/>
      <c r="K2028" s="154"/>
      <c r="L2028" s="153"/>
    </row>
    <row r="2029" spans="1:12" x14ac:dyDescent="0.25">
      <c r="A2029" s="132"/>
      <c r="B2029" s="132"/>
      <c r="C2029" s="132"/>
      <c r="D2029" s="132"/>
      <c r="E2029" s="54"/>
      <c r="F2029" s="54"/>
      <c r="G2029" s="54"/>
      <c r="H2029" s="112"/>
      <c r="I2029" s="112"/>
      <c r="K2029" s="154"/>
      <c r="L2029" s="153"/>
    </row>
    <row r="2032" spans="1:12" x14ac:dyDescent="0.25">
      <c r="A2032" s="412" t="s">
        <v>79</v>
      </c>
      <c r="B2032" s="412"/>
      <c r="C2032" s="412"/>
      <c r="D2032" s="412"/>
      <c r="E2032" s="412"/>
      <c r="F2032" s="412"/>
      <c r="G2032" s="412"/>
      <c r="H2032" s="412"/>
      <c r="I2032" s="250"/>
    </row>
    <row r="2033" spans="1:16" x14ac:dyDescent="0.25">
      <c r="A2033" s="4"/>
      <c r="B2033" s="4"/>
      <c r="C2033" s="4"/>
      <c r="D2033" s="4"/>
      <c r="E2033" s="5"/>
      <c r="F2033" s="5"/>
      <c r="G2033" s="411" t="s">
        <v>326</v>
      </c>
      <c r="H2033" s="411"/>
      <c r="I2033" s="251"/>
    </row>
    <row r="2034" spans="1:16" x14ac:dyDescent="0.25">
      <c r="A2034" s="410" t="s">
        <v>265</v>
      </c>
      <c r="B2034" s="410"/>
      <c r="C2034" s="410"/>
      <c r="D2034" s="410"/>
      <c r="E2034" s="410"/>
      <c r="F2034" s="410"/>
      <c r="G2034" s="410"/>
      <c r="H2034" s="410"/>
      <c r="I2034" s="254"/>
    </row>
    <row r="2035" spans="1:16" x14ac:dyDescent="0.25">
      <c r="A2035" s="4"/>
      <c r="B2035" s="4"/>
      <c r="C2035" s="4"/>
      <c r="D2035" s="4"/>
      <c r="E2035" s="5"/>
      <c r="F2035" s="5"/>
      <c r="G2035" s="414" t="s">
        <v>81</v>
      </c>
      <c r="H2035" s="414"/>
      <c r="I2035" s="253"/>
    </row>
    <row r="2036" spans="1:16" x14ac:dyDescent="0.25">
      <c r="A2036" s="4" t="s">
        <v>82</v>
      </c>
      <c r="B2036" s="4"/>
      <c r="C2036" s="4"/>
      <c r="D2036" s="4"/>
      <c r="E2036" s="5"/>
      <c r="F2036" s="5"/>
      <c r="G2036" s="5"/>
      <c r="H2036" s="5"/>
      <c r="I2036" s="47"/>
    </row>
    <row r="2037" spans="1:16" x14ac:dyDescent="0.25">
      <c r="A2037" s="6" t="s">
        <v>0</v>
      </c>
      <c r="B2037" s="7"/>
      <c r="C2037" s="8" t="s">
        <v>83</v>
      </c>
      <c r="D2037" s="8" t="s">
        <v>84</v>
      </c>
      <c r="E2037" s="9" t="s">
        <v>85</v>
      </c>
      <c r="F2037" s="9" t="s">
        <v>86</v>
      </c>
      <c r="G2037" s="9" t="s">
        <v>87</v>
      </c>
      <c r="H2037" s="10"/>
      <c r="I2037" s="47"/>
    </row>
    <row r="2038" spans="1:16" x14ac:dyDescent="0.25">
      <c r="A2038" s="11" t="s">
        <v>88</v>
      </c>
      <c r="B2038" s="12"/>
      <c r="C2038" s="13"/>
      <c r="D2038" s="13"/>
      <c r="E2038" s="14"/>
      <c r="F2038" s="14"/>
      <c r="G2038" s="14">
        <f>ROUND(H2062*0.05,0)+8-16</f>
        <v>2878</v>
      </c>
      <c r="H2038" s="15"/>
      <c r="I2038" s="47"/>
    </row>
    <row r="2039" spans="1:16" x14ac:dyDescent="0.25">
      <c r="A2039" s="11" t="s">
        <v>327</v>
      </c>
      <c r="B2039" s="12"/>
      <c r="C2039" s="13"/>
      <c r="D2039" s="13"/>
      <c r="E2039" s="14">
        <v>350000</v>
      </c>
      <c r="F2039" s="14">
        <v>0.15</v>
      </c>
      <c r="G2039" s="14">
        <f>ROUND(E2039*F2039,0)</f>
        <v>52500</v>
      </c>
      <c r="H2039" s="15"/>
      <c r="I2039" s="47"/>
    </row>
    <row r="2040" spans="1:16" x14ac:dyDescent="0.25">
      <c r="A2040" s="415" t="s">
        <v>352</v>
      </c>
      <c r="B2040" s="416"/>
      <c r="C2040" s="13"/>
      <c r="D2040" s="13"/>
      <c r="E2040" s="74">
        <v>15000</v>
      </c>
      <c r="F2040" s="14">
        <v>0.25</v>
      </c>
      <c r="G2040" s="14">
        <f t="shared" ref="G2040:G2041" si="53">ROUND(E2040*F2040,0)</f>
        <v>3750</v>
      </c>
      <c r="H2040" s="15"/>
      <c r="I2040" s="47"/>
    </row>
    <row r="2041" spans="1:16" x14ac:dyDescent="0.25">
      <c r="A2041" s="415" t="s">
        <v>328</v>
      </c>
      <c r="B2041" s="416"/>
      <c r="C2041" s="13"/>
      <c r="D2041" s="13"/>
      <c r="E2041" s="14">
        <v>50000</v>
      </c>
      <c r="F2041" s="14">
        <v>1</v>
      </c>
      <c r="G2041" s="14">
        <f t="shared" si="53"/>
        <v>50000</v>
      </c>
      <c r="H2041" s="58"/>
      <c r="I2041" s="224"/>
    </row>
    <row r="2042" spans="1:16" x14ac:dyDescent="0.25">
      <c r="A2042" s="18"/>
      <c r="B2042" s="19"/>
      <c r="C2042" s="19"/>
      <c r="D2042" s="19"/>
      <c r="E2042" s="20"/>
      <c r="F2042" s="21" t="s">
        <v>90</v>
      </c>
      <c r="G2042" s="22"/>
      <c r="H2042" s="23">
        <f>SUM(G2038:G2041)</f>
        <v>109128</v>
      </c>
      <c r="I2042" s="220"/>
    </row>
    <row r="2043" spans="1:16" x14ac:dyDescent="0.25">
      <c r="A2043" s="291" t="s">
        <v>91</v>
      </c>
      <c r="B2043" s="228"/>
      <c r="C2043" s="228"/>
      <c r="D2043" s="228"/>
      <c r="E2043" s="47"/>
      <c r="F2043" s="47"/>
      <c r="G2043" s="47"/>
      <c r="H2043" s="233"/>
      <c r="I2043" s="47"/>
    </row>
    <row r="2044" spans="1:16" x14ac:dyDescent="0.25">
      <c r="A2044" s="24" t="s">
        <v>0</v>
      </c>
      <c r="B2044" s="24"/>
      <c r="C2044" s="8" t="s">
        <v>92</v>
      </c>
      <c r="D2044" s="8" t="s">
        <v>93</v>
      </c>
      <c r="E2044" s="9" t="s">
        <v>94</v>
      </c>
      <c r="F2044" s="9" t="s">
        <v>95</v>
      </c>
      <c r="G2044" s="25" t="s">
        <v>96</v>
      </c>
      <c r="H2044" s="10"/>
      <c r="I2044" s="47"/>
    </row>
    <row r="2045" spans="1:16" ht="28.9" customHeight="1" x14ac:dyDescent="0.25">
      <c r="A2045" s="419" t="s">
        <v>266</v>
      </c>
      <c r="B2045" s="419"/>
      <c r="C2045" s="59" t="s">
        <v>9</v>
      </c>
      <c r="D2045" s="60">
        <v>0.05</v>
      </c>
      <c r="E2045" s="61">
        <v>1</v>
      </c>
      <c r="F2045" s="62">
        <f>77970/6</f>
        <v>12995</v>
      </c>
      <c r="G2045" s="62">
        <f t="shared" ref="G2045:G2051" si="54">ROUND(E2045*F2045,0)</f>
        <v>12995</v>
      </c>
      <c r="H2045" s="15"/>
      <c r="I2045" s="47"/>
      <c r="K2045" t="s">
        <v>151</v>
      </c>
      <c r="L2045" s="63">
        <v>296800</v>
      </c>
      <c r="M2045" s="63">
        <v>15000</v>
      </c>
      <c r="N2045" s="63">
        <v>40000</v>
      </c>
      <c r="O2045" s="63">
        <f>SUM(L2045:N2045)</f>
        <v>351800</v>
      </c>
      <c r="P2045" s="63">
        <f>+O2045/6</f>
        <v>58633.333333333336</v>
      </c>
    </row>
    <row r="2046" spans="1:16" ht="28.9" customHeight="1" x14ac:dyDescent="0.25">
      <c r="A2046" s="419" t="s">
        <v>153</v>
      </c>
      <c r="B2046" s="419"/>
      <c r="C2046" s="59" t="s">
        <v>154</v>
      </c>
      <c r="D2046" s="65">
        <v>0.05</v>
      </c>
      <c r="E2046" s="61">
        <v>0.15</v>
      </c>
      <c r="F2046" s="62">
        <f>ROUND(146000/3,0)</f>
        <v>48667</v>
      </c>
      <c r="G2046" s="62">
        <f t="shared" si="54"/>
        <v>7300</v>
      </c>
      <c r="H2046" s="15"/>
      <c r="I2046" s="47"/>
      <c r="P2046">
        <f>+P2045/10*8</f>
        <v>46906.666666666672</v>
      </c>
    </row>
    <row r="2047" spans="1:16" x14ac:dyDescent="0.25">
      <c r="A2047" s="419" t="s">
        <v>267</v>
      </c>
      <c r="B2047" s="419"/>
      <c r="C2047" s="59" t="s">
        <v>140</v>
      </c>
      <c r="D2047" s="60">
        <v>0.05</v>
      </c>
      <c r="E2047" s="66">
        <v>7.4999999999999997E-2</v>
      </c>
      <c r="F2047" s="67">
        <v>121000</v>
      </c>
      <c r="G2047" s="67">
        <f t="shared" si="54"/>
        <v>9075</v>
      </c>
      <c r="H2047" s="68"/>
      <c r="I2047" s="225"/>
    </row>
    <row r="2048" spans="1:16" x14ac:dyDescent="0.25">
      <c r="A2048" s="419" t="s">
        <v>141</v>
      </c>
      <c r="B2048" s="419"/>
      <c r="C2048" s="28" t="s">
        <v>140</v>
      </c>
      <c r="D2048" s="31"/>
      <c r="E2048" s="30">
        <v>0.05</v>
      </c>
      <c r="F2048" s="14">
        <v>58000</v>
      </c>
      <c r="G2048" s="14">
        <f t="shared" si="54"/>
        <v>2900</v>
      </c>
      <c r="H2048" s="15"/>
      <c r="I2048" s="47"/>
    </row>
    <row r="2049" spans="1:9" x14ac:dyDescent="0.25">
      <c r="A2049" s="419" t="s">
        <v>138</v>
      </c>
      <c r="B2049" s="419"/>
      <c r="C2049" s="28" t="s">
        <v>18</v>
      </c>
      <c r="D2049" s="34"/>
      <c r="E2049" s="30">
        <v>0.1</v>
      </c>
      <c r="F2049" s="14">
        <v>1900</v>
      </c>
      <c r="G2049" s="14">
        <f t="shared" si="54"/>
        <v>190</v>
      </c>
      <c r="H2049" s="15"/>
      <c r="I2049" s="47"/>
    </row>
    <row r="2050" spans="1:9" x14ac:dyDescent="0.25">
      <c r="A2050" s="419" t="s">
        <v>139</v>
      </c>
      <c r="B2050" s="419"/>
      <c r="C2050" s="28" t="s">
        <v>18</v>
      </c>
      <c r="D2050" s="31"/>
      <c r="E2050" s="30">
        <v>0.05</v>
      </c>
      <c r="F2050" s="14">
        <v>8500</v>
      </c>
      <c r="G2050" s="14">
        <f t="shared" si="54"/>
        <v>425</v>
      </c>
      <c r="H2050" s="15"/>
      <c r="I2050" s="47"/>
    </row>
    <row r="2051" spans="1:9" x14ac:dyDescent="0.25">
      <c r="A2051" s="417" t="s">
        <v>268</v>
      </c>
      <c r="B2051" s="418"/>
      <c r="C2051" s="59" t="s">
        <v>158</v>
      </c>
      <c r="D2051" s="70"/>
      <c r="E2051" s="61">
        <v>1</v>
      </c>
      <c r="F2051" s="62">
        <v>5000</v>
      </c>
      <c r="G2051" s="62">
        <f t="shared" si="54"/>
        <v>5000</v>
      </c>
      <c r="H2051" s="71"/>
      <c r="I2051" s="226"/>
    </row>
    <row r="2052" spans="1:9" x14ac:dyDescent="0.25">
      <c r="A2052" s="417"/>
      <c r="B2052" s="418"/>
      <c r="C2052" s="35"/>
      <c r="D2052" s="31"/>
      <c r="E2052" s="30"/>
      <c r="F2052" s="14"/>
      <c r="G2052" s="14"/>
      <c r="H2052" s="15"/>
      <c r="I2052" s="47"/>
    </row>
    <row r="2053" spans="1:9" x14ac:dyDescent="0.25">
      <c r="A2053" s="11"/>
      <c r="B2053" s="12"/>
      <c r="C2053" s="35"/>
      <c r="D2053" s="31"/>
      <c r="E2053" s="30"/>
      <c r="F2053" s="14"/>
      <c r="G2053" s="14"/>
      <c r="H2053" s="17"/>
      <c r="I2053" s="47"/>
    </row>
    <row r="2054" spans="1:9" x14ac:dyDescent="0.25">
      <c r="A2054" s="291"/>
      <c r="B2054" s="228"/>
      <c r="C2054" s="228"/>
      <c r="D2054" s="228"/>
      <c r="E2054" s="36"/>
      <c r="F2054" s="37" t="s">
        <v>102</v>
      </c>
      <c r="G2054" s="38"/>
      <c r="H2054" s="23">
        <f>SUM(G2045:G2053)</f>
        <v>37885</v>
      </c>
      <c r="I2054" s="220"/>
    </row>
    <row r="2055" spans="1:9" x14ac:dyDescent="0.25">
      <c r="A2055" s="291"/>
      <c r="B2055" s="228"/>
      <c r="C2055" s="228"/>
      <c r="D2055" s="228"/>
      <c r="E2055" s="36"/>
      <c r="F2055" s="39" t="s">
        <v>103</v>
      </c>
      <c r="G2055" s="38"/>
      <c r="H2055" s="23">
        <f>ROUND((D2045*G2045)+(D2046*G2046)+(D2047*G2047)+(D2048*G2048)+(D2049*G2049)+(D2050*G2050)+(D2051*G2051)+(D2052*G2052)+(D2053*G2053),0)</f>
        <v>1469</v>
      </c>
      <c r="I2055" s="220"/>
    </row>
    <row r="2056" spans="1:9" x14ac:dyDescent="0.25">
      <c r="A2056" s="291"/>
      <c r="B2056" s="228"/>
      <c r="C2056" s="228"/>
      <c r="D2056" s="228"/>
      <c r="E2056" s="36"/>
      <c r="F2056" s="20" t="s">
        <v>104</v>
      </c>
      <c r="G2056" s="40"/>
      <c r="H2056" s="23">
        <f>SUM(H2054:H2055)</f>
        <v>39354</v>
      </c>
      <c r="I2056" s="220"/>
    </row>
    <row r="2057" spans="1:9" x14ac:dyDescent="0.25">
      <c r="A2057" s="291" t="s">
        <v>105</v>
      </c>
      <c r="B2057" s="228"/>
      <c r="C2057" s="228"/>
      <c r="D2057" s="228"/>
      <c r="E2057" s="47"/>
      <c r="F2057" s="47"/>
      <c r="G2057" s="47"/>
      <c r="H2057" s="233"/>
      <c r="I2057" s="47"/>
    </row>
    <row r="2058" spans="1:9" x14ac:dyDescent="0.25">
      <c r="A2058" s="24" t="s">
        <v>0</v>
      </c>
      <c r="B2058" s="24"/>
      <c r="C2058" s="8" t="s">
        <v>106</v>
      </c>
      <c r="D2058" s="8" t="s">
        <v>107</v>
      </c>
      <c r="E2058" s="9" t="s">
        <v>108</v>
      </c>
      <c r="F2058" s="9" t="s">
        <v>109</v>
      </c>
      <c r="G2058" s="41" t="s">
        <v>96</v>
      </c>
      <c r="H2058" s="10"/>
      <c r="I2058" s="47"/>
    </row>
    <row r="2059" spans="1:9" x14ac:dyDescent="0.25">
      <c r="A2059" s="18" t="s">
        <v>110</v>
      </c>
      <c r="B2059" s="42"/>
      <c r="C2059" s="13">
        <f>104000+26000</f>
        <v>130000</v>
      </c>
      <c r="D2059" s="13">
        <f>+C2059*0.16</f>
        <v>20800</v>
      </c>
      <c r="E2059" s="14">
        <f>C2059+D2059</f>
        <v>150800</v>
      </c>
      <c r="F2059" s="30">
        <v>0.25</v>
      </c>
      <c r="G2059" s="14">
        <f>ROUND(E2059*F2059,0)</f>
        <v>37700</v>
      </c>
      <c r="H2059" s="15"/>
      <c r="I2059" s="47"/>
    </row>
    <row r="2060" spans="1:9" x14ac:dyDescent="0.25">
      <c r="A2060" s="18" t="s">
        <v>111</v>
      </c>
      <c r="B2060" s="42"/>
      <c r="C2060" s="13">
        <f>60400+25850</f>
        <v>86250</v>
      </c>
      <c r="D2060" s="13">
        <f>+C2060*0.16</f>
        <v>13800</v>
      </c>
      <c r="E2060" s="14">
        <f>C2060+D2060</f>
        <v>100050</v>
      </c>
      <c r="F2060" s="30">
        <v>0.2</v>
      </c>
      <c r="G2060" s="14">
        <f>ROUND(E2060*F2060,0)</f>
        <v>20010</v>
      </c>
      <c r="H2060" s="15"/>
      <c r="I2060" s="47"/>
    </row>
    <row r="2061" spans="1:9" x14ac:dyDescent="0.25">
      <c r="A2061" s="18"/>
      <c r="B2061" s="42"/>
      <c r="C2061" s="43"/>
      <c r="D2061" s="43"/>
      <c r="E2061" s="44">
        <f>C2061+D2061</f>
        <v>0</v>
      </c>
      <c r="F2061" s="45"/>
      <c r="G2061" s="14">
        <f>ROUND(E2061*F2061,0)</f>
        <v>0</v>
      </c>
      <c r="H2061" s="15"/>
      <c r="I2061" s="47"/>
    </row>
    <row r="2062" spans="1:9" x14ac:dyDescent="0.25">
      <c r="A2062" s="291"/>
      <c r="B2062" s="228"/>
      <c r="C2062" s="228"/>
      <c r="D2062" s="228"/>
      <c r="E2062" s="277" t="s">
        <v>112</v>
      </c>
      <c r="F2062" s="277"/>
      <c r="G2062" s="277"/>
      <c r="H2062" s="82">
        <f>SUM(G2059:G2061)</f>
        <v>57710</v>
      </c>
      <c r="I2062" s="221"/>
    </row>
    <row r="2063" spans="1:9" x14ac:dyDescent="0.25">
      <c r="A2063" s="291"/>
      <c r="B2063" s="228"/>
      <c r="C2063" s="228"/>
      <c r="D2063" s="228"/>
      <c r="E2063" s="47"/>
      <c r="F2063" s="47"/>
      <c r="G2063" s="47"/>
      <c r="H2063" s="233"/>
      <c r="I2063" s="47"/>
    </row>
    <row r="2064" spans="1:9" x14ac:dyDescent="0.25">
      <c r="A2064" s="18"/>
      <c r="B2064" s="19"/>
      <c r="C2064" s="19"/>
      <c r="D2064" s="19"/>
      <c r="E2064" s="48" t="s">
        <v>113</v>
      </c>
      <c r="F2064" s="48"/>
      <c r="G2064" s="48"/>
      <c r="H2064" s="25">
        <f>H2062+H2056+H2042</f>
        <v>206192</v>
      </c>
      <c r="I2064" s="222"/>
    </row>
    <row r="2065" spans="1:9" x14ac:dyDescent="0.25">
      <c r="A2065" s="291"/>
      <c r="B2065" s="228"/>
      <c r="C2065" s="228"/>
      <c r="D2065" s="228"/>
      <c r="E2065" s="47"/>
      <c r="F2065" s="47"/>
      <c r="G2065" s="47"/>
      <c r="H2065" s="233"/>
      <c r="I2065" s="47"/>
    </row>
    <row r="2066" spans="1:9" x14ac:dyDescent="0.25">
      <c r="A2066" s="291" t="s">
        <v>114</v>
      </c>
      <c r="B2066" s="228"/>
      <c r="C2066" s="228"/>
      <c r="D2066" s="228"/>
      <c r="E2066" s="47"/>
      <c r="F2066" s="47"/>
      <c r="G2066" s="47"/>
      <c r="H2066" s="233"/>
      <c r="I2066" s="47"/>
    </row>
    <row r="2067" spans="1:9" x14ac:dyDescent="0.25">
      <c r="A2067" s="6" t="s">
        <v>0</v>
      </c>
      <c r="B2067" s="49"/>
      <c r="C2067" s="49"/>
      <c r="D2067" s="49"/>
      <c r="E2067" s="50"/>
      <c r="F2067" s="9" t="s">
        <v>115</v>
      </c>
      <c r="G2067" s="41" t="s">
        <v>116</v>
      </c>
      <c r="H2067" s="10"/>
      <c r="I2067" s="47"/>
    </row>
    <row r="2068" spans="1:9" x14ac:dyDescent="0.25">
      <c r="A2068" s="11" t="s">
        <v>117</v>
      </c>
      <c r="B2068" s="51"/>
      <c r="C2068" s="51"/>
      <c r="D2068" s="51"/>
      <c r="E2068" s="52"/>
      <c r="F2068" s="53"/>
      <c r="G2068" s="14">
        <f>F2068*H2064</f>
        <v>0</v>
      </c>
      <c r="H2068" s="15"/>
      <c r="I2068" s="47"/>
    </row>
    <row r="2069" spans="1:9" x14ac:dyDescent="0.25">
      <c r="A2069" s="11"/>
      <c r="B2069" s="51"/>
      <c r="C2069" s="51"/>
      <c r="D2069" s="51"/>
      <c r="E2069" s="52"/>
      <c r="F2069" s="53"/>
      <c r="G2069" s="14">
        <f>F2069*H2064</f>
        <v>0</v>
      </c>
      <c r="H2069" s="15"/>
      <c r="I2069" s="47"/>
    </row>
    <row r="2070" spans="1:9" x14ac:dyDescent="0.25">
      <c r="A2070" s="11"/>
      <c r="B2070" s="51"/>
      <c r="C2070" s="51"/>
      <c r="D2070" s="51"/>
      <c r="E2070" s="52"/>
      <c r="F2070" s="53"/>
      <c r="G2070" s="14">
        <f>F2070*H2064</f>
        <v>0</v>
      </c>
      <c r="H2070" s="17"/>
      <c r="I2070" s="47"/>
    </row>
    <row r="2071" spans="1:9" x14ac:dyDescent="0.25">
      <c r="A2071" s="4"/>
      <c r="B2071" s="4"/>
      <c r="C2071" s="4"/>
      <c r="D2071" s="4"/>
      <c r="E2071" s="46" t="s">
        <v>118</v>
      </c>
      <c r="F2071" s="46"/>
      <c r="G2071" s="46"/>
      <c r="H2071" s="36">
        <f>SUM(G2068:G2070)</f>
        <v>0</v>
      </c>
      <c r="I2071" s="220"/>
    </row>
    <row r="2072" spans="1:9" ht="15.75" thickBot="1" x14ac:dyDescent="0.3">
      <c r="A2072" s="4"/>
      <c r="B2072" s="4"/>
      <c r="C2072" s="4"/>
      <c r="D2072" s="4"/>
      <c r="E2072" s="5"/>
      <c r="F2072" s="5"/>
      <c r="G2072" s="5"/>
      <c r="H2072" s="5"/>
      <c r="I2072" s="47"/>
    </row>
    <row r="2073" spans="1:9" ht="15.75" thickBot="1" x14ac:dyDescent="0.3">
      <c r="A2073" s="4"/>
      <c r="B2073" s="4"/>
      <c r="C2073" s="4"/>
      <c r="D2073" s="4"/>
      <c r="E2073" s="54"/>
      <c r="F2073" s="54" t="s">
        <v>119</v>
      </c>
      <c r="G2073" s="54"/>
      <c r="H2073" s="240">
        <f>SUM(H2071+H2064)</f>
        <v>206192</v>
      </c>
      <c r="I2073" s="112"/>
    </row>
    <row r="2074" spans="1:9" x14ac:dyDescent="0.25">
      <c r="A2074" s="4"/>
      <c r="B2074" s="4"/>
      <c r="C2074" s="4"/>
      <c r="D2074" s="4"/>
      <c r="E2074" s="54"/>
      <c r="F2074" s="54"/>
      <c r="G2074" s="54"/>
      <c r="H2074" s="112"/>
      <c r="I2074" s="112"/>
    </row>
    <row r="2075" spans="1:9" x14ac:dyDescent="0.25">
      <c r="A2075" s="4"/>
      <c r="B2075" s="4"/>
      <c r="C2075" s="4"/>
      <c r="D2075" s="4"/>
      <c r="E2075" s="54"/>
      <c r="F2075" s="54"/>
      <c r="G2075" s="54"/>
      <c r="H2075" s="112"/>
      <c r="I2075" s="112"/>
    </row>
    <row r="2076" spans="1:9" x14ac:dyDescent="0.25">
      <c r="A2076" s="4"/>
      <c r="B2076" s="4"/>
      <c r="C2076" s="4"/>
      <c r="D2076" s="4"/>
      <c r="E2076" s="54"/>
      <c r="F2076" s="54"/>
      <c r="G2076" s="54"/>
      <c r="H2076" s="112"/>
      <c r="I2076" s="112"/>
    </row>
    <row r="2077" spans="1:9" x14ac:dyDescent="0.25">
      <c r="A2077" s="4"/>
      <c r="B2077" s="4"/>
      <c r="C2077" s="4"/>
      <c r="D2077" s="4"/>
      <c r="E2077" s="54"/>
      <c r="F2077" s="54"/>
      <c r="G2077" s="54"/>
      <c r="H2077" s="112"/>
      <c r="I2077" s="112"/>
    </row>
    <row r="2078" spans="1:9" x14ac:dyDescent="0.25">
      <c r="A2078" s="4"/>
      <c r="B2078" s="4"/>
      <c r="C2078" s="4"/>
      <c r="D2078" s="4"/>
      <c r="E2078" s="54"/>
      <c r="F2078" s="54"/>
      <c r="G2078" s="54"/>
      <c r="H2078" s="112"/>
      <c r="I2078" s="112"/>
    </row>
    <row r="2079" spans="1:9" x14ac:dyDescent="0.25">
      <c r="A2079" s="4"/>
      <c r="B2079" s="4"/>
      <c r="C2079" s="4"/>
      <c r="D2079" s="4"/>
      <c r="E2079" s="54"/>
      <c r="F2079" s="54"/>
      <c r="G2079" s="54"/>
      <c r="H2079" s="112"/>
      <c r="I2079" s="112"/>
    </row>
    <row r="2080" spans="1:9" x14ac:dyDescent="0.25">
      <c r="A2080" s="4"/>
      <c r="B2080" s="4"/>
      <c r="C2080" s="4"/>
      <c r="D2080" s="4"/>
      <c r="E2080" s="54"/>
      <c r="F2080" s="54"/>
      <c r="G2080" s="54"/>
      <c r="H2080" s="112"/>
      <c r="I2080" s="112"/>
    </row>
    <row r="2081" spans="1:16" x14ac:dyDescent="0.25">
      <c r="A2081" s="4"/>
      <c r="B2081" s="4"/>
      <c r="C2081" s="4"/>
      <c r="D2081" s="4"/>
      <c r="E2081" s="54"/>
      <c r="F2081" s="54"/>
      <c r="G2081" s="54"/>
      <c r="H2081" s="112"/>
      <c r="I2081" s="112"/>
    </row>
    <row r="2082" spans="1:16" x14ac:dyDescent="0.25">
      <c r="A2082" s="412" t="s">
        <v>79</v>
      </c>
      <c r="B2082" s="412"/>
      <c r="C2082" s="412"/>
      <c r="D2082" s="412"/>
      <c r="E2082" s="412"/>
      <c r="F2082" s="412"/>
      <c r="G2082" s="412"/>
      <c r="H2082" s="412"/>
      <c r="I2082" s="250"/>
    </row>
    <row r="2083" spans="1:16" x14ac:dyDescent="0.25">
      <c r="A2083" s="4"/>
      <c r="B2083" s="4"/>
      <c r="C2083" s="4"/>
      <c r="D2083" s="4"/>
      <c r="E2083" s="5"/>
      <c r="F2083" s="5"/>
      <c r="G2083" s="411" t="s">
        <v>326</v>
      </c>
      <c r="H2083" s="411"/>
      <c r="I2083" s="251"/>
    </row>
    <row r="2084" spans="1:16" x14ac:dyDescent="0.25">
      <c r="A2084" s="410" t="s">
        <v>269</v>
      </c>
      <c r="B2084" s="410"/>
      <c r="C2084" s="410"/>
      <c r="D2084" s="410"/>
      <c r="E2084" s="410"/>
      <c r="F2084" s="410"/>
      <c r="G2084" s="410"/>
      <c r="H2084" s="410"/>
      <c r="I2084" s="254"/>
    </row>
    <row r="2085" spans="1:16" x14ac:dyDescent="0.25">
      <c r="A2085" s="4"/>
      <c r="B2085" s="4"/>
      <c r="C2085" s="4"/>
      <c r="D2085" s="4"/>
      <c r="E2085" s="5"/>
      <c r="F2085" s="5"/>
      <c r="G2085" s="414" t="s">
        <v>160</v>
      </c>
      <c r="H2085" s="414"/>
      <c r="I2085" s="253"/>
    </row>
    <row r="2086" spans="1:16" x14ac:dyDescent="0.25">
      <c r="A2086" s="4" t="s">
        <v>82</v>
      </c>
      <c r="B2086" s="4"/>
      <c r="C2086" s="4"/>
      <c r="D2086" s="4"/>
      <c r="E2086" s="5"/>
      <c r="F2086" s="5"/>
      <c r="G2086" s="5"/>
      <c r="H2086" s="5"/>
      <c r="I2086" s="47"/>
    </row>
    <row r="2087" spans="1:16" x14ac:dyDescent="0.25">
      <c r="A2087" s="6" t="s">
        <v>0</v>
      </c>
      <c r="B2087" s="7"/>
      <c r="C2087" s="8" t="s">
        <v>83</v>
      </c>
      <c r="D2087" s="8" t="s">
        <v>84</v>
      </c>
      <c r="E2087" s="9" t="s">
        <v>85</v>
      </c>
      <c r="F2087" s="9" t="s">
        <v>86</v>
      </c>
      <c r="G2087" s="9" t="s">
        <v>87</v>
      </c>
      <c r="H2087" s="10"/>
      <c r="I2087" s="47"/>
    </row>
    <row r="2088" spans="1:16" x14ac:dyDescent="0.25">
      <c r="A2088" s="11" t="s">
        <v>88</v>
      </c>
      <c r="B2088" s="12"/>
      <c r="C2088" s="13"/>
      <c r="D2088" s="13"/>
      <c r="E2088" s="14"/>
      <c r="F2088" s="14"/>
      <c r="G2088" s="14">
        <f>ROUND(H2112*0.05,0)+8-16</f>
        <v>2978</v>
      </c>
      <c r="H2088" s="15"/>
      <c r="I2088" s="47"/>
    </row>
    <row r="2089" spans="1:16" x14ac:dyDescent="0.25">
      <c r="A2089" s="11" t="s">
        <v>327</v>
      </c>
      <c r="B2089" s="12"/>
      <c r="C2089" s="13"/>
      <c r="D2089" s="13"/>
      <c r="E2089" s="14">
        <v>350000</v>
      </c>
      <c r="F2089" s="14">
        <v>0.2</v>
      </c>
      <c r="G2089" s="14">
        <f>ROUND(E2089*F2089,0)</f>
        <v>70000</v>
      </c>
      <c r="H2089" s="15"/>
      <c r="I2089" s="47"/>
    </row>
    <row r="2090" spans="1:16" x14ac:dyDescent="0.25">
      <c r="A2090" s="11" t="s">
        <v>352</v>
      </c>
      <c r="B2090" s="11"/>
      <c r="C2090" s="13"/>
      <c r="D2090" s="13"/>
      <c r="E2090" s="74">
        <v>15000</v>
      </c>
      <c r="F2090" s="14">
        <v>0.25</v>
      </c>
      <c r="G2090" s="14">
        <f t="shared" ref="G2090:G2091" si="55">ROUND(E2090*F2090,0)</f>
        <v>3750</v>
      </c>
      <c r="H2090" s="15"/>
      <c r="I2090" s="47"/>
    </row>
    <row r="2091" spans="1:16" x14ac:dyDescent="0.25">
      <c r="A2091" s="11" t="s">
        <v>328</v>
      </c>
      <c r="B2091" s="11"/>
      <c r="C2091" s="13"/>
      <c r="D2091" s="13"/>
      <c r="E2091" s="14">
        <v>50000</v>
      </c>
      <c r="F2091" s="14">
        <v>1</v>
      </c>
      <c r="G2091" s="14">
        <f t="shared" si="55"/>
        <v>50000</v>
      </c>
      <c r="H2091" s="58"/>
      <c r="I2091" s="224"/>
    </row>
    <row r="2092" spans="1:16" x14ac:dyDescent="0.25">
      <c r="A2092" s="18"/>
      <c r="B2092" s="19"/>
      <c r="C2092" s="19"/>
      <c r="D2092" s="19"/>
      <c r="E2092" s="20"/>
      <c r="F2092" s="21" t="s">
        <v>90</v>
      </c>
      <c r="G2092" s="22"/>
      <c r="H2092" s="23">
        <f>SUM(G2088:G2091)</f>
        <v>126728</v>
      </c>
      <c r="I2092" s="220"/>
    </row>
    <row r="2093" spans="1:16" x14ac:dyDescent="0.25">
      <c r="A2093" s="291" t="s">
        <v>91</v>
      </c>
      <c r="B2093" s="228"/>
      <c r="C2093" s="228"/>
      <c r="D2093" s="228"/>
      <c r="E2093" s="47"/>
      <c r="F2093" s="47"/>
      <c r="G2093" s="47"/>
      <c r="H2093" s="233"/>
      <c r="I2093" s="47"/>
    </row>
    <row r="2094" spans="1:16" x14ac:dyDescent="0.25">
      <c r="A2094" s="24" t="s">
        <v>0</v>
      </c>
      <c r="B2094" s="24"/>
      <c r="C2094" s="8" t="s">
        <v>92</v>
      </c>
      <c r="D2094" s="8" t="s">
        <v>93</v>
      </c>
      <c r="E2094" s="9" t="s">
        <v>94</v>
      </c>
      <c r="F2094" s="9" t="s">
        <v>95</v>
      </c>
      <c r="G2094" s="25" t="s">
        <v>96</v>
      </c>
      <c r="H2094" s="10"/>
      <c r="I2094" s="47"/>
    </row>
    <row r="2095" spans="1:16" x14ac:dyDescent="0.25">
      <c r="A2095" s="419" t="s">
        <v>270</v>
      </c>
      <c r="B2095" s="419"/>
      <c r="C2095" s="59" t="s">
        <v>9</v>
      </c>
      <c r="D2095" s="60">
        <v>0.05</v>
      </c>
      <c r="E2095" s="61">
        <v>20</v>
      </c>
      <c r="F2095" s="62">
        <v>5500</v>
      </c>
      <c r="G2095" s="62">
        <f t="shared" ref="G2095:G2101" si="56">ROUND(E2095*F2095,0)</f>
        <v>110000</v>
      </c>
      <c r="H2095" s="15"/>
      <c r="I2095" s="47"/>
      <c r="K2095" t="s">
        <v>151</v>
      </c>
      <c r="L2095" s="63">
        <v>296800</v>
      </c>
      <c r="M2095" s="63">
        <v>15000</v>
      </c>
      <c r="N2095" s="63">
        <v>40000</v>
      </c>
      <c r="O2095" s="63">
        <f>SUM(L2095:N2095)</f>
        <v>351800</v>
      </c>
      <c r="P2095" s="63">
        <f>+O2095/6</f>
        <v>58633.333333333336</v>
      </c>
    </row>
    <row r="2096" spans="1:16" ht="28.9" customHeight="1" x14ac:dyDescent="0.25">
      <c r="A2096" s="419" t="s">
        <v>153</v>
      </c>
      <c r="B2096" s="419"/>
      <c r="C2096" s="59" t="s">
        <v>154</v>
      </c>
      <c r="D2096" s="65">
        <v>0.05</v>
      </c>
      <c r="E2096" s="61">
        <v>0.15</v>
      </c>
      <c r="F2096" s="62">
        <f>ROUND(146000/3,0)</f>
        <v>48667</v>
      </c>
      <c r="G2096" s="62">
        <f t="shared" si="56"/>
        <v>7300</v>
      </c>
      <c r="H2096" s="15"/>
      <c r="I2096" s="47"/>
      <c r="P2096">
        <f>+P2095/10*8</f>
        <v>46906.666666666672</v>
      </c>
    </row>
    <row r="2097" spans="1:9" x14ac:dyDescent="0.25">
      <c r="A2097" s="419" t="s">
        <v>271</v>
      </c>
      <c r="B2097" s="419"/>
      <c r="C2097" s="59" t="s">
        <v>140</v>
      </c>
      <c r="D2097" s="60">
        <v>0.05</v>
      </c>
      <c r="E2097" s="66">
        <v>7.4999999999999997E-2</v>
      </c>
      <c r="F2097" s="67">
        <v>205000</v>
      </c>
      <c r="G2097" s="67">
        <f t="shared" si="56"/>
        <v>15375</v>
      </c>
      <c r="H2097" s="68"/>
      <c r="I2097" s="225"/>
    </row>
    <row r="2098" spans="1:9" x14ac:dyDescent="0.25">
      <c r="A2098" s="419" t="s">
        <v>141</v>
      </c>
      <c r="B2098" s="419"/>
      <c r="C2098" s="28" t="s">
        <v>140</v>
      </c>
      <c r="D2098" s="31"/>
      <c r="E2098" s="30">
        <v>0.05</v>
      </c>
      <c r="F2098" s="14">
        <v>58000</v>
      </c>
      <c r="G2098" s="14">
        <f t="shared" si="56"/>
        <v>2900</v>
      </c>
      <c r="H2098" s="15"/>
      <c r="I2098" s="47"/>
    </row>
    <row r="2099" spans="1:9" x14ac:dyDescent="0.25">
      <c r="A2099" s="419" t="s">
        <v>138</v>
      </c>
      <c r="B2099" s="419"/>
      <c r="C2099" s="28" t="s">
        <v>18</v>
      </c>
      <c r="D2099" s="34"/>
      <c r="E2099" s="30">
        <v>0.1</v>
      </c>
      <c r="F2099" s="14">
        <v>1900</v>
      </c>
      <c r="G2099" s="14">
        <f t="shared" si="56"/>
        <v>190</v>
      </c>
      <c r="H2099" s="15"/>
      <c r="I2099" s="47"/>
    </row>
    <row r="2100" spans="1:9" x14ac:dyDescent="0.25">
      <c r="A2100" s="419" t="s">
        <v>139</v>
      </c>
      <c r="B2100" s="419"/>
      <c r="C2100" s="28" t="s">
        <v>18</v>
      </c>
      <c r="D2100" s="31"/>
      <c r="E2100" s="30">
        <v>0.05</v>
      </c>
      <c r="F2100" s="14">
        <v>8500</v>
      </c>
      <c r="G2100" s="14">
        <f t="shared" si="56"/>
        <v>425</v>
      </c>
      <c r="H2100" s="15"/>
      <c r="I2100" s="47"/>
    </row>
    <row r="2101" spans="1:9" x14ac:dyDescent="0.25">
      <c r="A2101" s="417" t="s">
        <v>268</v>
      </c>
      <c r="B2101" s="418"/>
      <c r="C2101" s="59" t="s">
        <v>158</v>
      </c>
      <c r="D2101" s="70"/>
      <c r="E2101" s="61">
        <v>1</v>
      </c>
      <c r="F2101" s="62">
        <v>15000</v>
      </c>
      <c r="G2101" s="62">
        <f t="shared" si="56"/>
        <v>15000</v>
      </c>
      <c r="H2101" s="71"/>
      <c r="I2101" s="226"/>
    </row>
    <row r="2102" spans="1:9" x14ac:dyDescent="0.25">
      <c r="A2102" s="417"/>
      <c r="B2102" s="418"/>
      <c r="C2102" s="35"/>
      <c r="D2102" s="31"/>
      <c r="E2102" s="30"/>
      <c r="F2102" s="14"/>
      <c r="G2102" s="14"/>
      <c r="H2102" s="15"/>
      <c r="I2102" s="47"/>
    </row>
    <row r="2103" spans="1:9" hidden="1" x14ac:dyDescent="0.25">
      <c r="A2103" s="11"/>
      <c r="B2103" s="12"/>
      <c r="C2103" s="35"/>
      <c r="D2103" s="31"/>
      <c r="E2103" s="30"/>
      <c r="F2103" s="14"/>
      <c r="G2103" s="14"/>
      <c r="H2103" s="17"/>
      <c r="I2103" s="47"/>
    </row>
    <row r="2104" spans="1:9" x14ac:dyDescent="0.25">
      <c r="A2104" s="291"/>
      <c r="B2104" s="228"/>
      <c r="C2104" s="228"/>
      <c r="D2104" s="228"/>
      <c r="E2104" s="36"/>
      <c r="F2104" s="37" t="s">
        <v>102</v>
      </c>
      <c r="G2104" s="38"/>
      <c r="H2104" s="23">
        <f>SUM(G2095:G2103)</f>
        <v>151190</v>
      </c>
      <c r="I2104" s="220"/>
    </row>
    <row r="2105" spans="1:9" x14ac:dyDescent="0.25">
      <c r="A2105" s="291"/>
      <c r="B2105" s="228"/>
      <c r="C2105" s="228"/>
      <c r="D2105" s="228"/>
      <c r="E2105" s="36"/>
      <c r="F2105" s="39" t="s">
        <v>103</v>
      </c>
      <c r="G2105" s="38"/>
      <c r="H2105" s="23">
        <f>ROUND((D2095*G2095)+(D2096*G2096)+(D2097*G2097)+(D2098*G2098)+(D2099*G2099)+(D2100*G2100)+(D2101*G2101)+(D2102*G2102)+(D2103*G2103),0)</f>
        <v>6634</v>
      </c>
      <c r="I2105" s="220"/>
    </row>
    <row r="2106" spans="1:9" x14ac:dyDescent="0.25">
      <c r="A2106" s="291"/>
      <c r="B2106" s="228"/>
      <c r="C2106" s="228"/>
      <c r="D2106" s="228"/>
      <c r="E2106" s="36"/>
      <c r="F2106" s="20" t="s">
        <v>104</v>
      </c>
      <c r="G2106" s="40"/>
      <c r="H2106" s="23">
        <f>SUM(H2104:H2105)</f>
        <v>157824</v>
      </c>
      <c r="I2106" s="220"/>
    </row>
    <row r="2107" spans="1:9" x14ac:dyDescent="0.25">
      <c r="A2107" s="291" t="s">
        <v>105</v>
      </c>
      <c r="B2107" s="228"/>
      <c r="C2107" s="228"/>
      <c r="D2107" s="228"/>
      <c r="E2107" s="47"/>
      <c r="F2107" s="47"/>
      <c r="G2107" s="47"/>
      <c r="H2107" s="233"/>
      <c r="I2107" s="47"/>
    </row>
    <row r="2108" spans="1:9" x14ac:dyDescent="0.25">
      <c r="A2108" s="24" t="s">
        <v>0</v>
      </c>
      <c r="B2108" s="24"/>
      <c r="C2108" s="8" t="s">
        <v>106</v>
      </c>
      <c r="D2108" s="8" t="s">
        <v>107</v>
      </c>
      <c r="E2108" s="9" t="s">
        <v>108</v>
      </c>
      <c r="F2108" s="9" t="s">
        <v>109</v>
      </c>
      <c r="G2108" s="41" t="s">
        <v>96</v>
      </c>
      <c r="H2108" s="10"/>
      <c r="I2108" s="47"/>
    </row>
    <row r="2109" spans="1:9" x14ac:dyDescent="0.25">
      <c r="A2109" s="18" t="s">
        <v>110</v>
      </c>
      <c r="B2109" s="42"/>
      <c r="C2109" s="13">
        <f>104000+26000</f>
        <v>130000</v>
      </c>
      <c r="D2109" s="13">
        <f>+C2109*0.16</f>
        <v>20800</v>
      </c>
      <c r="E2109" s="14">
        <f>C2109+D2109</f>
        <v>150800</v>
      </c>
      <c r="F2109" s="30">
        <v>0.25</v>
      </c>
      <c r="G2109" s="14">
        <f>ROUND(E2109*F2109,0)</f>
        <v>37700</v>
      </c>
      <c r="H2109" s="15"/>
      <c r="I2109" s="47"/>
    </row>
    <row r="2110" spans="1:9" x14ac:dyDescent="0.25">
      <c r="A2110" s="18" t="s">
        <v>111</v>
      </c>
      <c r="B2110" s="42"/>
      <c r="C2110" s="13">
        <f>60400+25850</f>
        <v>86250</v>
      </c>
      <c r="D2110" s="13">
        <f>+C2110*0.16</f>
        <v>13800</v>
      </c>
      <c r="E2110" s="14">
        <f>C2110+D2110</f>
        <v>100050</v>
      </c>
      <c r="F2110" s="30">
        <v>0.22</v>
      </c>
      <c r="G2110" s="14">
        <f>ROUND(E2110*F2110,0)</f>
        <v>22011</v>
      </c>
      <c r="H2110" s="15"/>
      <c r="I2110" s="47"/>
    </row>
    <row r="2111" spans="1:9" x14ac:dyDescent="0.25">
      <c r="A2111" s="18"/>
      <c r="B2111" s="42"/>
      <c r="C2111" s="43"/>
      <c r="D2111" s="43"/>
      <c r="E2111" s="44">
        <f>C2111+D2111</f>
        <v>0</v>
      </c>
      <c r="F2111" s="45"/>
      <c r="G2111" s="14">
        <f>ROUND(E2111*F2111,0)</f>
        <v>0</v>
      </c>
      <c r="H2111" s="15"/>
      <c r="I2111" s="47"/>
    </row>
    <row r="2112" spans="1:9" x14ac:dyDescent="0.25">
      <c r="A2112" s="291"/>
      <c r="B2112" s="228"/>
      <c r="C2112" s="228"/>
      <c r="D2112" s="228"/>
      <c r="E2112" s="277" t="s">
        <v>112</v>
      </c>
      <c r="F2112" s="277"/>
      <c r="G2112" s="277"/>
      <c r="H2112" s="82">
        <f>SUM(G2109:G2111)</f>
        <v>59711</v>
      </c>
      <c r="I2112" s="221"/>
    </row>
    <row r="2113" spans="1:9" x14ac:dyDescent="0.25">
      <c r="A2113" s="291"/>
      <c r="B2113" s="228"/>
      <c r="C2113" s="228"/>
      <c r="D2113" s="228"/>
      <c r="E2113" s="47"/>
      <c r="F2113" s="47"/>
      <c r="G2113" s="47"/>
      <c r="H2113" s="233"/>
      <c r="I2113" s="47"/>
    </row>
    <row r="2114" spans="1:9" x14ac:dyDescent="0.25">
      <c r="A2114" s="18"/>
      <c r="B2114" s="19"/>
      <c r="C2114" s="19"/>
      <c r="D2114" s="19"/>
      <c r="E2114" s="48" t="s">
        <v>113</v>
      </c>
      <c r="F2114" s="48"/>
      <c r="G2114" s="48"/>
      <c r="H2114" s="25">
        <f>H2112+H2106+H2092</f>
        <v>344263</v>
      </c>
      <c r="I2114" s="222"/>
    </row>
    <row r="2115" spans="1:9" x14ac:dyDescent="0.25">
      <c r="A2115" s="291"/>
      <c r="B2115" s="228"/>
      <c r="C2115" s="228"/>
      <c r="D2115" s="228"/>
      <c r="E2115" s="47"/>
      <c r="F2115" s="47"/>
      <c r="G2115" s="47"/>
      <c r="H2115" s="233"/>
      <c r="I2115" s="47"/>
    </row>
    <row r="2116" spans="1:9" x14ac:dyDescent="0.25">
      <c r="A2116" s="291" t="s">
        <v>114</v>
      </c>
      <c r="B2116" s="228"/>
      <c r="C2116" s="228"/>
      <c r="D2116" s="228"/>
      <c r="E2116" s="47"/>
      <c r="F2116" s="47"/>
      <c r="G2116" s="47"/>
      <c r="H2116" s="233"/>
      <c r="I2116" s="47"/>
    </row>
    <row r="2117" spans="1:9" x14ac:dyDescent="0.25">
      <c r="A2117" s="6" t="s">
        <v>0</v>
      </c>
      <c r="B2117" s="49"/>
      <c r="C2117" s="49"/>
      <c r="D2117" s="49"/>
      <c r="E2117" s="50"/>
      <c r="F2117" s="9" t="s">
        <v>115</v>
      </c>
      <c r="G2117" s="41" t="s">
        <v>116</v>
      </c>
      <c r="H2117" s="10"/>
      <c r="I2117" s="47"/>
    </row>
    <row r="2118" spans="1:9" x14ac:dyDescent="0.25">
      <c r="A2118" s="11" t="s">
        <v>117</v>
      </c>
      <c r="B2118" s="51"/>
      <c r="C2118" s="51"/>
      <c r="D2118" s="51"/>
      <c r="E2118" s="52"/>
      <c r="F2118" s="53"/>
      <c r="G2118" s="14">
        <f>F2118*H2114</f>
        <v>0</v>
      </c>
      <c r="H2118" s="15"/>
      <c r="I2118" s="47"/>
    </row>
    <row r="2119" spans="1:9" hidden="1" x14ac:dyDescent="0.25">
      <c r="A2119" s="11"/>
      <c r="B2119" s="51"/>
      <c r="C2119" s="51"/>
      <c r="D2119" s="51"/>
      <c r="E2119" s="52"/>
      <c r="F2119" s="53"/>
      <c r="G2119" s="14">
        <f>F2119*H2114</f>
        <v>0</v>
      </c>
      <c r="H2119" s="15"/>
      <c r="I2119" s="47"/>
    </row>
    <row r="2120" spans="1:9" hidden="1" x14ac:dyDescent="0.25">
      <c r="A2120" s="11"/>
      <c r="B2120" s="51"/>
      <c r="C2120" s="51"/>
      <c r="D2120" s="51"/>
      <c r="E2120" s="52"/>
      <c r="F2120" s="53"/>
      <c r="G2120" s="14">
        <f>F2120*H2114</f>
        <v>0</v>
      </c>
      <c r="H2120" s="17"/>
      <c r="I2120" s="47"/>
    </row>
    <row r="2121" spans="1:9" x14ac:dyDescent="0.25">
      <c r="A2121" s="4"/>
      <c r="B2121" s="4"/>
      <c r="C2121" s="4"/>
      <c r="D2121" s="4"/>
      <c r="E2121" s="46" t="s">
        <v>118</v>
      </c>
      <c r="F2121" s="46"/>
      <c r="G2121" s="46"/>
      <c r="H2121" s="36">
        <f>SUM(G2118:G2120)</f>
        <v>0</v>
      </c>
      <c r="I2121" s="220"/>
    </row>
    <row r="2122" spans="1:9" ht="15.75" thickBot="1" x14ac:dyDescent="0.3">
      <c r="A2122" s="4"/>
      <c r="B2122" s="4"/>
      <c r="C2122" s="4"/>
      <c r="D2122" s="4"/>
      <c r="E2122" s="5"/>
      <c r="F2122" s="5"/>
      <c r="G2122" s="5"/>
      <c r="H2122" s="5"/>
      <c r="I2122" s="47"/>
    </row>
    <row r="2123" spans="1:9" ht="15.75" thickBot="1" x14ac:dyDescent="0.3">
      <c r="A2123" s="4"/>
      <c r="B2123" s="4"/>
      <c r="C2123" s="4"/>
      <c r="D2123" s="4"/>
      <c r="E2123" s="54"/>
      <c r="F2123" s="54" t="s">
        <v>119</v>
      </c>
      <c r="G2123" s="54"/>
      <c r="H2123" s="240">
        <f>SUM(H2121+H2114)</f>
        <v>344263</v>
      </c>
      <c r="I2123" s="112"/>
    </row>
    <row r="2124" spans="1:9" x14ac:dyDescent="0.25">
      <c r="A2124" s="4"/>
      <c r="B2124" s="4"/>
      <c r="C2124" s="4"/>
      <c r="D2124" s="4"/>
      <c r="E2124" s="54"/>
      <c r="F2124" s="54"/>
      <c r="G2124" s="54"/>
      <c r="H2124" s="112"/>
      <c r="I2124" s="112"/>
    </row>
    <row r="2125" spans="1:9" x14ac:dyDescent="0.25">
      <c r="A2125" s="4"/>
      <c r="B2125" s="4"/>
      <c r="C2125" s="4"/>
      <c r="D2125" s="4"/>
      <c r="E2125" s="54"/>
      <c r="F2125" s="54"/>
      <c r="G2125" s="54"/>
      <c r="H2125" s="112"/>
      <c r="I2125" s="112"/>
    </row>
    <row r="2126" spans="1:9" x14ac:dyDescent="0.25">
      <c r="A2126" s="4"/>
      <c r="B2126" s="4"/>
      <c r="C2126" s="4"/>
      <c r="D2126" s="4"/>
      <c r="E2126" s="54"/>
      <c r="F2126" s="54"/>
      <c r="G2126" s="54"/>
      <c r="H2126" s="112"/>
      <c r="I2126" s="112"/>
    </row>
    <row r="2127" spans="1:9" x14ac:dyDescent="0.25">
      <c r="A2127" s="4"/>
      <c r="B2127" s="4"/>
      <c r="C2127" s="4"/>
      <c r="D2127" s="4"/>
      <c r="E2127" s="54"/>
      <c r="F2127" s="54"/>
      <c r="G2127" s="54"/>
      <c r="H2127" s="112"/>
      <c r="I2127" s="112"/>
    </row>
    <row r="2128" spans="1:9" x14ac:dyDescent="0.25">
      <c r="A2128" s="4"/>
      <c r="B2128" s="4"/>
      <c r="C2128" s="4"/>
      <c r="D2128" s="4"/>
      <c r="E2128" s="54"/>
      <c r="F2128" s="54"/>
      <c r="G2128" s="54"/>
      <c r="H2128" s="112"/>
      <c r="I2128" s="112"/>
    </row>
    <row r="2130" spans="1:9" x14ac:dyDescent="0.25">
      <c r="A2130" s="412" t="s">
        <v>79</v>
      </c>
      <c r="B2130" s="412"/>
      <c r="C2130" s="412"/>
      <c r="D2130" s="412"/>
      <c r="E2130" s="412"/>
      <c r="F2130" s="412"/>
      <c r="G2130" s="412"/>
      <c r="H2130" s="412"/>
      <c r="I2130" s="250"/>
    </row>
    <row r="2131" spans="1:9" x14ac:dyDescent="0.25">
      <c r="A2131" s="4"/>
      <c r="B2131" s="4"/>
      <c r="C2131" s="4"/>
      <c r="D2131" s="4"/>
      <c r="E2131" s="5"/>
      <c r="F2131" s="5"/>
      <c r="G2131" s="411" t="s">
        <v>326</v>
      </c>
      <c r="H2131" s="411"/>
      <c r="I2131" s="251"/>
    </row>
    <row r="2132" spans="1:9" ht="33.75" customHeight="1" x14ac:dyDescent="0.25">
      <c r="A2132" s="434" t="s">
        <v>396</v>
      </c>
      <c r="B2132" s="434"/>
      <c r="C2132" s="434"/>
      <c r="D2132" s="434"/>
      <c r="E2132" s="434"/>
      <c r="F2132" s="434"/>
      <c r="G2132" s="434"/>
      <c r="H2132" s="434"/>
      <c r="I2132" s="252"/>
    </row>
    <row r="2133" spans="1:9" x14ac:dyDescent="0.25">
      <c r="A2133" s="4"/>
      <c r="B2133" s="4"/>
      <c r="C2133" s="4"/>
      <c r="D2133" s="4"/>
      <c r="E2133" s="5"/>
      <c r="F2133" s="5"/>
      <c r="G2133" s="414" t="s">
        <v>215</v>
      </c>
      <c r="H2133" s="414"/>
      <c r="I2133" s="253"/>
    </row>
    <row r="2134" spans="1:9" x14ac:dyDescent="0.25">
      <c r="A2134" s="4" t="s">
        <v>82</v>
      </c>
      <c r="B2134" s="4"/>
      <c r="C2134" s="4"/>
      <c r="D2134" s="4"/>
      <c r="E2134" s="5"/>
      <c r="F2134" s="5"/>
      <c r="G2134" s="5"/>
      <c r="H2134" s="5"/>
      <c r="I2134" s="47"/>
    </row>
    <row r="2135" spans="1:9" x14ac:dyDescent="0.25">
      <c r="A2135" s="6" t="s">
        <v>0</v>
      </c>
      <c r="B2135" s="7"/>
      <c r="C2135" s="8" t="s">
        <v>83</v>
      </c>
      <c r="D2135" s="8" t="s">
        <v>84</v>
      </c>
      <c r="E2135" s="9" t="s">
        <v>85</v>
      </c>
      <c r="F2135" s="9" t="s">
        <v>86</v>
      </c>
      <c r="G2135" s="9" t="s">
        <v>87</v>
      </c>
      <c r="H2135" s="10"/>
      <c r="I2135" s="47"/>
    </row>
    <row r="2136" spans="1:9" x14ac:dyDescent="0.25">
      <c r="A2136" s="11" t="s">
        <v>88</v>
      </c>
      <c r="B2136" s="12"/>
      <c r="C2136" s="13"/>
      <c r="D2136" s="13"/>
      <c r="E2136" s="14"/>
      <c r="F2136" s="14"/>
      <c r="G2136" s="14">
        <f>ROUND(H2160*0.05,0)+8-16</f>
        <v>2501</v>
      </c>
      <c r="H2136" s="15"/>
      <c r="I2136" s="47"/>
    </row>
    <row r="2137" spans="1:9" x14ac:dyDescent="0.25">
      <c r="A2137" s="11" t="s">
        <v>327</v>
      </c>
      <c r="B2137" s="12"/>
      <c r="C2137" s="13"/>
      <c r="D2137" s="13"/>
      <c r="E2137" s="14">
        <v>350000</v>
      </c>
      <c r="F2137" s="14">
        <v>0.25</v>
      </c>
      <c r="G2137" s="14">
        <f>ROUND(E2137*F2137,0)</f>
        <v>87500</v>
      </c>
      <c r="H2137" s="15"/>
      <c r="I2137" s="47"/>
    </row>
    <row r="2138" spans="1:9" x14ac:dyDescent="0.25">
      <c r="A2138" s="11" t="s">
        <v>328</v>
      </c>
      <c r="B2138" s="12"/>
      <c r="C2138" s="13"/>
      <c r="D2138" s="13"/>
      <c r="E2138" s="14">
        <v>50000</v>
      </c>
      <c r="F2138" s="16">
        <v>1</v>
      </c>
      <c r="G2138" s="14">
        <f>ROUND(E2138*F2138,0)</f>
        <v>50000</v>
      </c>
      <c r="H2138" s="15"/>
      <c r="I2138" s="47"/>
    </row>
    <row r="2139" spans="1:9" x14ac:dyDescent="0.25">
      <c r="A2139" s="11"/>
      <c r="B2139" s="12"/>
      <c r="C2139" s="13"/>
      <c r="D2139" s="13"/>
      <c r="E2139" s="14"/>
      <c r="F2139" s="14"/>
      <c r="G2139" s="14">
        <f>ROUND(E2139*F2139,0)</f>
        <v>0</v>
      </c>
      <c r="H2139" s="17"/>
      <c r="I2139" s="47"/>
    </row>
    <row r="2140" spans="1:9" x14ac:dyDescent="0.25">
      <c r="A2140" s="18"/>
      <c r="B2140" s="19"/>
      <c r="C2140" s="19"/>
      <c r="D2140" s="19"/>
      <c r="E2140" s="20"/>
      <c r="F2140" s="21" t="s">
        <v>90</v>
      </c>
      <c r="G2140" s="22"/>
      <c r="H2140" s="23">
        <f>SUM(G2136:G2139)</f>
        <v>140001</v>
      </c>
      <c r="I2140" s="220"/>
    </row>
    <row r="2141" spans="1:9" x14ac:dyDescent="0.25">
      <c r="A2141" s="291" t="s">
        <v>91</v>
      </c>
      <c r="B2141" s="228"/>
      <c r="C2141" s="228"/>
      <c r="D2141" s="228"/>
      <c r="E2141" s="47"/>
      <c r="F2141" s="47"/>
      <c r="G2141" s="47"/>
      <c r="H2141" s="233"/>
      <c r="I2141" s="47"/>
    </row>
    <row r="2142" spans="1:9" x14ac:dyDescent="0.25">
      <c r="A2142" s="24" t="s">
        <v>0</v>
      </c>
      <c r="B2142" s="24"/>
      <c r="C2142" s="8" t="s">
        <v>92</v>
      </c>
      <c r="D2142" s="8" t="s">
        <v>93</v>
      </c>
      <c r="E2142" s="9" t="s">
        <v>94</v>
      </c>
      <c r="F2142" s="9" t="s">
        <v>95</v>
      </c>
      <c r="G2142" s="25" t="s">
        <v>96</v>
      </c>
      <c r="H2142" s="10"/>
      <c r="I2142" s="47"/>
    </row>
    <row r="2143" spans="1:9" x14ac:dyDescent="0.25">
      <c r="A2143" s="306" t="s">
        <v>251</v>
      </c>
      <c r="B2143" s="307"/>
      <c r="C2143" s="35" t="s">
        <v>7</v>
      </c>
      <c r="D2143" s="34">
        <v>0.05</v>
      </c>
      <c r="E2143" s="30">
        <f>+((0.45*2)+(0.6*2))*0.45</f>
        <v>0.94500000000000006</v>
      </c>
      <c r="F2143" s="74">
        <f>+$H$3734</f>
        <v>164709</v>
      </c>
      <c r="G2143" s="14">
        <f t="shared" ref="G2143:G2151" si="57">ROUND(E2143*F2143,0)</f>
        <v>155650</v>
      </c>
      <c r="H2143" s="15"/>
      <c r="I2143" s="47"/>
    </row>
    <row r="2144" spans="1:9" x14ac:dyDescent="0.25">
      <c r="A2144" s="306" t="s">
        <v>252</v>
      </c>
      <c r="B2144" s="307"/>
      <c r="C2144" s="35" t="s">
        <v>7</v>
      </c>
      <c r="D2144" s="31">
        <v>0.05</v>
      </c>
      <c r="E2144" s="30">
        <f>+E2143*2</f>
        <v>1.8900000000000001</v>
      </c>
      <c r="F2144" s="14">
        <f>+$H$3785</f>
        <v>144058</v>
      </c>
      <c r="G2144" s="14">
        <f t="shared" si="57"/>
        <v>272270</v>
      </c>
      <c r="H2144" s="15"/>
      <c r="I2144" s="47"/>
    </row>
    <row r="2145" spans="1:9" x14ac:dyDescent="0.25">
      <c r="A2145" s="306" t="s">
        <v>253</v>
      </c>
      <c r="B2145" s="308"/>
      <c r="C2145" s="35" t="s">
        <v>9</v>
      </c>
      <c r="D2145" s="34">
        <v>0.05</v>
      </c>
      <c r="E2145" s="30">
        <f>+((0.45*2)+(0.6*2))</f>
        <v>2.1</v>
      </c>
      <c r="F2145" s="14">
        <f>+$H$3838</f>
        <v>61651</v>
      </c>
      <c r="G2145" s="14">
        <f t="shared" si="57"/>
        <v>129467</v>
      </c>
      <c r="H2145" s="15"/>
      <c r="I2145" s="47"/>
    </row>
    <row r="2146" spans="1:9" x14ac:dyDescent="0.25">
      <c r="A2146" s="11" t="s">
        <v>257</v>
      </c>
      <c r="B2146" s="12"/>
      <c r="C2146" s="35" t="s">
        <v>10</v>
      </c>
      <c r="D2146" s="31"/>
      <c r="E2146" s="30">
        <v>1</v>
      </c>
      <c r="F2146" s="14">
        <v>155000</v>
      </c>
      <c r="G2146" s="14">
        <f t="shared" si="57"/>
        <v>155000</v>
      </c>
      <c r="H2146" s="15"/>
      <c r="I2146" s="47"/>
    </row>
    <row r="2147" spans="1:9" x14ac:dyDescent="0.25">
      <c r="A2147" s="11" t="s">
        <v>264</v>
      </c>
      <c r="B2147" s="12"/>
      <c r="C2147" s="35" t="s">
        <v>158</v>
      </c>
      <c r="D2147" s="34"/>
      <c r="E2147" s="30">
        <v>1</v>
      </c>
      <c r="F2147" s="74">
        <v>20000</v>
      </c>
      <c r="G2147" s="14">
        <f t="shared" si="57"/>
        <v>20000</v>
      </c>
      <c r="H2147" s="15"/>
      <c r="I2147" s="47"/>
    </row>
    <row r="2148" spans="1:9" x14ac:dyDescent="0.25">
      <c r="A2148" s="11"/>
      <c r="B2148" s="12"/>
      <c r="C2148" s="35"/>
      <c r="D2148" s="31"/>
      <c r="E2148" s="30"/>
      <c r="F2148" s="14"/>
      <c r="G2148" s="14">
        <f t="shared" si="57"/>
        <v>0</v>
      </c>
      <c r="H2148" s="15"/>
      <c r="I2148" s="47"/>
    </row>
    <row r="2149" spans="1:9" x14ac:dyDescent="0.25">
      <c r="A2149" s="11"/>
      <c r="B2149" s="12"/>
      <c r="C2149" s="35"/>
      <c r="D2149" s="34"/>
      <c r="E2149" s="30"/>
      <c r="F2149" s="14"/>
      <c r="G2149" s="14">
        <f t="shared" si="57"/>
        <v>0</v>
      </c>
      <c r="H2149" s="15"/>
      <c r="I2149" s="47"/>
    </row>
    <row r="2150" spans="1:9" x14ac:dyDescent="0.25">
      <c r="A2150" s="11"/>
      <c r="B2150" s="12"/>
      <c r="C2150" s="35"/>
      <c r="D2150" s="31"/>
      <c r="E2150" s="30"/>
      <c r="F2150" s="14"/>
      <c r="G2150" s="14">
        <f t="shared" si="57"/>
        <v>0</v>
      </c>
      <c r="H2150" s="15"/>
      <c r="I2150" s="47"/>
    </row>
    <row r="2151" spans="1:9" x14ac:dyDescent="0.25">
      <c r="A2151" s="11"/>
      <c r="B2151" s="12"/>
      <c r="C2151" s="35"/>
      <c r="D2151" s="31"/>
      <c r="E2151" s="30"/>
      <c r="F2151" s="14"/>
      <c r="G2151" s="14">
        <f t="shared" si="57"/>
        <v>0</v>
      </c>
      <c r="H2151" s="17"/>
      <c r="I2151" s="47"/>
    </row>
    <row r="2152" spans="1:9" x14ac:dyDescent="0.25">
      <c r="A2152" s="291"/>
      <c r="B2152" s="228"/>
      <c r="C2152" s="228"/>
      <c r="D2152" s="228"/>
      <c r="E2152" s="36"/>
      <c r="F2152" s="37" t="s">
        <v>102</v>
      </c>
      <c r="G2152" s="38"/>
      <c r="H2152" s="23">
        <f>SUM(G2143:G2151)</f>
        <v>732387</v>
      </c>
      <c r="I2152" s="220"/>
    </row>
    <row r="2153" spans="1:9" x14ac:dyDescent="0.25">
      <c r="A2153" s="291"/>
      <c r="B2153" s="228"/>
      <c r="C2153" s="228"/>
      <c r="D2153" s="228"/>
      <c r="E2153" s="36"/>
      <c r="F2153" s="39" t="s">
        <v>103</v>
      </c>
      <c r="G2153" s="38"/>
      <c r="H2153" s="23">
        <f>ROUND((D2143*G2143)+(D2144*G2144)+(D2145*G2145)+(D2146*G2146)+(D2147*G2147)+(D2148*G2148)+(D2149*G2149)+(D2150*G2150)+(D2151*G2151),0)</f>
        <v>27869</v>
      </c>
      <c r="I2153" s="220"/>
    </row>
    <row r="2154" spans="1:9" x14ac:dyDescent="0.25">
      <c r="A2154" s="291"/>
      <c r="B2154" s="228"/>
      <c r="C2154" s="228"/>
      <c r="D2154" s="228"/>
      <c r="E2154" s="36"/>
      <c r="F2154" s="20" t="s">
        <v>104</v>
      </c>
      <c r="G2154" s="40"/>
      <c r="H2154" s="23">
        <f>SUM(H2152:H2153)</f>
        <v>760256</v>
      </c>
      <c r="I2154" s="220"/>
    </row>
    <row r="2155" spans="1:9" x14ac:dyDescent="0.25">
      <c r="A2155" s="291" t="s">
        <v>105</v>
      </c>
      <c r="B2155" s="228"/>
      <c r="C2155" s="228"/>
      <c r="D2155" s="228"/>
      <c r="E2155" s="47"/>
      <c r="F2155" s="47"/>
      <c r="G2155" s="47"/>
      <c r="H2155" s="233"/>
      <c r="I2155" s="47"/>
    </row>
    <row r="2156" spans="1:9" x14ac:dyDescent="0.25">
      <c r="A2156" s="24" t="s">
        <v>0</v>
      </c>
      <c r="B2156" s="24"/>
      <c r="C2156" s="8" t="s">
        <v>106</v>
      </c>
      <c r="D2156" s="8" t="s">
        <v>107</v>
      </c>
      <c r="E2156" s="9" t="s">
        <v>108</v>
      </c>
      <c r="F2156" s="9" t="s">
        <v>109</v>
      </c>
      <c r="G2156" s="41" t="s">
        <v>96</v>
      </c>
      <c r="H2156" s="10"/>
      <c r="I2156" s="47"/>
    </row>
    <row r="2157" spans="1:9" x14ac:dyDescent="0.25">
      <c r="A2157" s="18" t="s">
        <v>110</v>
      </c>
      <c r="B2157" s="42"/>
      <c r="C2157" s="13">
        <f>104000+26000</f>
        <v>130000</v>
      </c>
      <c r="D2157" s="13">
        <f>+C2157*0.16</f>
        <v>20800</v>
      </c>
      <c r="E2157" s="14">
        <f>C2157+D2157</f>
        <v>150800</v>
      </c>
      <c r="F2157" s="30">
        <v>0.2</v>
      </c>
      <c r="G2157" s="14">
        <f>ROUND(E2157*F2157,0)</f>
        <v>30160</v>
      </c>
      <c r="H2157" s="15"/>
      <c r="I2157" s="47"/>
    </row>
    <row r="2158" spans="1:9" x14ac:dyDescent="0.25">
      <c r="A2158" s="18" t="s">
        <v>111</v>
      </c>
      <c r="B2158" s="42"/>
      <c r="C2158" s="13">
        <f>60400+25850</f>
        <v>86250</v>
      </c>
      <c r="D2158" s="13">
        <f>+C2158*0.16</f>
        <v>13800</v>
      </c>
      <c r="E2158" s="14">
        <f>C2158+D2158</f>
        <v>100050</v>
      </c>
      <c r="F2158" s="30">
        <v>0.2</v>
      </c>
      <c r="G2158" s="14">
        <f>ROUND(E2158*F2158,0)</f>
        <v>20010</v>
      </c>
      <c r="H2158" s="15"/>
      <c r="I2158" s="47"/>
    </row>
    <row r="2159" spans="1:9" x14ac:dyDescent="0.25">
      <c r="A2159" s="18"/>
      <c r="B2159" s="42"/>
      <c r="C2159" s="43"/>
      <c r="D2159" s="43"/>
      <c r="E2159" s="44">
        <f>C2159+D2159</f>
        <v>0</v>
      </c>
      <c r="F2159" s="45"/>
      <c r="G2159" s="14">
        <f>ROUND(E2159*F2159,0)</f>
        <v>0</v>
      </c>
      <c r="H2159" s="15"/>
      <c r="I2159" s="47"/>
    </row>
    <row r="2160" spans="1:9" x14ac:dyDescent="0.25">
      <c r="A2160" s="291"/>
      <c r="B2160" s="228"/>
      <c r="C2160" s="228"/>
      <c r="D2160" s="228"/>
      <c r="E2160" s="277" t="s">
        <v>112</v>
      </c>
      <c r="F2160" s="277"/>
      <c r="G2160" s="277"/>
      <c r="H2160" s="82">
        <f>SUM(G2157:G2159)</f>
        <v>50170</v>
      </c>
      <c r="I2160" s="221"/>
    </row>
    <row r="2161" spans="1:9" x14ac:dyDescent="0.25">
      <c r="A2161" s="291"/>
      <c r="B2161" s="228"/>
      <c r="C2161" s="228"/>
      <c r="D2161" s="228"/>
      <c r="E2161" s="47"/>
      <c r="F2161" s="47"/>
      <c r="G2161" s="47"/>
      <c r="H2161" s="233"/>
      <c r="I2161" s="47"/>
    </row>
    <row r="2162" spans="1:9" x14ac:dyDescent="0.25">
      <c r="A2162" s="18"/>
      <c r="B2162" s="19"/>
      <c r="C2162" s="19"/>
      <c r="D2162" s="19"/>
      <c r="E2162" s="48" t="s">
        <v>113</v>
      </c>
      <c r="F2162" s="48"/>
      <c r="G2162" s="48"/>
      <c r="H2162" s="25">
        <f>H2160+H2154+H2140</f>
        <v>950427</v>
      </c>
      <c r="I2162" s="222"/>
    </row>
    <row r="2163" spans="1:9" x14ac:dyDescent="0.25">
      <c r="A2163" s="291"/>
      <c r="B2163" s="228"/>
      <c r="C2163" s="228"/>
      <c r="D2163" s="228"/>
      <c r="E2163" s="47"/>
      <c r="F2163" s="47"/>
      <c r="G2163" s="47"/>
      <c r="H2163" s="233"/>
      <c r="I2163" s="47"/>
    </row>
    <row r="2164" spans="1:9" x14ac:dyDescent="0.25">
      <c r="A2164" s="291" t="s">
        <v>114</v>
      </c>
      <c r="B2164" s="228"/>
      <c r="C2164" s="228"/>
      <c r="D2164" s="228"/>
      <c r="E2164" s="47"/>
      <c r="F2164" s="47"/>
      <c r="G2164" s="47"/>
      <c r="H2164" s="233"/>
      <c r="I2164" s="47"/>
    </row>
    <row r="2165" spans="1:9" x14ac:dyDescent="0.25">
      <c r="A2165" s="6" t="s">
        <v>0</v>
      </c>
      <c r="B2165" s="49"/>
      <c r="C2165" s="49"/>
      <c r="D2165" s="49"/>
      <c r="E2165" s="50"/>
      <c r="F2165" s="9" t="s">
        <v>115</v>
      </c>
      <c r="G2165" s="41" t="s">
        <v>116</v>
      </c>
      <c r="H2165" s="10"/>
      <c r="I2165" s="47"/>
    </row>
    <row r="2166" spans="1:9" x14ac:dyDescent="0.25">
      <c r="A2166" s="11" t="s">
        <v>117</v>
      </c>
      <c r="B2166" s="51"/>
      <c r="C2166" s="51"/>
      <c r="D2166" s="51"/>
      <c r="E2166" s="52"/>
      <c r="F2166" s="53"/>
      <c r="G2166" s="14">
        <f>F2166*H2162</f>
        <v>0</v>
      </c>
      <c r="H2166" s="15"/>
      <c r="I2166" s="47"/>
    </row>
    <row r="2167" spans="1:9" x14ac:dyDescent="0.25">
      <c r="A2167" s="11"/>
      <c r="B2167" s="51"/>
      <c r="C2167" s="51"/>
      <c r="D2167" s="51"/>
      <c r="E2167" s="52"/>
      <c r="F2167" s="53"/>
      <c r="G2167" s="14">
        <f>F2167*H2162</f>
        <v>0</v>
      </c>
      <c r="H2167" s="15"/>
      <c r="I2167" s="47"/>
    </row>
    <row r="2168" spans="1:9" x14ac:dyDescent="0.25">
      <c r="A2168" s="11"/>
      <c r="B2168" s="51"/>
      <c r="C2168" s="51"/>
      <c r="D2168" s="51"/>
      <c r="E2168" s="52"/>
      <c r="F2168" s="53"/>
      <c r="G2168" s="14">
        <f>F2168*H2162</f>
        <v>0</v>
      </c>
      <c r="H2168" s="17"/>
      <c r="I2168" s="47"/>
    </row>
    <row r="2169" spans="1:9" x14ac:dyDescent="0.25">
      <c r="A2169" s="4"/>
      <c r="B2169" s="4"/>
      <c r="C2169" s="4"/>
      <c r="D2169" s="4"/>
      <c r="E2169" s="46" t="s">
        <v>118</v>
      </c>
      <c r="F2169" s="46"/>
      <c r="G2169" s="46"/>
      <c r="H2169" s="36">
        <f>SUM(G2166:G2168)</f>
        <v>0</v>
      </c>
      <c r="I2169" s="220"/>
    </row>
    <row r="2170" spans="1:9" ht="15.75" thickBot="1" x14ac:dyDescent="0.3">
      <c r="A2170" s="4"/>
      <c r="B2170" s="4"/>
      <c r="C2170" s="4"/>
      <c r="D2170" s="4"/>
      <c r="E2170" s="5"/>
      <c r="F2170" s="5"/>
      <c r="G2170" s="5"/>
      <c r="H2170" s="5"/>
      <c r="I2170" s="47"/>
    </row>
    <row r="2171" spans="1:9" ht="15.75" thickBot="1" x14ac:dyDescent="0.3">
      <c r="A2171" s="4"/>
      <c r="B2171" s="4"/>
      <c r="C2171" s="4"/>
      <c r="D2171" s="4"/>
      <c r="E2171" s="54"/>
      <c r="F2171" s="54" t="s">
        <v>119</v>
      </c>
      <c r="G2171" s="54"/>
      <c r="H2171" s="240">
        <f>SUM(H2169+H2162)</f>
        <v>950427</v>
      </c>
      <c r="I2171" s="112"/>
    </row>
    <row r="2176" spans="1:9" ht="15.75" x14ac:dyDescent="0.25">
      <c r="A2176" s="452" t="s">
        <v>79</v>
      </c>
      <c r="B2176" s="452"/>
      <c r="C2176" s="452"/>
      <c r="D2176" s="452"/>
      <c r="E2176" s="452"/>
      <c r="F2176" s="452"/>
      <c r="G2176" s="452"/>
      <c r="H2176" s="452"/>
      <c r="I2176" s="267"/>
    </row>
    <row r="2177" spans="1:9" x14ac:dyDescent="0.25">
      <c r="E2177" s="5"/>
      <c r="F2177" s="5"/>
      <c r="G2177" s="5"/>
      <c r="H2177" s="5"/>
      <c r="I2177" s="47"/>
    </row>
    <row r="2178" spans="1:9" x14ac:dyDescent="0.25">
      <c r="E2178" s="5"/>
      <c r="F2178" s="5"/>
      <c r="G2178" s="411" t="s">
        <v>326</v>
      </c>
      <c r="H2178" s="411"/>
      <c r="I2178" s="251"/>
    </row>
    <row r="2179" spans="1:9" ht="28.9" customHeight="1" x14ac:dyDescent="0.25">
      <c r="A2179" s="453" t="s">
        <v>317</v>
      </c>
      <c r="B2179" s="453"/>
      <c r="C2179" s="453"/>
      <c r="D2179" s="453"/>
      <c r="E2179" s="453"/>
      <c r="F2179" s="453"/>
      <c r="G2179" s="453"/>
      <c r="H2179" s="453"/>
      <c r="I2179" s="268"/>
    </row>
    <row r="2180" spans="1:9" x14ac:dyDescent="0.25">
      <c r="E2180" s="5"/>
      <c r="F2180" s="5"/>
      <c r="G2180" s="91" t="s">
        <v>215</v>
      </c>
      <c r="H2180" s="91"/>
      <c r="I2180" s="261"/>
    </row>
    <row r="2181" spans="1:9" x14ac:dyDescent="0.25">
      <c r="A2181" t="s">
        <v>82</v>
      </c>
      <c r="E2181" s="5"/>
      <c r="F2181" s="5"/>
      <c r="G2181" s="5"/>
      <c r="H2181" s="5"/>
      <c r="I2181" s="47"/>
    </row>
    <row r="2182" spans="1:9" x14ac:dyDescent="0.25">
      <c r="A2182" s="92" t="s">
        <v>0</v>
      </c>
      <c r="B2182" s="93"/>
      <c r="C2182" s="94" t="s">
        <v>83</v>
      </c>
      <c r="D2182" s="94" t="s">
        <v>84</v>
      </c>
      <c r="E2182" s="9" t="s">
        <v>85</v>
      </c>
      <c r="F2182" s="9" t="s">
        <v>86</v>
      </c>
      <c r="G2182" s="9" t="s">
        <v>87</v>
      </c>
      <c r="H2182" s="10"/>
      <c r="I2182" s="47"/>
    </row>
    <row r="2183" spans="1:9" x14ac:dyDescent="0.25">
      <c r="A2183" s="26" t="s">
        <v>88</v>
      </c>
      <c r="B2183" s="27"/>
      <c r="C2183" s="95"/>
      <c r="D2183" s="95"/>
      <c r="E2183" s="14"/>
      <c r="F2183" s="14"/>
      <c r="G2183" s="14">
        <f>ROUND(H2207*0.05,0)+6510</f>
        <v>9019</v>
      </c>
      <c r="H2183" s="15"/>
      <c r="I2183" s="47"/>
    </row>
    <row r="2184" spans="1:9" x14ac:dyDescent="0.25">
      <c r="A2184" s="11" t="s">
        <v>327</v>
      </c>
      <c r="B2184" s="12"/>
      <c r="C2184" s="13"/>
      <c r="D2184" s="13"/>
      <c r="E2184" s="14">
        <v>350000</v>
      </c>
      <c r="F2184" s="14">
        <v>0.1</v>
      </c>
      <c r="G2184" s="14">
        <f>ROUND(E2184*F2184,0)</f>
        <v>35000</v>
      </c>
      <c r="H2184" s="15"/>
      <c r="I2184" s="47"/>
    </row>
    <row r="2185" spans="1:9" x14ac:dyDescent="0.25">
      <c r="A2185" s="11" t="s">
        <v>328</v>
      </c>
      <c r="B2185" s="27"/>
      <c r="C2185" s="95"/>
      <c r="D2185" s="95"/>
      <c r="E2185" s="14">
        <v>50000</v>
      </c>
      <c r="F2185" s="128">
        <v>0.15</v>
      </c>
      <c r="G2185" s="14">
        <f>ROUND(E2185*F2185,0)</f>
        <v>7500</v>
      </c>
      <c r="H2185" s="15"/>
      <c r="I2185" s="47"/>
    </row>
    <row r="2186" spans="1:9" x14ac:dyDescent="0.25">
      <c r="A2186" s="26"/>
      <c r="B2186" s="27"/>
      <c r="C2186" s="95"/>
      <c r="D2186" s="95"/>
      <c r="E2186" s="14"/>
      <c r="F2186" s="128"/>
      <c r="G2186" s="14">
        <f>ROUND(E2186*F2186,0)</f>
        <v>0</v>
      </c>
      <c r="H2186" s="17"/>
      <c r="I2186" s="47"/>
    </row>
    <row r="2187" spans="1:9" x14ac:dyDescent="0.25">
      <c r="A2187" s="96"/>
      <c r="B2187" s="97"/>
      <c r="C2187" s="97"/>
      <c r="D2187" s="97"/>
      <c r="E2187" s="20"/>
      <c r="F2187" s="21" t="s">
        <v>90</v>
      </c>
      <c r="G2187" s="22"/>
      <c r="H2187" s="23">
        <f>SUM(G2183:G2186)</f>
        <v>51519</v>
      </c>
      <c r="I2187" s="220"/>
    </row>
    <row r="2188" spans="1:9" x14ac:dyDescent="0.25">
      <c r="A2188" s="297" t="s">
        <v>91</v>
      </c>
      <c r="B2188" s="255"/>
      <c r="C2188" s="255"/>
      <c r="D2188" s="255"/>
      <c r="E2188" s="47"/>
      <c r="F2188" s="47"/>
      <c r="G2188" s="47"/>
      <c r="H2188" s="233"/>
      <c r="I2188" s="47"/>
    </row>
    <row r="2189" spans="1:9" x14ac:dyDescent="0.25">
      <c r="A2189" s="100" t="s">
        <v>0</v>
      </c>
      <c r="B2189" s="100"/>
      <c r="C2189" s="94" t="s">
        <v>92</v>
      </c>
      <c r="D2189" s="94" t="s">
        <v>93</v>
      </c>
      <c r="E2189" s="9" t="s">
        <v>94</v>
      </c>
      <c r="F2189" s="9" t="s">
        <v>95</v>
      </c>
      <c r="G2189" s="25" t="s">
        <v>96</v>
      </c>
      <c r="H2189" s="10"/>
      <c r="I2189" s="47"/>
    </row>
    <row r="2190" spans="1:9" x14ac:dyDescent="0.25">
      <c r="A2190" s="26"/>
      <c r="B2190" s="27"/>
      <c r="C2190" s="28"/>
      <c r="D2190" s="29"/>
      <c r="E2190" s="30"/>
      <c r="F2190" s="14"/>
      <c r="G2190" s="14">
        <f t="shared" ref="G2190:G2198" si="58">ROUND(E2190*F2190,0)</f>
        <v>0</v>
      </c>
      <c r="H2190" s="15"/>
      <c r="I2190" s="47"/>
    </row>
    <row r="2191" spans="1:9" hidden="1" x14ac:dyDescent="0.25">
      <c r="A2191" s="26"/>
      <c r="B2191" s="27"/>
      <c r="C2191" s="28"/>
      <c r="D2191" s="129"/>
      <c r="E2191" s="30"/>
      <c r="F2191" s="14"/>
      <c r="G2191" s="14">
        <f t="shared" si="58"/>
        <v>0</v>
      </c>
      <c r="H2191" s="15"/>
      <c r="I2191" s="47"/>
    </row>
    <row r="2192" spans="1:9" x14ac:dyDescent="0.25">
      <c r="A2192" s="32" t="s">
        <v>256</v>
      </c>
      <c r="B2192" s="33"/>
      <c r="C2192" s="28" t="s">
        <v>9</v>
      </c>
      <c r="D2192" s="29">
        <v>0.05</v>
      </c>
      <c r="E2192" s="30">
        <v>10</v>
      </c>
      <c r="F2192" s="14">
        <v>5000</v>
      </c>
      <c r="G2192" s="14">
        <f t="shared" si="58"/>
        <v>50000</v>
      </c>
      <c r="H2192" s="15"/>
      <c r="I2192" s="47"/>
    </row>
    <row r="2193" spans="1:9" hidden="1" x14ac:dyDescent="0.25">
      <c r="A2193" s="26"/>
      <c r="B2193" s="27"/>
      <c r="C2193" s="28"/>
      <c r="D2193" s="129"/>
      <c r="E2193" s="30"/>
      <c r="F2193" s="14"/>
      <c r="G2193" s="14">
        <f t="shared" si="58"/>
        <v>0</v>
      </c>
      <c r="H2193" s="15"/>
      <c r="I2193" s="47"/>
    </row>
    <row r="2194" spans="1:9" ht="33.6" customHeight="1" x14ac:dyDescent="0.25">
      <c r="A2194" s="420" t="s">
        <v>318</v>
      </c>
      <c r="B2194" s="421"/>
      <c r="C2194" s="59" t="s">
        <v>18</v>
      </c>
      <c r="D2194" s="60"/>
      <c r="E2194" s="61">
        <v>1</v>
      </c>
      <c r="F2194" s="62">
        <f>260000*1.05</f>
        <v>273000</v>
      </c>
      <c r="G2194" s="62">
        <f t="shared" si="58"/>
        <v>273000</v>
      </c>
      <c r="H2194" s="15"/>
      <c r="I2194" s="47"/>
    </row>
    <row r="2195" spans="1:9" x14ac:dyDescent="0.25">
      <c r="A2195" s="26"/>
      <c r="B2195" s="27"/>
      <c r="C2195" s="28"/>
      <c r="D2195" s="129"/>
      <c r="E2195" s="30"/>
      <c r="F2195" s="14"/>
      <c r="G2195" s="14">
        <f t="shared" si="58"/>
        <v>0</v>
      </c>
      <c r="H2195" s="15"/>
      <c r="I2195" s="47"/>
    </row>
    <row r="2196" spans="1:9" x14ac:dyDescent="0.25">
      <c r="A2196" s="26"/>
      <c r="B2196" s="27"/>
      <c r="C2196" s="28"/>
      <c r="D2196" s="129"/>
      <c r="E2196" s="30"/>
      <c r="F2196" s="14"/>
      <c r="G2196" s="14">
        <f t="shared" si="58"/>
        <v>0</v>
      </c>
      <c r="H2196" s="15"/>
      <c r="I2196" s="47"/>
    </row>
    <row r="2197" spans="1:9" x14ac:dyDescent="0.25">
      <c r="A2197" s="26"/>
      <c r="B2197" s="27"/>
      <c r="C2197" s="28"/>
      <c r="D2197" s="129"/>
      <c r="E2197" s="30"/>
      <c r="F2197" s="14"/>
      <c r="G2197" s="14">
        <f t="shared" si="58"/>
        <v>0</v>
      </c>
      <c r="H2197" s="15"/>
      <c r="I2197" s="47"/>
    </row>
    <row r="2198" spans="1:9" x14ac:dyDescent="0.25">
      <c r="A2198" s="26"/>
      <c r="B2198" s="27"/>
      <c r="C2198" s="28"/>
      <c r="D2198" s="129"/>
      <c r="E2198" s="30"/>
      <c r="F2198" s="14"/>
      <c r="G2198" s="14">
        <f t="shared" si="58"/>
        <v>0</v>
      </c>
      <c r="H2198" s="17"/>
      <c r="I2198" s="47"/>
    </row>
    <row r="2199" spans="1:9" x14ac:dyDescent="0.25">
      <c r="A2199" s="297"/>
      <c r="B2199" s="255"/>
      <c r="C2199" s="255"/>
      <c r="D2199" s="255"/>
      <c r="E2199" s="130"/>
      <c r="F2199" s="37" t="s">
        <v>102</v>
      </c>
      <c r="G2199" s="38"/>
      <c r="H2199" s="23">
        <f>SUM(G2190:G2198)</f>
        <v>323000</v>
      </c>
      <c r="I2199" s="220"/>
    </row>
    <row r="2200" spans="1:9" x14ac:dyDescent="0.25">
      <c r="A2200" s="297"/>
      <c r="B2200" s="255"/>
      <c r="C2200" s="255"/>
      <c r="D2200" s="255"/>
      <c r="E2200" s="36"/>
      <c r="F2200" s="39" t="s">
        <v>103</v>
      </c>
      <c r="G2200" s="38"/>
      <c r="H2200" s="23">
        <f>ROUND((D2190*G2190)+(D2191*G2191)+(D2192*G2192)+(D2193*G2193)+(D2194*G2194)+(D2195*G2195)+(D2196*G2196)+(D2197*G2197)+(D2198*G2198),0)</f>
        <v>2500</v>
      </c>
      <c r="I2200" s="220"/>
    </row>
    <row r="2201" spans="1:9" x14ac:dyDescent="0.25">
      <c r="A2201" s="297"/>
      <c r="B2201" s="255"/>
      <c r="C2201" s="255"/>
      <c r="D2201" s="255"/>
      <c r="E2201" s="36"/>
      <c r="F2201" s="20" t="s">
        <v>104</v>
      </c>
      <c r="G2201" s="40"/>
      <c r="H2201" s="23">
        <f>SUM(H2199:H2200)</f>
        <v>325500</v>
      </c>
      <c r="I2201" s="220"/>
    </row>
    <row r="2202" spans="1:9" x14ac:dyDescent="0.25">
      <c r="A2202" s="297" t="s">
        <v>105</v>
      </c>
      <c r="B2202" s="255"/>
      <c r="C2202" s="255"/>
      <c r="D2202" s="255"/>
      <c r="E2202" s="47"/>
      <c r="F2202" s="47"/>
      <c r="G2202" s="47"/>
      <c r="H2202" s="233"/>
      <c r="I2202" s="47"/>
    </row>
    <row r="2203" spans="1:9" x14ac:dyDescent="0.25">
      <c r="A2203" s="100" t="s">
        <v>0</v>
      </c>
      <c r="B2203" s="100"/>
      <c r="C2203" s="94" t="s">
        <v>106</v>
      </c>
      <c r="D2203" s="94" t="s">
        <v>107</v>
      </c>
      <c r="E2203" s="9" t="s">
        <v>108</v>
      </c>
      <c r="F2203" s="9" t="s">
        <v>109</v>
      </c>
      <c r="G2203" s="41" t="s">
        <v>96</v>
      </c>
      <c r="H2203" s="10"/>
      <c r="I2203" s="47"/>
    </row>
    <row r="2204" spans="1:9" x14ac:dyDescent="0.25">
      <c r="A2204" s="26" t="s">
        <v>110</v>
      </c>
      <c r="B2204" s="27"/>
      <c r="C2204" s="13">
        <f>104000+26000</f>
        <v>130000</v>
      </c>
      <c r="D2204" s="13">
        <f>+C2204*0.16</f>
        <v>20800</v>
      </c>
      <c r="E2204" s="14">
        <f>C2204+D2204</f>
        <v>150800</v>
      </c>
      <c r="F2204" s="30">
        <v>0.2</v>
      </c>
      <c r="G2204" s="14">
        <f>ROUND(E2204*F2204,0)</f>
        <v>30160</v>
      </c>
      <c r="H2204" s="15"/>
      <c r="I2204" s="47"/>
    </row>
    <row r="2205" spans="1:9" x14ac:dyDescent="0.25">
      <c r="A2205" s="26" t="s">
        <v>111</v>
      </c>
      <c r="B2205" s="27"/>
      <c r="C2205" s="13">
        <f>60400+25850</f>
        <v>86250</v>
      </c>
      <c r="D2205" s="13">
        <f>+C2205*0.16</f>
        <v>13800</v>
      </c>
      <c r="E2205" s="14">
        <f>C2205+D2205</f>
        <v>100050</v>
      </c>
      <c r="F2205" s="30">
        <v>0.2</v>
      </c>
      <c r="G2205" s="14">
        <f>ROUND(E2205*F2205,0)</f>
        <v>20010</v>
      </c>
      <c r="H2205" s="15"/>
      <c r="I2205" s="47"/>
    </row>
    <row r="2206" spans="1:9" x14ac:dyDescent="0.25">
      <c r="A2206" s="26"/>
      <c r="B2206" s="27"/>
      <c r="C2206" s="43"/>
      <c r="D2206" s="43"/>
      <c r="E2206" s="44">
        <f>C2206+D2206</f>
        <v>0</v>
      </c>
      <c r="F2206" s="30"/>
      <c r="G2206" s="14">
        <f>ROUND(E2206*F2206,0)</f>
        <v>0</v>
      </c>
      <c r="H2206" s="15"/>
      <c r="I2206" s="47"/>
    </row>
    <row r="2207" spans="1:9" x14ac:dyDescent="0.25">
      <c r="A2207" s="297"/>
      <c r="B2207" s="255"/>
      <c r="C2207" s="255"/>
      <c r="D2207" s="255"/>
      <c r="E2207" s="101" t="s">
        <v>112</v>
      </c>
      <c r="F2207" s="37"/>
      <c r="G2207" s="277"/>
      <c r="H2207" s="23">
        <f>SUM(G2204:G2206)</f>
        <v>50170</v>
      </c>
      <c r="I2207" s="220"/>
    </row>
    <row r="2208" spans="1:9" x14ac:dyDescent="0.25">
      <c r="A2208" s="297"/>
      <c r="B2208" s="255"/>
      <c r="C2208" s="255"/>
      <c r="D2208" s="255"/>
      <c r="E2208" s="47"/>
      <c r="F2208" s="47"/>
      <c r="G2208" s="47"/>
      <c r="H2208" s="233"/>
      <c r="I2208" s="47"/>
    </row>
    <row r="2209" spans="1:9" x14ac:dyDescent="0.25">
      <c r="A2209" s="96"/>
      <c r="B2209" s="97"/>
      <c r="C2209" s="97"/>
      <c r="D2209" s="97"/>
      <c r="E2209" s="48" t="s">
        <v>113</v>
      </c>
      <c r="F2209" s="48"/>
      <c r="G2209" s="50"/>
      <c r="H2209" s="25">
        <f>H2207+H2201+H2187</f>
        <v>427189</v>
      </c>
      <c r="I2209" s="222"/>
    </row>
    <row r="2210" spans="1:9" x14ac:dyDescent="0.25">
      <c r="A2210" s="297"/>
      <c r="B2210" s="255"/>
      <c r="C2210" s="255"/>
      <c r="D2210" s="255"/>
      <c r="E2210" s="47"/>
      <c r="F2210" s="47"/>
      <c r="G2210" s="47"/>
      <c r="H2210" s="233"/>
      <c r="I2210" s="47"/>
    </row>
    <row r="2211" spans="1:9" x14ac:dyDescent="0.25">
      <c r="A2211" s="297" t="s">
        <v>114</v>
      </c>
      <c r="B2211" s="255"/>
      <c r="C2211" s="255"/>
      <c r="D2211" s="255"/>
      <c r="E2211" s="47"/>
      <c r="F2211" s="47"/>
      <c r="G2211" s="47"/>
      <c r="H2211" s="233"/>
      <c r="I2211" s="47"/>
    </row>
    <row r="2212" spans="1:9" x14ac:dyDescent="0.25">
      <c r="A2212" s="92" t="s">
        <v>0</v>
      </c>
      <c r="B2212" s="102"/>
      <c r="C2212" s="102"/>
      <c r="D2212" s="102"/>
      <c r="E2212" s="50"/>
      <c r="F2212" s="9" t="s">
        <v>115</v>
      </c>
      <c r="G2212" s="9" t="s">
        <v>116</v>
      </c>
      <c r="H2212" s="10"/>
      <c r="I2212" s="47"/>
    </row>
    <row r="2213" spans="1:9" x14ac:dyDescent="0.25">
      <c r="A2213" s="26" t="s">
        <v>117</v>
      </c>
      <c r="B2213" s="103"/>
      <c r="C2213" s="103"/>
      <c r="D2213" s="103"/>
      <c r="E2213" s="52"/>
      <c r="F2213" s="14"/>
      <c r="G2213" s="131">
        <f>ROUND(F2213*H2209,0)</f>
        <v>0</v>
      </c>
      <c r="H2213" s="15"/>
      <c r="I2213" s="47"/>
    </row>
    <row r="2214" spans="1:9" hidden="1" x14ac:dyDescent="0.25">
      <c r="A2214" s="26"/>
      <c r="B2214" s="103"/>
      <c r="C2214" s="103"/>
      <c r="D2214" s="103"/>
      <c r="E2214" s="52"/>
      <c r="F2214" s="14"/>
      <c r="G2214" s="131">
        <f>F2214*H2209</f>
        <v>0</v>
      </c>
      <c r="H2214" s="15"/>
      <c r="I2214" s="47"/>
    </row>
    <row r="2215" spans="1:9" x14ac:dyDescent="0.25">
      <c r="A2215" s="26"/>
      <c r="B2215" s="103"/>
      <c r="C2215" s="103"/>
      <c r="D2215" s="103"/>
      <c r="E2215" s="52"/>
      <c r="F2215" s="14"/>
      <c r="G2215" s="131">
        <f>F2215*H2209</f>
        <v>0</v>
      </c>
      <c r="H2215" s="17"/>
      <c r="I2215" s="47"/>
    </row>
    <row r="2216" spans="1:9" x14ac:dyDescent="0.25">
      <c r="E2216" s="101" t="s">
        <v>118</v>
      </c>
      <c r="F2216" s="37"/>
      <c r="G2216" s="46"/>
      <c r="H2216" s="36">
        <f>SUM(G2213:G2215)</f>
        <v>0</v>
      </c>
      <c r="I2216" s="220"/>
    </row>
    <row r="2217" spans="1:9" ht="15.75" thickBot="1" x14ac:dyDescent="0.3">
      <c r="E2217" s="5"/>
      <c r="F2217" s="5"/>
      <c r="G2217" s="5"/>
      <c r="H2217" s="5"/>
      <c r="I2217" s="47"/>
    </row>
    <row r="2218" spans="1:9" ht="15.75" thickBot="1" x14ac:dyDescent="0.3">
      <c r="E2218" s="54"/>
      <c r="F2218" s="54" t="s">
        <v>119</v>
      </c>
      <c r="G2218" s="54"/>
      <c r="H2218" s="240">
        <f>SUM(H2216+H2209)</f>
        <v>427189</v>
      </c>
      <c r="I2218" s="112"/>
    </row>
    <row r="2219" spans="1:9" x14ac:dyDescent="0.25">
      <c r="E2219" s="54"/>
      <c r="F2219" s="54"/>
      <c r="G2219" s="54"/>
      <c r="H2219" s="112"/>
      <c r="I2219" s="112"/>
    </row>
    <row r="2220" spans="1:9" x14ac:dyDescent="0.25">
      <c r="E2220" s="54"/>
      <c r="F2220" s="54"/>
      <c r="G2220" s="54"/>
      <c r="H2220" s="112"/>
      <c r="I2220" s="112"/>
    </row>
    <row r="2221" spans="1:9" hidden="1" x14ac:dyDescent="0.25">
      <c r="E2221" s="54"/>
      <c r="F2221" s="54"/>
      <c r="G2221" s="54"/>
      <c r="H2221" s="112"/>
      <c r="I2221" s="112"/>
    </row>
    <row r="2222" spans="1:9" hidden="1" x14ac:dyDescent="0.25">
      <c r="E2222" s="54"/>
      <c r="F2222" s="54"/>
      <c r="G2222" s="54"/>
      <c r="H2222" s="112"/>
      <c r="I2222" s="112"/>
    </row>
    <row r="2223" spans="1:9" x14ac:dyDescent="0.25">
      <c r="E2223" s="54"/>
      <c r="F2223" s="54"/>
      <c r="G2223" s="54"/>
      <c r="H2223" s="112"/>
      <c r="I2223" s="112"/>
    </row>
    <row r="2224" spans="1:9" x14ac:dyDescent="0.25">
      <c r="E2224" s="54"/>
      <c r="F2224" s="54"/>
      <c r="G2224" s="54"/>
      <c r="H2224" s="112"/>
      <c r="I2224" s="112"/>
    </row>
    <row r="2225" spans="1:9" x14ac:dyDescent="0.25">
      <c r="E2225" s="54"/>
      <c r="F2225" s="54"/>
      <c r="G2225" s="54"/>
      <c r="H2225" s="112"/>
      <c r="I2225" s="112"/>
    </row>
    <row r="2226" spans="1:9" x14ac:dyDescent="0.25">
      <c r="I2226" s="112"/>
    </row>
    <row r="2227" spans="1:9" x14ac:dyDescent="0.25">
      <c r="E2227" s="54"/>
      <c r="F2227" s="54"/>
      <c r="G2227" s="54"/>
      <c r="H2227" s="112"/>
      <c r="I2227" s="112"/>
    </row>
    <row r="2228" spans="1:9" x14ac:dyDescent="0.25">
      <c r="I2228" s="112"/>
    </row>
    <row r="2229" spans="1:9" ht="15.75" x14ac:dyDescent="0.25">
      <c r="A2229" s="452" t="s">
        <v>79</v>
      </c>
      <c r="B2229" s="452"/>
      <c r="C2229" s="452"/>
      <c r="D2229" s="452"/>
      <c r="E2229" s="452"/>
      <c r="F2229" s="452"/>
      <c r="G2229" s="452"/>
      <c r="H2229" s="452"/>
      <c r="I2229" s="112"/>
    </row>
    <row r="2230" spans="1:9" x14ac:dyDescent="0.25">
      <c r="E2230" s="5"/>
      <c r="F2230" s="5"/>
      <c r="G2230" s="5"/>
      <c r="H2230" s="5"/>
      <c r="I2230" s="112"/>
    </row>
    <row r="2231" spans="1:9" ht="14.45" customHeight="1" x14ac:dyDescent="0.25">
      <c r="E2231" s="5"/>
      <c r="F2231" s="5"/>
      <c r="G2231" s="411" t="s">
        <v>326</v>
      </c>
      <c r="H2231" s="411"/>
      <c r="I2231" s="112"/>
    </row>
    <row r="2232" spans="1:9" x14ac:dyDescent="0.25">
      <c r="A2232" s="453" t="s">
        <v>428</v>
      </c>
      <c r="B2232" s="453"/>
      <c r="C2232" s="453"/>
      <c r="D2232" s="453"/>
      <c r="E2232" s="453"/>
      <c r="F2232" s="453"/>
      <c r="G2232" s="453"/>
      <c r="H2232" s="453"/>
      <c r="I2232" s="112"/>
    </row>
    <row r="2233" spans="1:9" x14ac:dyDescent="0.25">
      <c r="E2233" s="5"/>
      <c r="F2233" s="5"/>
      <c r="G2233" s="91" t="s">
        <v>215</v>
      </c>
      <c r="H2233" s="91"/>
      <c r="I2233" s="112"/>
    </row>
    <row r="2234" spans="1:9" x14ac:dyDescent="0.25">
      <c r="A2234" t="s">
        <v>82</v>
      </c>
      <c r="E2234" s="5"/>
      <c r="F2234" s="5"/>
      <c r="G2234" s="5"/>
      <c r="H2234" s="5"/>
      <c r="I2234" s="112"/>
    </row>
    <row r="2235" spans="1:9" x14ac:dyDescent="0.25">
      <c r="A2235" s="92" t="s">
        <v>0</v>
      </c>
      <c r="B2235" s="93"/>
      <c r="C2235" s="94" t="s">
        <v>83</v>
      </c>
      <c r="D2235" s="94" t="s">
        <v>84</v>
      </c>
      <c r="E2235" s="9" t="s">
        <v>85</v>
      </c>
      <c r="F2235" s="9" t="s">
        <v>86</v>
      </c>
      <c r="G2235" s="9" t="s">
        <v>87</v>
      </c>
      <c r="H2235" s="10"/>
      <c r="I2235" s="112"/>
    </row>
    <row r="2236" spans="1:9" x14ac:dyDescent="0.25">
      <c r="A2236" s="26" t="s">
        <v>88</v>
      </c>
      <c r="B2236" s="27"/>
      <c r="C2236" s="95"/>
      <c r="D2236" s="95"/>
      <c r="E2236" s="14"/>
      <c r="F2236" s="14"/>
      <c r="G2236" s="14">
        <f>ROUND(H2260*0.05,0)+6510</f>
        <v>19053</v>
      </c>
      <c r="H2236" s="15"/>
      <c r="I2236" s="112"/>
    </row>
    <row r="2237" spans="1:9" x14ac:dyDescent="0.25">
      <c r="A2237" s="11" t="s">
        <v>327</v>
      </c>
      <c r="B2237" s="12"/>
      <c r="C2237" s="13"/>
      <c r="D2237" s="13"/>
      <c r="E2237" s="14">
        <v>350000</v>
      </c>
      <c r="F2237" s="14">
        <v>0.1</v>
      </c>
      <c r="G2237" s="14">
        <f>ROUND(E2237*F2237,0)</f>
        <v>35000</v>
      </c>
      <c r="H2237" s="15"/>
      <c r="I2237" s="112"/>
    </row>
    <row r="2238" spans="1:9" x14ac:dyDescent="0.25">
      <c r="A2238" s="11" t="s">
        <v>328</v>
      </c>
      <c r="B2238" s="27"/>
      <c r="C2238" s="95"/>
      <c r="D2238" s="95"/>
      <c r="E2238" s="14">
        <v>50000</v>
      </c>
      <c r="F2238" s="128">
        <v>0.15</v>
      </c>
      <c r="G2238" s="14">
        <f>ROUND(E2238*F2238,0)</f>
        <v>7500</v>
      </c>
      <c r="H2238" s="15"/>
      <c r="I2238" s="112"/>
    </row>
    <row r="2239" spans="1:9" x14ac:dyDescent="0.25">
      <c r="A2239" s="26"/>
      <c r="B2239" s="27"/>
      <c r="C2239" s="95"/>
      <c r="D2239" s="95"/>
      <c r="E2239" s="14"/>
      <c r="F2239" s="128"/>
      <c r="G2239" s="14">
        <f>ROUND(E2239*F2239,0)</f>
        <v>0</v>
      </c>
      <c r="H2239" s="17"/>
      <c r="I2239" s="112"/>
    </row>
    <row r="2240" spans="1:9" x14ac:dyDescent="0.25">
      <c r="A2240" s="96"/>
      <c r="B2240" s="97"/>
      <c r="C2240" s="97"/>
      <c r="D2240" s="97"/>
      <c r="E2240" s="20"/>
      <c r="F2240" s="21" t="s">
        <v>90</v>
      </c>
      <c r="G2240" s="22"/>
      <c r="H2240" s="23">
        <f>SUM(G2236:G2239)</f>
        <v>61553</v>
      </c>
      <c r="I2240" s="112"/>
    </row>
    <row r="2241" spans="1:9" x14ac:dyDescent="0.25">
      <c r="A2241" s="297" t="s">
        <v>91</v>
      </c>
      <c r="E2241" s="47"/>
      <c r="F2241" s="47"/>
      <c r="G2241" s="47"/>
      <c r="H2241" s="233"/>
      <c r="I2241" s="112"/>
    </row>
    <row r="2242" spans="1:9" x14ac:dyDescent="0.25">
      <c r="A2242" s="100" t="s">
        <v>0</v>
      </c>
      <c r="B2242" s="100"/>
      <c r="C2242" s="94" t="s">
        <v>92</v>
      </c>
      <c r="D2242" s="94" t="s">
        <v>93</v>
      </c>
      <c r="E2242" s="9" t="s">
        <v>94</v>
      </c>
      <c r="F2242" s="9" t="s">
        <v>95</v>
      </c>
      <c r="G2242" s="25" t="s">
        <v>96</v>
      </c>
      <c r="H2242" s="10"/>
      <c r="I2242" s="112"/>
    </row>
    <row r="2243" spans="1:9" x14ac:dyDescent="0.25">
      <c r="A2243" s="26"/>
      <c r="B2243" s="27"/>
      <c r="C2243" s="28"/>
      <c r="D2243" s="29"/>
      <c r="E2243" s="30"/>
      <c r="F2243" s="14"/>
      <c r="G2243" s="14">
        <f t="shared" ref="G2243:G2251" si="59">ROUND(E2243*F2243,0)</f>
        <v>0</v>
      </c>
      <c r="H2243" s="15"/>
      <c r="I2243" s="112"/>
    </row>
    <row r="2244" spans="1:9" x14ac:dyDescent="0.25">
      <c r="A2244" s="26"/>
      <c r="B2244" s="27"/>
      <c r="C2244" s="28"/>
      <c r="D2244" s="129"/>
      <c r="E2244" s="30"/>
      <c r="F2244" s="14"/>
      <c r="G2244" s="14">
        <f t="shared" si="59"/>
        <v>0</v>
      </c>
      <c r="H2244" s="15"/>
      <c r="I2244" s="112"/>
    </row>
    <row r="2245" spans="1:9" x14ac:dyDescent="0.25">
      <c r="A2245" s="32"/>
      <c r="B2245" s="33"/>
      <c r="C2245" s="28"/>
      <c r="D2245" s="29"/>
      <c r="E2245" s="30"/>
      <c r="F2245" s="14"/>
      <c r="G2245" s="14">
        <f t="shared" si="59"/>
        <v>0</v>
      </c>
      <c r="H2245" s="15"/>
      <c r="I2245" s="112"/>
    </row>
    <row r="2246" spans="1:9" x14ac:dyDescent="0.25">
      <c r="A2246" s="26"/>
      <c r="B2246" s="27"/>
      <c r="C2246" s="28"/>
      <c r="D2246" s="129"/>
      <c r="E2246" s="30"/>
      <c r="F2246" s="14"/>
      <c r="G2246" s="14">
        <f t="shared" si="59"/>
        <v>0</v>
      </c>
      <c r="H2246" s="15"/>
      <c r="I2246" s="112"/>
    </row>
    <row r="2247" spans="1:9" x14ac:dyDescent="0.25">
      <c r="A2247" s="420"/>
      <c r="B2247" s="421"/>
      <c r="C2247" s="59"/>
      <c r="D2247" s="60"/>
      <c r="E2247" s="61"/>
      <c r="F2247" s="62"/>
      <c r="G2247" s="62">
        <f t="shared" si="59"/>
        <v>0</v>
      </c>
      <c r="H2247" s="15"/>
      <c r="I2247" s="112"/>
    </row>
    <row r="2248" spans="1:9" x14ac:dyDescent="0.25">
      <c r="A2248" s="26"/>
      <c r="B2248" s="27"/>
      <c r="C2248" s="28"/>
      <c r="D2248" s="129"/>
      <c r="E2248" s="30"/>
      <c r="F2248" s="14"/>
      <c r="G2248" s="14">
        <f t="shared" si="59"/>
        <v>0</v>
      </c>
      <c r="H2248" s="15"/>
      <c r="I2248" s="112"/>
    </row>
    <row r="2249" spans="1:9" x14ac:dyDescent="0.25">
      <c r="A2249" s="26"/>
      <c r="B2249" s="27"/>
      <c r="C2249" s="28"/>
      <c r="D2249" s="129"/>
      <c r="E2249" s="30"/>
      <c r="F2249" s="14"/>
      <c r="G2249" s="14">
        <f t="shared" si="59"/>
        <v>0</v>
      </c>
      <c r="H2249" s="15"/>
      <c r="I2249" s="112"/>
    </row>
    <row r="2250" spans="1:9" x14ac:dyDescent="0.25">
      <c r="A2250" s="26"/>
      <c r="B2250" s="27"/>
      <c r="C2250" s="28"/>
      <c r="D2250" s="129"/>
      <c r="E2250" s="30"/>
      <c r="F2250" s="14"/>
      <c r="G2250" s="14">
        <f t="shared" si="59"/>
        <v>0</v>
      </c>
      <c r="H2250" s="15"/>
      <c r="I2250" s="112"/>
    </row>
    <row r="2251" spans="1:9" x14ac:dyDescent="0.25">
      <c r="A2251" s="26"/>
      <c r="B2251" s="27"/>
      <c r="C2251" s="28"/>
      <c r="D2251" s="129"/>
      <c r="E2251" s="30"/>
      <c r="F2251" s="14"/>
      <c r="G2251" s="14">
        <f t="shared" si="59"/>
        <v>0</v>
      </c>
      <c r="H2251" s="17"/>
      <c r="I2251" s="112"/>
    </row>
    <row r="2252" spans="1:9" x14ac:dyDescent="0.25">
      <c r="A2252" s="297"/>
      <c r="E2252" s="130"/>
      <c r="F2252" s="37" t="s">
        <v>102</v>
      </c>
      <c r="G2252" s="38"/>
      <c r="H2252" s="23">
        <f>SUM(G2243:G2251)</f>
        <v>0</v>
      </c>
      <c r="I2252" s="112"/>
    </row>
    <row r="2253" spans="1:9" x14ac:dyDescent="0.25">
      <c r="A2253" s="297"/>
      <c r="E2253" s="36"/>
      <c r="F2253" s="39" t="s">
        <v>103</v>
      </c>
      <c r="G2253" s="38"/>
      <c r="H2253" s="23">
        <f>ROUND((D2243*G2243)+(D2244*G2244)+(D2245*G2245)+(D2246*G2246)+(D2247*G2247)+(D2248*G2248)+(D2249*G2249)+(D2250*G2250)+(D2251*G2251),0)</f>
        <v>0</v>
      </c>
      <c r="I2253" s="112"/>
    </row>
    <row r="2254" spans="1:9" x14ac:dyDescent="0.25">
      <c r="A2254" s="297"/>
      <c r="E2254" s="36"/>
      <c r="F2254" s="20" t="s">
        <v>104</v>
      </c>
      <c r="G2254" s="40"/>
      <c r="H2254" s="23">
        <f>SUM(H2252:H2253)</f>
        <v>0</v>
      </c>
      <c r="I2254" s="112"/>
    </row>
    <row r="2255" spans="1:9" x14ac:dyDescent="0.25">
      <c r="A2255" s="297" t="s">
        <v>105</v>
      </c>
      <c r="E2255" s="47"/>
      <c r="F2255" s="47"/>
      <c r="G2255" s="47"/>
      <c r="H2255" s="233"/>
      <c r="I2255" s="112"/>
    </row>
    <row r="2256" spans="1:9" x14ac:dyDescent="0.25">
      <c r="A2256" s="100" t="s">
        <v>0</v>
      </c>
      <c r="B2256" s="100"/>
      <c r="C2256" s="94" t="s">
        <v>106</v>
      </c>
      <c r="D2256" s="94" t="s">
        <v>107</v>
      </c>
      <c r="E2256" s="9" t="s">
        <v>108</v>
      </c>
      <c r="F2256" s="9" t="s">
        <v>109</v>
      </c>
      <c r="G2256" s="41" t="s">
        <v>96</v>
      </c>
      <c r="H2256" s="10"/>
      <c r="I2256" s="112"/>
    </row>
    <row r="2257" spans="1:9" x14ac:dyDescent="0.25">
      <c r="A2257" s="26" t="s">
        <v>110</v>
      </c>
      <c r="B2257" s="27"/>
      <c r="C2257" s="13">
        <f>104000+26000</f>
        <v>130000</v>
      </c>
      <c r="D2257" s="13">
        <f>+C2257*0.16</f>
        <v>20800</v>
      </c>
      <c r="E2257" s="14">
        <f>C2257+D2257</f>
        <v>150800</v>
      </c>
      <c r="F2257" s="30">
        <v>1</v>
      </c>
      <c r="G2257" s="14">
        <f>ROUND(E2257*F2257,0)</f>
        <v>150800</v>
      </c>
      <c r="H2257" s="15"/>
      <c r="I2257" s="112"/>
    </row>
    <row r="2258" spans="1:9" x14ac:dyDescent="0.25">
      <c r="A2258" s="26" t="s">
        <v>111</v>
      </c>
      <c r="B2258" s="27"/>
      <c r="C2258" s="13">
        <f>60400+25850</f>
        <v>86250</v>
      </c>
      <c r="D2258" s="13">
        <f>+C2258*0.16</f>
        <v>13800</v>
      </c>
      <c r="E2258" s="14">
        <f>C2258+D2258</f>
        <v>100050</v>
      </c>
      <c r="F2258" s="30">
        <v>1</v>
      </c>
      <c r="G2258" s="14">
        <f>ROUND(E2258*F2258,0)</f>
        <v>100050</v>
      </c>
      <c r="H2258" s="15"/>
      <c r="I2258" s="112"/>
    </row>
    <row r="2259" spans="1:9" x14ac:dyDescent="0.25">
      <c r="A2259" s="26"/>
      <c r="B2259" s="27"/>
      <c r="C2259" s="43"/>
      <c r="D2259" s="43"/>
      <c r="E2259" s="44">
        <f>C2259+D2259</f>
        <v>0</v>
      </c>
      <c r="F2259" s="30"/>
      <c r="G2259" s="14">
        <f>ROUND(E2259*F2259,0)</f>
        <v>0</v>
      </c>
      <c r="H2259" s="15"/>
      <c r="I2259" s="112"/>
    </row>
    <row r="2260" spans="1:9" x14ac:dyDescent="0.25">
      <c r="A2260" s="297"/>
      <c r="E2260" s="101" t="s">
        <v>112</v>
      </c>
      <c r="F2260" s="37"/>
      <c r="G2260" s="277"/>
      <c r="H2260" s="82">
        <f>SUM(G2257:G2259)</f>
        <v>250850</v>
      </c>
      <c r="I2260" s="112"/>
    </row>
    <row r="2261" spans="1:9" x14ac:dyDescent="0.25">
      <c r="A2261" s="297"/>
      <c r="E2261" s="47"/>
      <c r="F2261" s="47"/>
      <c r="G2261" s="47"/>
      <c r="H2261" s="233"/>
      <c r="I2261" s="112"/>
    </row>
    <row r="2262" spans="1:9" x14ac:dyDescent="0.25">
      <c r="A2262" s="96"/>
      <c r="B2262" s="97"/>
      <c r="C2262" s="97"/>
      <c r="D2262" s="97"/>
      <c r="E2262" s="48" t="s">
        <v>113</v>
      </c>
      <c r="F2262" s="48"/>
      <c r="G2262" s="50"/>
      <c r="H2262" s="25">
        <f>H2260+H2254+H2240</f>
        <v>312403</v>
      </c>
      <c r="I2262" s="112"/>
    </row>
    <row r="2263" spans="1:9" x14ac:dyDescent="0.25">
      <c r="A2263" s="297"/>
      <c r="E2263" s="47"/>
      <c r="F2263" s="47"/>
      <c r="G2263" s="47"/>
      <c r="H2263" s="233"/>
      <c r="I2263" s="112"/>
    </row>
    <row r="2264" spans="1:9" x14ac:dyDescent="0.25">
      <c r="A2264" s="297" t="s">
        <v>114</v>
      </c>
      <c r="E2264" s="47"/>
      <c r="F2264" s="47"/>
      <c r="G2264" s="47"/>
      <c r="H2264" s="233"/>
      <c r="I2264" s="112"/>
    </row>
    <row r="2265" spans="1:9" x14ac:dyDescent="0.25">
      <c r="A2265" s="92" t="s">
        <v>0</v>
      </c>
      <c r="B2265" s="102"/>
      <c r="C2265" s="102"/>
      <c r="D2265" s="102"/>
      <c r="E2265" s="50"/>
      <c r="F2265" s="9" t="s">
        <v>115</v>
      </c>
      <c r="G2265" s="9" t="s">
        <v>116</v>
      </c>
      <c r="H2265" s="10"/>
      <c r="I2265" s="112"/>
    </row>
    <row r="2266" spans="1:9" x14ac:dyDescent="0.25">
      <c r="A2266" s="26" t="s">
        <v>117</v>
      </c>
      <c r="B2266" s="103"/>
      <c r="C2266" s="103"/>
      <c r="D2266" s="103"/>
      <c r="E2266" s="52"/>
      <c r="F2266" s="14"/>
      <c r="G2266" s="131">
        <f>ROUND(F2266*H2262,0)</f>
        <v>0</v>
      </c>
      <c r="H2266" s="15"/>
      <c r="I2266" s="112"/>
    </row>
    <row r="2267" spans="1:9" x14ac:dyDescent="0.25">
      <c r="A2267" s="26"/>
      <c r="B2267" s="103"/>
      <c r="C2267" s="103"/>
      <c r="D2267" s="103"/>
      <c r="E2267" s="52"/>
      <c r="F2267" s="14"/>
      <c r="G2267" s="131">
        <f>F2267*H2262</f>
        <v>0</v>
      </c>
      <c r="H2267" s="15"/>
      <c r="I2267" s="112"/>
    </row>
    <row r="2268" spans="1:9" x14ac:dyDescent="0.25">
      <c r="A2268" s="26"/>
      <c r="B2268" s="103"/>
      <c r="C2268" s="103"/>
      <c r="D2268" s="103"/>
      <c r="E2268" s="52"/>
      <c r="F2268" s="14"/>
      <c r="G2268" s="131">
        <f>F2268*H2262</f>
        <v>0</v>
      </c>
      <c r="H2268" s="17"/>
      <c r="I2268" s="112"/>
    </row>
    <row r="2269" spans="1:9" x14ac:dyDescent="0.25">
      <c r="E2269" s="101" t="s">
        <v>118</v>
      </c>
      <c r="F2269" s="37"/>
      <c r="G2269" s="46"/>
      <c r="H2269" s="36">
        <f>SUM(G2266:G2268)</f>
        <v>0</v>
      </c>
      <c r="I2269" s="112"/>
    </row>
    <row r="2270" spans="1:9" ht="15.75" thickBot="1" x14ac:dyDescent="0.3">
      <c r="E2270" s="5"/>
      <c r="F2270" s="5"/>
      <c r="G2270" s="5"/>
      <c r="H2270" s="5"/>
      <c r="I2270" s="112"/>
    </row>
    <row r="2271" spans="1:9" ht="15.75" thickBot="1" x14ac:dyDescent="0.3">
      <c r="E2271" s="54"/>
      <c r="F2271" s="54" t="s">
        <v>119</v>
      </c>
      <c r="G2271" s="54"/>
      <c r="H2271" s="240">
        <f>SUM(H2269+H2262)</f>
        <v>312403</v>
      </c>
      <c r="I2271" s="112"/>
    </row>
    <row r="2272" spans="1:9" x14ac:dyDescent="0.25">
      <c r="E2272" s="54"/>
      <c r="F2272" s="54"/>
      <c r="G2272" s="54"/>
      <c r="H2272" s="112"/>
      <c r="I2272" s="112"/>
    </row>
    <row r="2273" spans="1:9" x14ac:dyDescent="0.25">
      <c r="E2273" s="54"/>
      <c r="F2273" s="54"/>
      <c r="G2273" s="54"/>
      <c r="H2273" s="112"/>
      <c r="I2273" s="112"/>
    </row>
    <row r="2274" spans="1:9" x14ac:dyDescent="0.25">
      <c r="E2274" s="54"/>
      <c r="F2274" s="54"/>
      <c r="G2274" s="54"/>
      <c r="H2274" s="112"/>
      <c r="I2274" s="112"/>
    </row>
    <row r="2275" spans="1:9" x14ac:dyDescent="0.25">
      <c r="I2275" s="112"/>
    </row>
    <row r="2276" spans="1:9" x14ac:dyDescent="0.25">
      <c r="I2276" s="112"/>
    </row>
    <row r="2277" spans="1:9" x14ac:dyDescent="0.25">
      <c r="I2277" s="112"/>
    </row>
    <row r="2278" spans="1:9" x14ac:dyDescent="0.25">
      <c r="I2278" s="112"/>
    </row>
    <row r="2279" spans="1:9" ht="15.75" x14ac:dyDescent="0.25">
      <c r="A2279" s="452" t="s">
        <v>79</v>
      </c>
      <c r="B2279" s="452"/>
      <c r="C2279" s="452"/>
      <c r="D2279" s="452"/>
      <c r="E2279" s="452"/>
      <c r="F2279" s="452"/>
      <c r="G2279" s="452"/>
      <c r="H2279" s="452"/>
      <c r="I2279" s="112"/>
    </row>
    <row r="2280" spans="1:9" x14ac:dyDescent="0.25">
      <c r="E2280" s="5"/>
      <c r="F2280" s="5"/>
      <c r="G2280" s="5"/>
      <c r="H2280" s="5"/>
      <c r="I2280" s="112"/>
    </row>
    <row r="2281" spans="1:9" ht="14.45" customHeight="1" x14ac:dyDescent="0.25">
      <c r="E2281" s="5"/>
      <c r="F2281" s="5"/>
      <c r="G2281" s="411" t="s">
        <v>326</v>
      </c>
      <c r="H2281" s="411"/>
      <c r="I2281" s="112"/>
    </row>
    <row r="2282" spans="1:9" x14ac:dyDescent="0.25">
      <c r="A2282" s="453" t="s">
        <v>429</v>
      </c>
      <c r="B2282" s="453"/>
      <c r="C2282" s="453"/>
      <c r="D2282" s="453"/>
      <c r="E2282" s="453"/>
      <c r="F2282" s="453"/>
      <c r="G2282" s="453"/>
      <c r="H2282" s="453"/>
      <c r="I2282" s="112"/>
    </row>
    <row r="2283" spans="1:9" x14ac:dyDescent="0.25">
      <c r="E2283" s="5"/>
      <c r="F2283" s="5"/>
      <c r="G2283" s="91" t="s">
        <v>434</v>
      </c>
      <c r="H2283" s="91"/>
      <c r="I2283" s="112"/>
    </row>
    <row r="2284" spans="1:9" x14ac:dyDescent="0.25">
      <c r="A2284" t="s">
        <v>82</v>
      </c>
      <c r="E2284" s="5"/>
      <c r="F2284" s="5"/>
      <c r="G2284" s="5"/>
      <c r="H2284" s="5"/>
      <c r="I2284" s="112"/>
    </row>
    <row r="2285" spans="1:9" x14ac:dyDescent="0.25">
      <c r="A2285" s="92" t="s">
        <v>0</v>
      </c>
      <c r="B2285" s="93"/>
      <c r="C2285" s="94" t="s">
        <v>83</v>
      </c>
      <c r="D2285" s="94" t="s">
        <v>84</v>
      </c>
      <c r="E2285" s="9" t="s">
        <v>85</v>
      </c>
      <c r="F2285" s="9" t="s">
        <v>86</v>
      </c>
      <c r="G2285" s="9" t="s">
        <v>87</v>
      </c>
      <c r="H2285" s="10"/>
      <c r="I2285" s="112"/>
    </row>
    <row r="2286" spans="1:9" x14ac:dyDescent="0.25">
      <c r="A2286" s="26" t="s">
        <v>88</v>
      </c>
      <c r="B2286" s="27"/>
      <c r="C2286" s="95"/>
      <c r="D2286" s="95"/>
      <c r="E2286" s="14"/>
      <c r="F2286" s="14"/>
      <c r="G2286" s="14">
        <f>ROUND(H2310*0.05,0)+6510</f>
        <v>10650</v>
      </c>
      <c r="H2286" s="15"/>
      <c r="I2286" s="112"/>
    </row>
    <row r="2287" spans="1:9" x14ac:dyDescent="0.25">
      <c r="A2287" s="11" t="s">
        <v>327</v>
      </c>
      <c r="B2287" s="12"/>
      <c r="C2287" s="13"/>
      <c r="D2287" s="13"/>
      <c r="E2287" s="14">
        <v>350000</v>
      </c>
      <c r="F2287" s="14">
        <v>0.1</v>
      </c>
      <c r="G2287" s="14">
        <f>ROUND(E2287*F2287,0)</f>
        <v>35000</v>
      </c>
      <c r="H2287" s="15"/>
      <c r="I2287" s="112"/>
    </row>
    <row r="2288" spans="1:9" x14ac:dyDescent="0.25">
      <c r="A2288" s="11" t="s">
        <v>328</v>
      </c>
      <c r="B2288" s="27"/>
      <c r="C2288" s="95"/>
      <c r="D2288" s="95"/>
      <c r="E2288" s="14">
        <v>50000</v>
      </c>
      <c r="F2288" s="128">
        <v>0.15</v>
      </c>
      <c r="G2288" s="14">
        <f>ROUND(E2288*F2288,0)</f>
        <v>7500</v>
      </c>
      <c r="H2288" s="15"/>
      <c r="I2288" s="112"/>
    </row>
    <row r="2289" spans="1:9" x14ac:dyDescent="0.25">
      <c r="A2289" s="26"/>
      <c r="B2289" s="27"/>
      <c r="C2289" s="95"/>
      <c r="D2289" s="95"/>
      <c r="E2289" s="14"/>
      <c r="F2289" s="128"/>
      <c r="G2289" s="14">
        <f>ROUND(E2289*F2289,0)</f>
        <v>0</v>
      </c>
      <c r="H2289" s="17"/>
      <c r="I2289" s="112"/>
    </row>
    <row r="2290" spans="1:9" x14ac:dyDescent="0.25">
      <c r="A2290" s="96"/>
      <c r="B2290" s="97"/>
      <c r="C2290" s="97"/>
      <c r="D2290" s="97"/>
      <c r="E2290" s="20"/>
      <c r="F2290" s="21" t="s">
        <v>90</v>
      </c>
      <c r="G2290" s="22"/>
      <c r="H2290" s="23">
        <f>SUM(G2286:G2289)</f>
        <v>53150</v>
      </c>
      <c r="I2290" s="112"/>
    </row>
    <row r="2291" spans="1:9" x14ac:dyDescent="0.25">
      <c r="A2291" s="297" t="s">
        <v>91</v>
      </c>
      <c r="E2291" s="47"/>
      <c r="F2291" s="47"/>
      <c r="G2291" s="47"/>
      <c r="H2291" s="233"/>
      <c r="I2291" s="112"/>
    </row>
    <row r="2292" spans="1:9" x14ac:dyDescent="0.25">
      <c r="A2292" s="100" t="s">
        <v>0</v>
      </c>
      <c r="B2292" s="100"/>
      <c r="C2292" s="94" t="s">
        <v>92</v>
      </c>
      <c r="D2292" s="94" t="s">
        <v>93</v>
      </c>
      <c r="E2292" s="9" t="s">
        <v>94</v>
      </c>
      <c r="F2292" s="9" t="s">
        <v>95</v>
      </c>
      <c r="G2292" s="25" t="s">
        <v>96</v>
      </c>
      <c r="H2292" s="10"/>
      <c r="I2292" s="112"/>
    </row>
    <row r="2293" spans="1:9" x14ac:dyDescent="0.25">
      <c r="A2293" s="26" t="s">
        <v>430</v>
      </c>
      <c r="B2293" s="27"/>
      <c r="C2293" s="28" t="s">
        <v>7</v>
      </c>
      <c r="D2293" s="29">
        <v>0.05</v>
      </c>
      <c r="E2293" s="30">
        <v>1</v>
      </c>
      <c r="F2293" s="14">
        <f>81500+7000</f>
        <v>88500</v>
      </c>
      <c r="G2293" s="14">
        <f t="shared" ref="G2293:G2301" si="60">ROUND(E2293*F2293,0)</f>
        <v>88500</v>
      </c>
      <c r="H2293" s="15"/>
      <c r="I2293" s="112"/>
    </row>
    <row r="2294" spans="1:9" x14ac:dyDescent="0.25">
      <c r="A2294" s="455" t="s">
        <v>436</v>
      </c>
      <c r="B2294" s="455"/>
      <c r="C2294" s="59" t="s">
        <v>206</v>
      </c>
      <c r="D2294" s="340">
        <v>0.05</v>
      </c>
      <c r="E2294" s="61">
        <v>6</v>
      </c>
      <c r="F2294" s="62">
        <v>2120</v>
      </c>
      <c r="G2294" s="62">
        <f t="shared" si="60"/>
        <v>12720</v>
      </c>
      <c r="H2294" s="15"/>
      <c r="I2294" s="112"/>
    </row>
    <row r="2295" spans="1:9" x14ac:dyDescent="0.25">
      <c r="A2295" s="455" t="s">
        <v>437</v>
      </c>
      <c r="B2295" s="455"/>
      <c r="C2295" s="59" t="s">
        <v>206</v>
      </c>
      <c r="D2295" s="340">
        <v>0.05</v>
      </c>
      <c r="E2295" s="61">
        <v>0.25</v>
      </c>
      <c r="F2295" s="62">
        <v>1700</v>
      </c>
      <c r="G2295" s="62">
        <f t="shared" si="60"/>
        <v>425</v>
      </c>
      <c r="H2295" s="15"/>
      <c r="I2295" s="112"/>
    </row>
    <row r="2296" spans="1:9" x14ac:dyDescent="0.25">
      <c r="A2296" s="454" t="s">
        <v>438</v>
      </c>
      <c r="B2296" s="454"/>
      <c r="C2296" s="59" t="s">
        <v>92</v>
      </c>
      <c r="D2296" s="340">
        <v>0.05</v>
      </c>
      <c r="E2296" s="61">
        <v>0.15</v>
      </c>
      <c r="F2296" s="62">
        <v>35000</v>
      </c>
      <c r="G2296" s="62">
        <f t="shared" si="60"/>
        <v>5250</v>
      </c>
      <c r="H2296" s="15"/>
      <c r="I2296" s="112"/>
    </row>
    <row r="2297" spans="1:9" x14ac:dyDescent="0.25">
      <c r="A2297" s="420"/>
      <c r="B2297" s="421"/>
      <c r="C2297" s="59"/>
      <c r="D2297" s="60"/>
      <c r="E2297" s="61"/>
      <c r="F2297" s="62"/>
      <c r="G2297" s="62">
        <f t="shared" si="60"/>
        <v>0</v>
      </c>
      <c r="H2297" s="15"/>
      <c r="I2297" s="112"/>
    </row>
    <row r="2298" spans="1:9" x14ac:dyDescent="0.25">
      <c r="A2298" s="26"/>
      <c r="B2298" s="27"/>
      <c r="C2298" s="28"/>
      <c r="D2298" s="129"/>
      <c r="E2298" s="30"/>
      <c r="F2298" s="14"/>
      <c r="G2298" s="14">
        <f t="shared" si="60"/>
        <v>0</v>
      </c>
      <c r="H2298" s="15"/>
      <c r="I2298" s="112"/>
    </row>
    <row r="2299" spans="1:9" hidden="1" x14ac:dyDescent="0.25">
      <c r="A2299" s="26"/>
      <c r="B2299" s="27"/>
      <c r="C2299" s="28"/>
      <c r="D2299" s="129"/>
      <c r="E2299" s="30"/>
      <c r="F2299" s="14"/>
      <c r="G2299" s="14">
        <f t="shared" si="60"/>
        <v>0</v>
      </c>
      <c r="H2299" s="15"/>
      <c r="I2299" s="112"/>
    </row>
    <row r="2300" spans="1:9" hidden="1" x14ac:dyDescent="0.25">
      <c r="A2300" s="26"/>
      <c r="B2300" s="27"/>
      <c r="C2300" s="28"/>
      <c r="D2300" s="129"/>
      <c r="E2300" s="30"/>
      <c r="F2300" s="14"/>
      <c r="G2300" s="14">
        <f t="shared" si="60"/>
        <v>0</v>
      </c>
      <c r="H2300" s="15"/>
      <c r="I2300" s="112"/>
    </row>
    <row r="2301" spans="1:9" x14ac:dyDescent="0.25">
      <c r="A2301" s="26"/>
      <c r="B2301" s="27"/>
      <c r="C2301" s="28"/>
      <c r="D2301" s="129"/>
      <c r="E2301" s="30"/>
      <c r="F2301" s="14"/>
      <c r="G2301" s="14">
        <f t="shared" si="60"/>
        <v>0</v>
      </c>
      <c r="H2301" s="17"/>
      <c r="I2301" s="112"/>
    </row>
    <row r="2302" spans="1:9" x14ac:dyDescent="0.25">
      <c r="A2302" s="297"/>
      <c r="E2302" s="130"/>
      <c r="F2302" s="37" t="s">
        <v>102</v>
      </c>
      <c r="G2302" s="38"/>
      <c r="H2302" s="23">
        <f>SUM(G2293:G2301)</f>
        <v>106895</v>
      </c>
      <c r="I2302" s="112"/>
    </row>
    <row r="2303" spans="1:9" x14ac:dyDescent="0.25">
      <c r="A2303" s="297"/>
      <c r="E2303" s="36"/>
      <c r="F2303" s="39" t="s">
        <v>103</v>
      </c>
      <c r="G2303" s="38"/>
      <c r="H2303" s="23">
        <f>ROUND((D2293*G2293)+(D2294*G2294)+(D2295*G2295)+(D2296*G2296)+(D2297*G2297)+(D2298*G2298)+(D2299*G2299)+(D2300*G2300)+(D2301*G2301),0)</f>
        <v>5345</v>
      </c>
      <c r="I2303" s="112"/>
    </row>
    <row r="2304" spans="1:9" x14ac:dyDescent="0.25">
      <c r="A2304" s="297"/>
      <c r="E2304" s="36"/>
      <c r="F2304" s="20" t="s">
        <v>104</v>
      </c>
      <c r="G2304" s="40"/>
      <c r="H2304" s="23">
        <f>SUM(H2302:H2303)</f>
        <v>112240</v>
      </c>
      <c r="I2304" s="112"/>
    </row>
    <row r="2305" spans="1:9" x14ac:dyDescent="0.25">
      <c r="A2305" s="297" t="s">
        <v>105</v>
      </c>
      <c r="E2305" s="47"/>
      <c r="F2305" s="47"/>
      <c r="G2305" s="47"/>
      <c r="H2305" s="233"/>
      <c r="I2305" s="112"/>
    </row>
    <row r="2306" spans="1:9" x14ac:dyDescent="0.25">
      <c r="A2306" s="100" t="s">
        <v>0</v>
      </c>
      <c r="B2306" s="100"/>
      <c r="C2306" s="94" t="s">
        <v>106</v>
      </c>
      <c r="D2306" s="94" t="s">
        <v>107</v>
      </c>
      <c r="E2306" s="9" t="s">
        <v>108</v>
      </c>
      <c r="F2306" s="9" t="s">
        <v>109</v>
      </c>
      <c r="G2306" s="41" t="s">
        <v>96</v>
      </c>
      <c r="H2306" s="10"/>
      <c r="I2306" s="112"/>
    </row>
    <row r="2307" spans="1:9" x14ac:dyDescent="0.25">
      <c r="A2307" s="26" t="s">
        <v>110</v>
      </c>
      <c r="B2307" s="27"/>
      <c r="C2307" s="13">
        <f>104000+26000</f>
        <v>130000</v>
      </c>
      <c r="D2307" s="13">
        <f>+C2307*0.16</f>
        <v>20800</v>
      </c>
      <c r="E2307" s="14">
        <f>C2307+D2307</f>
        <v>150800</v>
      </c>
      <c r="F2307" s="30">
        <v>0.35</v>
      </c>
      <c r="G2307" s="14">
        <f>ROUND(E2307*F2307,0)</f>
        <v>52780</v>
      </c>
      <c r="H2307" s="15"/>
      <c r="I2307" s="112"/>
    </row>
    <row r="2308" spans="1:9" x14ac:dyDescent="0.25">
      <c r="A2308" s="26" t="s">
        <v>111</v>
      </c>
      <c r="B2308" s="27"/>
      <c r="C2308" s="13">
        <f>60400+25850</f>
        <v>86250</v>
      </c>
      <c r="D2308" s="13">
        <f>+C2308*0.16</f>
        <v>13800</v>
      </c>
      <c r="E2308" s="14">
        <f>C2308+D2308</f>
        <v>100050</v>
      </c>
      <c r="F2308" s="30">
        <v>0.3</v>
      </c>
      <c r="G2308" s="14">
        <f>ROUND(E2308*F2308,0)</f>
        <v>30015</v>
      </c>
      <c r="H2308" s="15"/>
      <c r="I2308" s="112"/>
    </row>
    <row r="2309" spans="1:9" x14ac:dyDescent="0.25">
      <c r="A2309" s="26"/>
      <c r="B2309" s="27"/>
      <c r="C2309" s="43"/>
      <c r="D2309" s="43"/>
      <c r="E2309" s="44">
        <f>C2309+D2309</f>
        <v>0</v>
      </c>
      <c r="F2309" s="30"/>
      <c r="G2309" s="14">
        <f>ROUND(E2309*F2309,0)</f>
        <v>0</v>
      </c>
      <c r="H2309" s="15"/>
      <c r="I2309" s="112"/>
    </row>
    <row r="2310" spans="1:9" x14ac:dyDescent="0.25">
      <c r="A2310" s="297"/>
      <c r="E2310" s="101" t="s">
        <v>112</v>
      </c>
      <c r="F2310" s="37"/>
      <c r="G2310" s="277"/>
      <c r="H2310" s="23">
        <f>SUM(G2307:G2309)</f>
        <v>82795</v>
      </c>
      <c r="I2310" s="112"/>
    </row>
    <row r="2311" spans="1:9" x14ac:dyDescent="0.25">
      <c r="A2311" s="297"/>
      <c r="E2311" s="47"/>
      <c r="F2311" s="47"/>
      <c r="G2311" s="47"/>
      <c r="H2311" s="233"/>
      <c r="I2311" s="112"/>
    </row>
    <row r="2312" spans="1:9" x14ac:dyDescent="0.25">
      <c r="A2312" s="96"/>
      <c r="B2312" s="97"/>
      <c r="C2312" s="97"/>
      <c r="D2312" s="97"/>
      <c r="E2312" s="48" t="s">
        <v>113</v>
      </c>
      <c r="F2312" s="48"/>
      <c r="G2312" s="50"/>
      <c r="H2312" s="25">
        <f>H2310+H2304+H2290</f>
        <v>248185</v>
      </c>
      <c r="I2312" s="112"/>
    </row>
    <row r="2313" spans="1:9" x14ac:dyDescent="0.25">
      <c r="A2313" s="297"/>
      <c r="E2313" s="47"/>
      <c r="F2313" s="47"/>
      <c r="G2313" s="47"/>
      <c r="H2313" s="233"/>
      <c r="I2313" s="112"/>
    </row>
    <row r="2314" spans="1:9" x14ac:dyDescent="0.25">
      <c r="A2314" s="297" t="s">
        <v>114</v>
      </c>
      <c r="E2314" s="47"/>
      <c r="F2314" s="47"/>
      <c r="G2314" s="47"/>
      <c r="H2314" s="233"/>
      <c r="I2314" s="112"/>
    </row>
    <row r="2315" spans="1:9" x14ac:dyDescent="0.25">
      <c r="A2315" s="92" t="s">
        <v>0</v>
      </c>
      <c r="B2315" s="102"/>
      <c r="C2315" s="102"/>
      <c r="D2315" s="102"/>
      <c r="E2315" s="50"/>
      <c r="F2315" s="9" t="s">
        <v>115</v>
      </c>
      <c r="G2315" s="9" t="s">
        <v>116</v>
      </c>
      <c r="H2315" s="10"/>
      <c r="I2315" s="112"/>
    </row>
    <row r="2316" spans="1:9" x14ac:dyDescent="0.25">
      <c r="A2316" s="26" t="s">
        <v>117</v>
      </c>
      <c r="B2316" s="103"/>
      <c r="C2316" s="103"/>
      <c r="D2316" s="103"/>
      <c r="E2316" s="52"/>
      <c r="F2316" s="14"/>
      <c r="G2316" s="131">
        <f>ROUND(F2316*H2312,0)</f>
        <v>0</v>
      </c>
      <c r="H2316" s="15"/>
      <c r="I2316" s="112"/>
    </row>
    <row r="2317" spans="1:9" hidden="1" x14ac:dyDescent="0.25">
      <c r="A2317" s="26"/>
      <c r="B2317" s="103"/>
      <c r="C2317" s="103"/>
      <c r="D2317" s="103"/>
      <c r="E2317" s="52"/>
      <c r="F2317" s="14"/>
      <c r="G2317" s="131">
        <f>F2317*H2312</f>
        <v>0</v>
      </c>
      <c r="H2317" s="15"/>
      <c r="I2317" s="112"/>
    </row>
    <row r="2318" spans="1:9" x14ac:dyDescent="0.25">
      <c r="A2318" s="26"/>
      <c r="B2318" s="103"/>
      <c r="C2318" s="103"/>
      <c r="D2318" s="103"/>
      <c r="E2318" s="52"/>
      <c r="F2318" s="14"/>
      <c r="G2318" s="131">
        <f>F2318*H2312</f>
        <v>0</v>
      </c>
      <c r="H2318" s="17"/>
      <c r="I2318" s="112"/>
    </row>
    <row r="2319" spans="1:9" x14ac:dyDescent="0.25">
      <c r="E2319" s="101" t="s">
        <v>118</v>
      </c>
      <c r="F2319" s="37"/>
      <c r="G2319" s="46"/>
      <c r="H2319" s="36">
        <f>SUM(G2316:G2318)</f>
        <v>0</v>
      </c>
      <c r="I2319" s="112"/>
    </row>
    <row r="2320" spans="1:9" ht="15.75" thickBot="1" x14ac:dyDescent="0.3">
      <c r="E2320" s="5"/>
      <c r="F2320" s="5"/>
      <c r="G2320" s="5"/>
      <c r="H2320" s="5"/>
      <c r="I2320" s="112"/>
    </row>
    <row r="2321" spans="1:9" ht="15.75" thickBot="1" x14ac:dyDescent="0.3">
      <c r="E2321" s="54"/>
      <c r="F2321" s="54" t="s">
        <v>119</v>
      </c>
      <c r="G2321" s="54"/>
      <c r="H2321" s="240">
        <f>SUM(H2319+H2312)</f>
        <v>248185</v>
      </c>
      <c r="I2321" s="112"/>
    </row>
    <row r="2322" spans="1:9" x14ac:dyDescent="0.25">
      <c r="E2322" s="54"/>
      <c r="F2322" s="54"/>
      <c r="G2322" s="54"/>
      <c r="H2322" s="112"/>
      <c r="I2322" s="112"/>
    </row>
    <row r="2323" spans="1:9" x14ac:dyDescent="0.25">
      <c r="E2323" s="54"/>
      <c r="F2323" s="54"/>
      <c r="G2323" s="54"/>
      <c r="H2323" s="112"/>
      <c r="I2323" s="112"/>
    </row>
    <row r="2324" spans="1:9" x14ac:dyDescent="0.25">
      <c r="E2324" s="54"/>
      <c r="F2324" s="54"/>
      <c r="G2324" s="54"/>
      <c r="H2324" s="112"/>
      <c r="I2324" s="112"/>
    </row>
    <row r="2325" spans="1:9" x14ac:dyDescent="0.25">
      <c r="E2325" s="54"/>
      <c r="F2325" s="54"/>
      <c r="G2325" s="54"/>
      <c r="H2325" s="112"/>
      <c r="I2325" s="112"/>
    </row>
    <row r="2326" spans="1:9" x14ac:dyDescent="0.25">
      <c r="E2326" s="54"/>
      <c r="F2326" s="54"/>
      <c r="G2326" s="54"/>
      <c r="H2326" s="112"/>
      <c r="I2326" s="112"/>
    </row>
    <row r="2327" spans="1:9" x14ac:dyDescent="0.25">
      <c r="I2327" s="112"/>
    </row>
    <row r="2328" spans="1:9" ht="15.75" x14ac:dyDescent="0.25">
      <c r="A2328" s="452" t="s">
        <v>79</v>
      </c>
      <c r="B2328" s="452"/>
      <c r="C2328" s="452"/>
      <c r="D2328" s="452"/>
      <c r="E2328" s="452"/>
      <c r="F2328" s="452"/>
      <c r="G2328" s="452"/>
      <c r="H2328" s="452"/>
      <c r="I2328" s="112"/>
    </row>
    <row r="2329" spans="1:9" x14ac:dyDescent="0.25">
      <c r="E2329" s="5"/>
      <c r="F2329" s="5"/>
      <c r="G2329" s="5"/>
      <c r="H2329" s="5"/>
      <c r="I2329" s="112"/>
    </row>
    <row r="2330" spans="1:9" ht="14.45" customHeight="1" x14ac:dyDescent="0.25">
      <c r="E2330" s="5"/>
      <c r="F2330" s="5"/>
      <c r="G2330" s="411" t="s">
        <v>326</v>
      </c>
      <c r="H2330" s="411"/>
      <c r="I2330" s="112"/>
    </row>
    <row r="2331" spans="1:9" x14ac:dyDescent="0.25">
      <c r="A2331" s="453" t="s">
        <v>429</v>
      </c>
      <c r="B2331" s="453"/>
      <c r="C2331" s="453"/>
      <c r="D2331" s="453"/>
      <c r="E2331" s="453"/>
      <c r="F2331" s="453"/>
      <c r="G2331" s="453"/>
      <c r="H2331" s="453"/>
      <c r="I2331" s="112"/>
    </row>
    <row r="2332" spans="1:9" x14ac:dyDescent="0.25">
      <c r="E2332" s="5"/>
      <c r="F2332" s="5"/>
      <c r="G2332" s="91" t="s">
        <v>435</v>
      </c>
      <c r="H2332" s="91"/>
      <c r="I2332" s="112"/>
    </row>
    <row r="2333" spans="1:9" x14ac:dyDescent="0.25">
      <c r="A2333" t="s">
        <v>82</v>
      </c>
      <c r="E2333" s="5"/>
      <c r="F2333" s="5"/>
      <c r="G2333" s="5"/>
      <c r="H2333" s="5"/>
      <c r="I2333" s="112"/>
    </row>
    <row r="2334" spans="1:9" x14ac:dyDescent="0.25">
      <c r="A2334" s="92" t="s">
        <v>0</v>
      </c>
      <c r="B2334" s="93"/>
      <c r="C2334" s="94" t="s">
        <v>83</v>
      </c>
      <c r="D2334" s="94" t="s">
        <v>84</v>
      </c>
      <c r="E2334" s="9" t="s">
        <v>85</v>
      </c>
      <c r="F2334" s="9" t="s">
        <v>86</v>
      </c>
      <c r="G2334" s="9" t="s">
        <v>87</v>
      </c>
      <c r="H2334" s="10"/>
      <c r="I2334" s="112"/>
    </row>
    <row r="2335" spans="1:9" x14ac:dyDescent="0.25">
      <c r="A2335" s="26" t="s">
        <v>88</v>
      </c>
      <c r="B2335" s="27"/>
      <c r="C2335" s="95"/>
      <c r="D2335" s="95"/>
      <c r="E2335" s="14"/>
      <c r="F2335" s="14"/>
      <c r="G2335" s="14">
        <f>ROUND(H2359*0.05,0)+6510</f>
        <v>8618</v>
      </c>
      <c r="H2335" s="15"/>
      <c r="I2335" s="112"/>
    </row>
    <row r="2336" spans="1:9" x14ac:dyDescent="0.25">
      <c r="A2336" s="11" t="s">
        <v>327</v>
      </c>
      <c r="B2336" s="12"/>
      <c r="C2336" s="13"/>
      <c r="D2336" s="13"/>
      <c r="E2336" s="14">
        <v>350000</v>
      </c>
      <c r="F2336" s="14">
        <v>0.1</v>
      </c>
      <c r="G2336" s="14">
        <f>ROUND(E2336*F2336,0)</f>
        <v>35000</v>
      </c>
      <c r="H2336" s="15"/>
      <c r="I2336" s="112"/>
    </row>
    <row r="2337" spans="1:9" x14ac:dyDescent="0.25">
      <c r="A2337" s="11" t="s">
        <v>328</v>
      </c>
      <c r="B2337" s="27"/>
      <c r="C2337" s="95"/>
      <c r="D2337" s="95"/>
      <c r="E2337" s="14">
        <v>50000</v>
      </c>
      <c r="F2337" s="128">
        <v>0.15</v>
      </c>
      <c r="G2337" s="14">
        <f>ROUND(E2337*F2337,0)</f>
        <v>7500</v>
      </c>
      <c r="H2337" s="15"/>
      <c r="I2337" s="112"/>
    </row>
    <row r="2338" spans="1:9" x14ac:dyDescent="0.25">
      <c r="A2338" s="26"/>
      <c r="B2338" s="27"/>
      <c r="C2338" s="95"/>
      <c r="D2338" s="95"/>
      <c r="E2338" s="14"/>
      <c r="F2338" s="128"/>
      <c r="G2338" s="14">
        <f>ROUND(E2338*F2338,0)</f>
        <v>0</v>
      </c>
      <c r="H2338" s="17"/>
      <c r="I2338" s="112"/>
    </row>
    <row r="2339" spans="1:9" x14ac:dyDescent="0.25">
      <c r="A2339" s="96"/>
      <c r="B2339" s="97"/>
      <c r="C2339" s="97"/>
      <c r="D2339" s="97"/>
      <c r="E2339" s="20"/>
      <c r="F2339" s="21" t="s">
        <v>90</v>
      </c>
      <c r="G2339" s="22"/>
      <c r="H2339" s="23">
        <f>SUM(G2335:G2338)</f>
        <v>51118</v>
      </c>
      <c r="I2339" s="112"/>
    </row>
    <row r="2340" spans="1:9" x14ac:dyDescent="0.25">
      <c r="A2340" s="297" t="s">
        <v>91</v>
      </c>
      <c r="E2340" s="47"/>
      <c r="F2340" s="47"/>
      <c r="G2340" s="47"/>
      <c r="H2340" s="233"/>
      <c r="I2340" s="112"/>
    </row>
    <row r="2341" spans="1:9" x14ac:dyDescent="0.25">
      <c r="A2341" s="100" t="s">
        <v>0</v>
      </c>
      <c r="B2341" s="100"/>
      <c r="C2341" s="94" t="s">
        <v>92</v>
      </c>
      <c r="D2341" s="94" t="s">
        <v>93</v>
      </c>
      <c r="E2341" s="9" t="s">
        <v>94</v>
      </c>
      <c r="F2341" s="9" t="s">
        <v>95</v>
      </c>
      <c r="G2341" s="25" t="s">
        <v>96</v>
      </c>
      <c r="H2341" s="10"/>
      <c r="I2341" s="112"/>
    </row>
    <row r="2342" spans="1:9" x14ac:dyDescent="0.25">
      <c r="A2342" s="454" t="s">
        <v>430</v>
      </c>
      <c r="B2342" s="454"/>
      <c r="C2342" s="59" t="s">
        <v>9</v>
      </c>
      <c r="D2342" s="340">
        <v>0.05</v>
      </c>
      <c r="E2342" s="61">
        <v>0.4</v>
      </c>
      <c r="F2342" s="62">
        <f>81500+7000</f>
        <v>88500</v>
      </c>
      <c r="G2342" s="62">
        <f t="shared" ref="G2342:G2350" si="61">ROUND(E2342*F2342,0)</f>
        <v>35400</v>
      </c>
      <c r="H2342" s="15"/>
      <c r="I2342" s="112"/>
    </row>
    <row r="2343" spans="1:9" x14ac:dyDescent="0.25">
      <c r="A2343" s="455" t="s">
        <v>436</v>
      </c>
      <c r="B2343" s="455"/>
      <c r="C2343" s="59" t="s">
        <v>9</v>
      </c>
      <c r="D2343" s="340">
        <v>0.05</v>
      </c>
      <c r="E2343" s="61">
        <f>6*0.4</f>
        <v>2.4000000000000004</v>
      </c>
      <c r="F2343" s="62">
        <v>2120</v>
      </c>
      <c r="G2343" s="62">
        <f t="shared" si="61"/>
        <v>5088</v>
      </c>
      <c r="H2343" s="15"/>
      <c r="I2343" s="112"/>
    </row>
    <row r="2344" spans="1:9" x14ac:dyDescent="0.25">
      <c r="A2344" s="455" t="s">
        <v>437</v>
      </c>
      <c r="B2344" s="455"/>
      <c r="C2344" s="59" t="s">
        <v>9</v>
      </c>
      <c r="D2344" s="340">
        <v>0.05</v>
      </c>
      <c r="E2344" s="61">
        <v>0.1</v>
      </c>
      <c r="F2344" s="62">
        <v>1700</v>
      </c>
      <c r="G2344" s="62">
        <f t="shared" si="61"/>
        <v>170</v>
      </c>
      <c r="H2344" s="15"/>
      <c r="I2344" s="112"/>
    </row>
    <row r="2345" spans="1:9" x14ac:dyDescent="0.25">
      <c r="A2345" s="454" t="s">
        <v>438</v>
      </c>
      <c r="B2345" s="454"/>
      <c r="C2345" s="59" t="s">
        <v>92</v>
      </c>
      <c r="D2345" s="340">
        <v>0.05</v>
      </c>
      <c r="E2345" s="61">
        <v>0.05</v>
      </c>
      <c r="F2345" s="62">
        <v>35000</v>
      </c>
      <c r="G2345" s="14">
        <f t="shared" si="61"/>
        <v>1750</v>
      </c>
      <c r="H2345" s="15"/>
      <c r="I2345" s="112"/>
    </row>
    <row r="2346" spans="1:9" x14ac:dyDescent="0.25">
      <c r="A2346" s="420"/>
      <c r="B2346" s="421"/>
      <c r="C2346" s="59"/>
      <c r="D2346" s="60"/>
      <c r="E2346" s="61"/>
      <c r="F2346" s="62"/>
      <c r="G2346" s="62">
        <f t="shared" si="61"/>
        <v>0</v>
      </c>
      <c r="H2346" s="15"/>
      <c r="I2346" s="112"/>
    </row>
    <row r="2347" spans="1:9" x14ac:dyDescent="0.25">
      <c r="A2347" s="26"/>
      <c r="B2347" s="27"/>
      <c r="C2347" s="28"/>
      <c r="D2347" s="129"/>
      <c r="E2347" s="30"/>
      <c r="F2347" s="14"/>
      <c r="G2347" s="14">
        <f t="shared" si="61"/>
        <v>0</v>
      </c>
      <c r="H2347" s="15"/>
      <c r="I2347" s="112"/>
    </row>
    <row r="2348" spans="1:9" x14ac:dyDescent="0.25">
      <c r="A2348" s="26"/>
      <c r="B2348" s="27"/>
      <c r="C2348" s="28"/>
      <c r="D2348" s="129"/>
      <c r="E2348" s="30"/>
      <c r="F2348" s="14"/>
      <c r="G2348" s="14">
        <f t="shared" si="61"/>
        <v>0</v>
      </c>
      <c r="H2348" s="15"/>
      <c r="I2348" s="112"/>
    </row>
    <row r="2349" spans="1:9" x14ac:dyDescent="0.25">
      <c r="A2349" s="26"/>
      <c r="B2349" s="27"/>
      <c r="C2349" s="28"/>
      <c r="D2349" s="129"/>
      <c r="E2349" s="30"/>
      <c r="F2349" s="14"/>
      <c r="G2349" s="14">
        <f t="shared" si="61"/>
        <v>0</v>
      </c>
      <c r="H2349" s="15"/>
      <c r="I2349" s="112"/>
    </row>
    <row r="2350" spans="1:9" x14ac:dyDescent="0.25">
      <c r="A2350" s="26"/>
      <c r="B2350" s="27"/>
      <c r="C2350" s="28"/>
      <c r="D2350" s="129"/>
      <c r="E2350" s="30"/>
      <c r="F2350" s="14"/>
      <c r="G2350" s="14">
        <f t="shared" si="61"/>
        <v>0</v>
      </c>
      <c r="H2350" s="17"/>
      <c r="I2350" s="112"/>
    </row>
    <row r="2351" spans="1:9" x14ac:dyDescent="0.25">
      <c r="A2351" s="297"/>
      <c r="E2351" s="130"/>
      <c r="F2351" s="37" t="s">
        <v>102</v>
      </c>
      <c r="G2351" s="38"/>
      <c r="H2351" s="23">
        <f>SUM(G2342:G2350)</f>
        <v>42408</v>
      </c>
      <c r="I2351" s="112"/>
    </row>
    <row r="2352" spans="1:9" x14ac:dyDescent="0.25">
      <c r="A2352" s="297"/>
      <c r="E2352" s="36"/>
      <c r="F2352" s="39" t="s">
        <v>103</v>
      </c>
      <c r="G2352" s="38"/>
      <c r="H2352" s="23">
        <f>ROUND((D2342*G2342)+(D2343*G2343)+(D2344*G2344)+(D2345*G2345)+(D2346*G2346)+(D2347*G2347)+(D2348*G2348)+(D2349*G2349)+(D2350*G2350),0)</f>
        <v>2120</v>
      </c>
      <c r="I2352" s="112"/>
    </row>
    <row r="2353" spans="1:9" x14ac:dyDescent="0.25">
      <c r="A2353" s="297"/>
      <c r="E2353" s="36"/>
      <c r="F2353" s="20" t="s">
        <v>104</v>
      </c>
      <c r="G2353" s="40"/>
      <c r="H2353" s="23">
        <f>SUM(H2351:H2352)</f>
        <v>44528</v>
      </c>
      <c r="I2353" s="112"/>
    </row>
    <row r="2354" spans="1:9" x14ac:dyDescent="0.25">
      <c r="A2354" s="297" t="s">
        <v>105</v>
      </c>
      <c r="E2354" s="47"/>
      <c r="F2354" s="47"/>
      <c r="G2354" s="47"/>
      <c r="H2354" s="233"/>
      <c r="I2354" s="112"/>
    </row>
    <row r="2355" spans="1:9" x14ac:dyDescent="0.25">
      <c r="A2355" s="100" t="s">
        <v>0</v>
      </c>
      <c r="B2355" s="100"/>
      <c r="C2355" s="94" t="s">
        <v>106</v>
      </c>
      <c r="D2355" s="94" t="s">
        <v>107</v>
      </c>
      <c r="E2355" s="9" t="s">
        <v>108</v>
      </c>
      <c r="F2355" s="9" t="s">
        <v>109</v>
      </c>
      <c r="G2355" s="41" t="s">
        <v>96</v>
      </c>
      <c r="H2355" s="10"/>
      <c r="I2355" s="112"/>
    </row>
    <row r="2356" spans="1:9" x14ac:dyDescent="0.25">
      <c r="A2356" s="26" t="s">
        <v>110</v>
      </c>
      <c r="B2356" s="27"/>
      <c r="C2356" s="13">
        <f>104000+26000</f>
        <v>130000</v>
      </c>
      <c r="D2356" s="13">
        <f>+C2356*0.16</f>
        <v>20800</v>
      </c>
      <c r="E2356" s="14">
        <f>C2356+D2356</f>
        <v>150800</v>
      </c>
      <c r="F2356" s="30">
        <v>0.2</v>
      </c>
      <c r="G2356" s="14">
        <f>ROUND(E2356*F2356,0)</f>
        <v>30160</v>
      </c>
      <c r="H2356" s="15"/>
      <c r="I2356" s="112"/>
    </row>
    <row r="2357" spans="1:9" x14ac:dyDescent="0.25">
      <c r="A2357" s="26" t="s">
        <v>111</v>
      </c>
      <c r="B2357" s="27"/>
      <c r="C2357" s="13">
        <f>60400+25850</f>
        <v>86250</v>
      </c>
      <c r="D2357" s="13">
        <f>+C2357*0.16</f>
        <v>13800</v>
      </c>
      <c r="E2357" s="14">
        <f>C2357+D2357</f>
        <v>100050</v>
      </c>
      <c r="F2357" s="30">
        <v>0.12</v>
      </c>
      <c r="G2357" s="14">
        <f>ROUND(E2357*F2357,0)</f>
        <v>12006</v>
      </c>
      <c r="H2357" s="15"/>
      <c r="I2357" s="112"/>
    </row>
    <row r="2358" spans="1:9" x14ac:dyDescent="0.25">
      <c r="A2358" s="26"/>
      <c r="B2358" s="27"/>
      <c r="C2358" s="43"/>
      <c r="D2358" s="43"/>
      <c r="E2358" s="44">
        <f>C2358+D2358</f>
        <v>0</v>
      </c>
      <c r="F2358" s="30"/>
      <c r="G2358" s="14">
        <f>ROUND(E2358*F2358,0)</f>
        <v>0</v>
      </c>
      <c r="H2358" s="15"/>
      <c r="I2358" s="112"/>
    </row>
    <row r="2359" spans="1:9" x14ac:dyDescent="0.25">
      <c r="A2359" s="297"/>
      <c r="E2359" s="101" t="s">
        <v>112</v>
      </c>
      <c r="F2359" s="37"/>
      <c r="G2359" s="277"/>
      <c r="H2359" s="23">
        <f>SUM(G2356:G2358)</f>
        <v>42166</v>
      </c>
      <c r="I2359" s="112"/>
    </row>
    <row r="2360" spans="1:9" x14ac:dyDescent="0.25">
      <c r="A2360" s="297"/>
      <c r="E2360" s="47"/>
      <c r="F2360" s="47"/>
      <c r="G2360" s="47"/>
      <c r="H2360" s="233"/>
      <c r="I2360" s="112"/>
    </row>
    <row r="2361" spans="1:9" x14ac:dyDescent="0.25">
      <c r="A2361" s="96"/>
      <c r="B2361" s="97"/>
      <c r="C2361" s="97"/>
      <c r="D2361" s="97"/>
      <c r="E2361" s="48" t="s">
        <v>113</v>
      </c>
      <c r="F2361" s="48"/>
      <c r="G2361" s="50"/>
      <c r="H2361" s="25">
        <f>H2359+H2353+H2339</f>
        <v>137812</v>
      </c>
      <c r="I2361" s="112"/>
    </row>
    <row r="2362" spans="1:9" x14ac:dyDescent="0.25">
      <c r="A2362" s="297"/>
      <c r="E2362" s="47"/>
      <c r="F2362" s="47"/>
      <c r="G2362" s="47"/>
      <c r="H2362" s="233"/>
      <c r="I2362" s="112"/>
    </row>
    <row r="2363" spans="1:9" x14ac:dyDescent="0.25">
      <c r="A2363" s="297" t="s">
        <v>114</v>
      </c>
      <c r="E2363" s="47"/>
      <c r="F2363" s="47"/>
      <c r="G2363" s="47"/>
      <c r="H2363" s="233"/>
      <c r="I2363" s="112"/>
    </row>
    <row r="2364" spans="1:9" x14ac:dyDescent="0.25">
      <c r="A2364" s="92" t="s">
        <v>0</v>
      </c>
      <c r="B2364" s="102"/>
      <c r="C2364" s="102"/>
      <c r="D2364" s="102"/>
      <c r="E2364" s="50"/>
      <c r="F2364" s="9" t="s">
        <v>115</v>
      </c>
      <c r="G2364" s="9" t="s">
        <v>116</v>
      </c>
      <c r="H2364" s="10"/>
      <c r="I2364" s="112"/>
    </row>
    <row r="2365" spans="1:9" x14ac:dyDescent="0.25">
      <c r="A2365" s="26" t="s">
        <v>117</v>
      </c>
      <c r="B2365" s="103"/>
      <c r="C2365" s="103"/>
      <c r="D2365" s="103"/>
      <c r="E2365" s="52"/>
      <c r="F2365" s="14"/>
      <c r="G2365" s="131">
        <f>ROUND(F2365*H2361,0)</f>
        <v>0</v>
      </c>
      <c r="H2365" s="15"/>
      <c r="I2365" s="112"/>
    </row>
    <row r="2366" spans="1:9" x14ac:dyDescent="0.25">
      <c r="A2366" s="26"/>
      <c r="B2366" s="103"/>
      <c r="C2366" s="103"/>
      <c r="D2366" s="103"/>
      <c r="E2366" s="52"/>
      <c r="F2366" s="14"/>
      <c r="G2366" s="131">
        <f>F2366*H2361</f>
        <v>0</v>
      </c>
      <c r="H2366" s="15"/>
      <c r="I2366" s="112"/>
    </row>
    <row r="2367" spans="1:9" x14ac:dyDescent="0.25">
      <c r="A2367" s="26"/>
      <c r="B2367" s="103"/>
      <c r="C2367" s="103"/>
      <c r="D2367" s="103"/>
      <c r="E2367" s="52"/>
      <c r="F2367" s="14"/>
      <c r="G2367" s="131">
        <f>F2367*H2361</f>
        <v>0</v>
      </c>
      <c r="H2367" s="17"/>
      <c r="I2367" s="112"/>
    </row>
    <row r="2368" spans="1:9" x14ac:dyDescent="0.25">
      <c r="E2368" s="101" t="s">
        <v>118</v>
      </c>
      <c r="F2368" s="37"/>
      <c r="G2368" s="46"/>
      <c r="H2368" s="36">
        <f>SUM(G2365:G2367)</f>
        <v>0</v>
      </c>
      <c r="I2368" s="112"/>
    </row>
    <row r="2369" spans="1:9" ht="15.75" thickBot="1" x14ac:dyDescent="0.3">
      <c r="E2369" s="5"/>
      <c r="F2369" s="5"/>
      <c r="G2369" s="5"/>
      <c r="H2369" s="5"/>
      <c r="I2369" s="112"/>
    </row>
    <row r="2370" spans="1:9" ht="15.75" thickBot="1" x14ac:dyDescent="0.3">
      <c r="E2370" s="54"/>
      <c r="F2370" s="54" t="s">
        <v>119</v>
      </c>
      <c r="G2370" s="54"/>
      <c r="H2370" s="55">
        <f>SUM(H2368+H2361)</f>
        <v>137812</v>
      </c>
      <c r="I2370" s="112"/>
    </row>
    <row r="2371" spans="1:9" x14ac:dyDescent="0.25">
      <c r="E2371" s="54"/>
      <c r="F2371" s="54"/>
      <c r="G2371" s="54"/>
      <c r="H2371" s="112"/>
      <c r="I2371" s="112"/>
    </row>
    <row r="2372" spans="1:9" x14ac:dyDescent="0.25">
      <c r="E2372" s="54"/>
      <c r="F2372" s="54"/>
      <c r="G2372" s="54"/>
      <c r="H2372" s="112"/>
      <c r="I2372" s="112"/>
    </row>
    <row r="2373" spans="1:9" x14ac:dyDescent="0.25">
      <c r="E2373" s="54"/>
      <c r="F2373" s="54"/>
      <c r="G2373" s="54"/>
      <c r="H2373" s="112"/>
      <c r="I2373" s="112"/>
    </row>
    <row r="2374" spans="1:9" x14ac:dyDescent="0.25">
      <c r="E2374" s="54"/>
      <c r="F2374" s="54"/>
      <c r="G2374" s="54"/>
      <c r="H2374" s="112"/>
      <c r="I2374" s="112"/>
    </row>
    <row r="2375" spans="1:9" x14ac:dyDescent="0.25">
      <c r="I2375" s="112"/>
    </row>
    <row r="2376" spans="1:9" ht="15.75" x14ac:dyDescent="0.25">
      <c r="A2376" s="452" t="s">
        <v>79</v>
      </c>
      <c r="B2376" s="452"/>
      <c r="C2376" s="452"/>
      <c r="D2376" s="452"/>
      <c r="E2376" s="452"/>
      <c r="F2376" s="452"/>
      <c r="G2376" s="452"/>
      <c r="H2376" s="452"/>
      <c r="I2376" s="112"/>
    </row>
    <row r="2377" spans="1:9" x14ac:dyDescent="0.25">
      <c r="E2377" s="5"/>
      <c r="F2377" s="5"/>
      <c r="G2377" s="5"/>
      <c r="H2377" s="5"/>
      <c r="I2377" s="112"/>
    </row>
    <row r="2378" spans="1:9" ht="17.45" customHeight="1" x14ac:dyDescent="0.25">
      <c r="E2378" s="5"/>
      <c r="F2378" s="5"/>
      <c r="G2378" s="411" t="s">
        <v>326</v>
      </c>
      <c r="H2378" s="411"/>
      <c r="I2378" s="112"/>
    </row>
    <row r="2379" spans="1:9" ht="39" customHeight="1" x14ac:dyDescent="0.25">
      <c r="A2379" s="453" t="s">
        <v>431</v>
      </c>
      <c r="B2379" s="453"/>
      <c r="C2379" s="453"/>
      <c r="D2379" s="453"/>
      <c r="E2379" s="453"/>
      <c r="F2379" s="453"/>
      <c r="G2379" s="453"/>
      <c r="H2379" s="453"/>
      <c r="I2379" s="112"/>
    </row>
    <row r="2380" spans="1:9" x14ac:dyDescent="0.25">
      <c r="E2380" s="5"/>
      <c r="F2380" s="5"/>
      <c r="G2380" s="91" t="s">
        <v>120</v>
      </c>
      <c r="H2380" s="91"/>
      <c r="I2380" s="112"/>
    </row>
    <row r="2381" spans="1:9" x14ac:dyDescent="0.25">
      <c r="A2381" t="s">
        <v>82</v>
      </c>
      <c r="E2381" s="5"/>
      <c r="F2381" s="5"/>
      <c r="G2381" s="5"/>
      <c r="H2381" s="5"/>
      <c r="I2381" s="112"/>
    </row>
    <row r="2382" spans="1:9" x14ac:dyDescent="0.25">
      <c r="A2382" s="92" t="s">
        <v>0</v>
      </c>
      <c r="B2382" s="93"/>
      <c r="C2382" s="94" t="s">
        <v>83</v>
      </c>
      <c r="D2382" s="94" t="s">
        <v>84</v>
      </c>
      <c r="E2382" s="9" t="s">
        <v>85</v>
      </c>
      <c r="F2382" s="9" t="s">
        <v>86</v>
      </c>
      <c r="G2382" s="9" t="s">
        <v>87</v>
      </c>
      <c r="H2382" s="10"/>
      <c r="I2382" s="112"/>
    </row>
    <row r="2383" spans="1:9" x14ac:dyDescent="0.25">
      <c r="A2383" s="26" t="s">
        <v>88</v>
      </c>
      <c r="B2383" s="27"/>
      <c r="C2383" s="95"/>
      <c r="D2383" s="95"/>
      <c r="E2383" s="14"/>
      <c r="F2383" s="14"/>
      <c r="G2383" s="14">
        <f>ROUND(H2407*0.05,0)+6510</f>
        <v>56680</v>
      </c>
      <c r="H2383" s="15"/>
      <c r="I2383" s="112"/>
    </row>
    <row r="2384" spans="1:9" x14ac:dyDescent="0.25">
      <c r="A2384" s="11" t="s">
        <v>327</v>
      </c>
      <c r="B2384" s="12"/>
      <c r="C2384" s="13"/>
      <c r="D2384" s="13"/>
      <c r="E2384" s="14">
        <v>350000</v>
      </c>
      <c r="F2384" s="14">
        <v>0.8</v>
      </c>
      <c r="G2384" s="14">
        <f>ROUND(E2384*F2384,0)</f>
        <v>280000</v>
      </c>
      <c r="H2384" s="15"/>
      <c r="I2384" s="112"/>
    </row>
    <row r="2385" spans="1:9" x14ac:dyDescent="0.25">
      <c r="A2385" s="11" t="s">
        <v>328</v>
      </c>
      <c r="B2385" s="27"/>
      <c r="C2385" s="95"/>
      <c r="D2385" s="95"/>
      <c r="E2385" s="14">
        <v>50000</v>
      </c>
      <c r="F2385" s="128">
        <v>1.3</v>
      </c>
      <c r="G2385" s="14">
        <f>ROUND(E2385*F2385,0)</f>
        <v>65000</v>
      </c>
      <c r="H2385" s="15"/>
      <c r="I2385" s="112"/>
    </row>
    <row r="2386" spans="1:9" x14ac:dyDescent="0.25">
      <c r="A2386" s="26"/>
      <c r="B2386" s="27"/>
      <c r="C2386" s="95"/>
      <c r="D2386" s="95"/>
      <c r="E2386" s="14"/>
      <c r="F2386" s="128"/>
      <c r="G2386" s="14">
        <f>ROUND(E2386*F2386,0)</f>
        <v>0</v>
      </c>
      <c r="H2386" s="17"/>
      <c r="I2386" s="112"/>
    </row>
    <row r="2387" spans="1:9" x14ac:dyDescent="0.25">
      <c r="A2387" s="96"/>
      <c r="B2387" s="97"/>
      <c r="C2387" s="97"/>
      <c r="D2387" s="97"/>
      <c r="E2387" s="20"/>
      <c r="F2387" s="21" t="s">
        <v>90</v>
      </c>
      <c r="G2387" s="22"/>
      <c r="H2387" s="23">
        <f>SUM(G2383:G2386)</f>
        <v>401680</v>
      </c>
      <c r="I2387" s="112"/>
    </row>
    <row r="2388" spans="1:9" x14ac:dyDescent="0.25">
      <c r="A2388" s="297" t="s">
        <v>91</v>
      </c>
      <c r="E2388" s="47"/>
      <c r="F2388" s="47"/>
      <c r="G2388" s="47"/>
      <c r="H2388" s="233"/>
      <c r="I2388" s="112"/>
    </row>
    <row r="2389" spans="1:9" x14ac:dyDescent="0.25">
      <c r="A2389" s="100" t="s">
        <v>0</v>
      </c>
      <c r="B2389" s="100"/>
      <c r="C2389" s="94" t="s">
        <v>92</v>
      </c>
      <c r="D2389" s="94" t="s">
        <v>93</v>
      </c>
      <c r="E2389" s="9" t="s">
        <v>94</v>
      </c>
      <c r="F2389" s="9" t="s">
        <v>95</v>
      </c>
      <c r="G2389" s="25" t="s">
        <v>96</v>
      </c>
      <c r="H2389" s="10"/>
      <c r="I2389" s="112"/>
    </row>
    <row r="2390" spans="1:9" ht="21" customHeight="1" x14ac:dyDescent="0.25">
      <c r="A2390" s="506" t="s">
        <v>439</v>
      </c>
      <c r="B2390" s="507"/>
      <c r="C2390" s="59" t="s">
        <v>7</v>
      </c>
      <c r="D2390" s="60">
        <v>0.05</v>
      </c>
      <c r="E2390" s="61">
        <f>0.6*3.8</f>
        <v>2.2799999999999998</v>
      </c>
      <c r="F2390" s="62">
        <v>101451</v>
      </c>
      <c r="G2390" s="62">
        <f t="shared" ref="G2390:G2398" si="62">ROUND(E2390*F2390,0)</f>
        <v>231308</v>
      </c>
      <c r="H2390" s="15"/>
      <c r="I2390" s="112"/>
    </row>
    <row r="2391" spans="1:9" x14ac:dyDescent="0.25">
      <c r="A2391" s="341" t="s">
        <v>440</v>
      </c>
      <c r="B2391" s="27"/>
      <c r="C2391" s="28" t="s">
        <v>140</v>
      </c>
      <c r="D2391" s="129"/>
      <c r="E2391" s="30">
        <v>0.5</v>
      </c>
      <c r="F2391" s="14">
        <v>205000</v>
      </c>
      <c r="G2391" s="14">
        <f t="shared" si="62"/>
        <v>102500</v>
      </c>
      <c r="H2391" s="15"/>
      <c r="I2391" s="112"/>
    </row>
    <row r="2392" spans="1:9" x14ac:dyDescent="0.25">
      <c r="A2392" s="32" t="s">
        <v>446</v>
      </c>
      <c r="B2392" s="33"/>
      <c r="C2392" s="28" t="s">
        <v>441</v>
      </c>
      <c r="D2392" s="29"/>
      <c r="E2392" s="30">
        <v>1</v>
      </c>
      <c r="F2392" s="14">
        <v>45000</v>
      </c>
      <c r="G2392" s="14">
        <f t="shared" si="62"/>
        <v>45000</v>
      </c>
      <c r="H2392" s="15"/>
      <c r="I2392" s="112"/>
    </row>
    <row r="2393" spans="1:9" ht="14.45" customHeight="1" x14ac:dyDescent="0.25">
      <c r="A2393" s="26" t="s">
        <v>432</v>
      </c>
      <c r="B2393" s="27"/>
      <c r="C2393" s="28" t="s">
        <v>8</v>
      </c>
      <c r="D2393" s="129"/>
      <c r="E2393" s="30">
        <v>1</v>
      </c>
      <c r="F2393" s="14">
        <v>35000</v>
      </c>
      <c r="G2393" s="14">
        <f t="shared" si="62"/>
        <v>35000</v>
      </c>
      <c r="H2393" s="15"/>
      <c r="I2393" s="112"/>
    </row>
    <row r="2394" spans="1:9" x14ac:dyDescent="0.25">
      <c r="A2394" s="420" t="s">
        <v>433</v>
      </c>
      <c r="B2394" s="421"/>
      <c r="C2394" s="59" t="s">
        <v>92</v>
      </c>
      <c r="D2394" s="60"/>
      <c r="E2394" s="61">
        <v>1</v>
      </c>
      <c r="F2394" s="62">
        <v>35000</v>
      </c>
      <c r="G2394" s="62">
        <f t="shared" si="62"/>
        <v>35000</v>
      </c>
      <c r="H2394" s="15"/>
      <c r="I2394" s="112"/>
    </row>
    <row r="2395" spans="1:9" ht="22.9" customHeight="1" x14ac:dyDescent="0.25">
      <c r="A2395" s="420" t="s">
        <v>442</v>
      </c>
      <c r="B2395" s="421"/>
      <c r="C2395" s="59" t="s">
        <v>9</v>
      </c>
      <c r="D2395" s="340">
        <v>0.05</v>
      </c>
      <c r="E2395" s="61">
        <f>+(3.8*3)+(0.5*6)+(0.6*5)</f>
        <v>17.399999999999999</v>
      </c>
      <c r="F2395" s="62">
        <v>23100</v>
      </c>
      <c r="G2395" s="62">
        <f t="shared" si="62"/>
        <v>401940</v>
      </c>
      <c r="H2395" s="15"/>
      <c r="I2395" s="112"/>
    </row>
    <row r="2396" spans="1:9" x14ac:dyDescent="0.25">
      <c r="A2396" s="26" t="s">
        <v>443</v>
      </c>
      <c r="B2396" s="27"/>
      <c r="C2396" s="28" t="s">
        <v>92</v>
      </c>
      <c r="D2396" s="129"/>
      <c r="E2396" s="30">
        <v>1</v>
      </c>
      <c r="F2396" s="14">
        <v>58000</v>
      </c>
      <c r="G2396" s="14">
        <f t="shared" si="62"/>
        <v>58000</v>
      </c>
      <c r="H2396" s="15"/>
      <c r="I2396" s="112"/>
    </row>
    <row r="2397" spans="1:9" x14ac:dyDescent="0.25">
      <c r="A2397" s="26" t="s">
        <v>196</v>
      </c>
      <c r="B2397" s="27"/>
      <c r="C2397" s="28" t="s">
        <v>92</v>
      </c>
      <c r="D2397" s="129"/>
      <c r="E2397" s="30">
        <v>1</v>
      </c>
      <c r="F2397" s="14">
        <v>15000</v>
      </c>
      <c r="G2397" s="14">
        <f t="shared" si="62"/>
        <v>15000</v>
      </c>
      <c r="H2397" s="15"/>
      <c r="I2397" s="112"/>
    </row>
    <row r="2398" spans="1:9" x14ac:dyDescent="0.25">
      <c r="A2398" s="26" t="s">
        <v>197</v>
      </c>
      <c r="B2398" s="27"/>
      <c r="C2398" s="28" t="s">
        <v>92</v>
      </c>
      <c r="D2398" s="129"/>
      <c r="E2398" s="30">
        <v>3</v>
      </c>
      <c r="F2398" s="14">
        <v>2500</v>
      </c>
      <c r="G2398" s="14">
        <f t="shared" si="62"/>
        <v>7500</v>
      </c>
      <c r="H2398" s="17"/>
      <c r="I2398" s="112"/>
    </row>
    <row r="2399" spans="1:9" x14ac:dyDescent="0.25">
      <c r="A2399" s="297"/>
      <c r="E2399" s="130"/>
      <c r="F2399" s="37" t="s">
        <v>102</v>
      </c>
      <c r="G2399" s="38"/>
      <c r="H2399" s="23">
        <f>SUM(G2390:G2398)</f>
        <v>931248</v>
      </c>
      <c r="I2399" s="112"/>
    </row>
    <row r="2400" spans="1:9" x14ac:dyDescent="0.25">
      <c r="A2400" s="297"/>
      <c r="E2400" s="36"/>
      <c r="F2400" s="39" t="s">
        <v>103</v>
      </c>
      <c r="G2400" s="38"/>
      <c r="H2400" s="23">
        <f>ROUND((D2390*G2390)+(D2391*G2391)+(D2392*G2392)+(D2393*G2393)+(D2394*G2394)+(D2395*G2395)+(D2396*G2396)+(D2397*G2397)+(D2398*G2398),0)</f>
        <v>31662</v>
      </c>
      <c r="I2400" s="112"/>
    </row>
    <row r="2401" spans="1:9" x14ac:dyDescent="0.25">
      <c r="A2401" s="297"/>
      <c r="E2401" s="36"/>
      <c r="F2401" s="20" t="s">
        <v>104</v>
      </c>
      <c r="G2401" s="40"/>
      <c r="H2401" s="23">
        <f>SUM(H2399:H2400)</f>
        <v>962910</v>
      </c>
      <c r="I2401" s="112"/>
    </row>
    <row r="2402" spans="1:9" x14ac:dyDescent="0.25">
      <c r="A2402" s="297" t="s">
        <v>105</v>
      </c>
      <c r="E2402" s="47"/>
      <c r="F2402" s="47"/>
      <c r="G2402" s="47"/>
      <c r="H2402" s="233"/>
      <c r="I2402" s="112"/>
    </row>
    <row r="2403" spans="1:9" x14ac:dyDescent="0.25">
      <c r="A2403" s="100" t="s">
        <v>0</v>
      </c>
      <c r="B2403" s="100"/>
      <c r="C2403" s="94" t="s">
        <v>106</v>
      </c>
      <c r="D2403" s="94" t="s">
        <v>107</v>
      </c>
      <c r="E2403" s="9" t="s">
        <v>108</v>
      </c>
      <c r="F2403" s="9" t="s">
        <v>109</v>
      </c>
      <c r="G2403" s="41" t="s">
        <v>96</v>
      </c>
      <c r="H2403" s="10"/>
      <c r="I2403" s="112"/>
    </row>
    <row r="2404" spans="1:9" x14ac:dyDescent="0.25">
      <c r="A2404" s="26" t="s">
        <v>110</v>
      </c>
      <c r="B2404" s="27"/>
      <c r="C2404" s="13">
        <f>104000+26000</f>
        <v>130000</v>
      </c>
      <c r="D2404" s="13">
        <f>+C2404*0.16</f>
        <v>20800</v>
      </c>
      <c r="E2404" s="14">
        <f>C2404+D2404</f>
        <v>150800</v>
      </c>
      <c r="F2404" s="30">
        <v>4</v>
      </c>
      <c r="G2404" s="14">
        <f>ROUND(E2404*F2404,0)</f>
        <v>603200</v>
      </c>
      <c r="H2404" s="15"/>
      <c r="I2404" s="112"/>
    </row>
    <row r="2405" spans="1:9" x14ac:dyDescent="0.25">
      <c r="A2405" s="26" t="s">
        <v>111</v>
      </c>
      <c r="B2405" s="27"/>
      <c r="C2405" s="13">
        <f>60400+25850</f>
        <v>86250</v>
      </c>
      <c r="D2405" s="13">
        <f>+C2405*0.16</f>
        <v>13800</v>
      </c>
      <c r="E2405" s="14">
        <f>C2405+D2405</f>
        <v>100050</v>
      </c>
      <c r="F2405" s="30">
        <v>4</v>
      </c>
      <c r="G2405" s="14">
        <f>ROUND(E2405*F2405,0)</f>
        <v>400200</v>
      </c>
      <c r="H2405" s="15"/>
      <c r="I2405" s="112"/>
    </row>
    <row r="2406" spans="1:9" x14ac:dyDescent="0.25">
      <c r="A2406" s="26"/>
      <c r="B2406" s="27"/>
      <c r="C2406" s="43"/>
      <c r="D2406" s="43"/>
      <c r="E2406" s="44">
        <f>C2406+D2406</f>
        <v>0</v>
      </c>
      <c r="F2406" s="30"/>
      <c r="G2406" s="14">
        <f>ROUND(E2406*F2406,0)</f>
        <v>0</v>
      </c>
      <c r="H2406" s="15"/>
      <c r="I2406" s="112"/>
    </row>
    <row r="2407" spans="1:9" x14ac:dyDescent="0.25">
      <c r="A2407" s="297"/>
      <c r="E2407" s="101" t="s">
        <v>112</v>
      </c>
      <c r="F2407" s="37"/>
      <c r="G2407" s="277"/>
      <c r="H2407" s="23">
        <f>SUM(G2404:G2406)</f>
        <v>1003400</v>
      </c>
      <c r="I2407" s="112"/>
    </row>
    <row r="2408" spans="1:9" x14ac:dyDescent="0.25">
      <c r="A2408" s="297"/>
      <c r="E2408" s="47"/>
      <c r="F2408" s="47"/>
      <c r="G2408" s="47"/>
      <c r="H2408" s="233"/>
      <c r="I2408" s="112"/>
    </row>
    <row r="2409" spans="1:9" x14ac:dyDescent="0.25">
      <c r="A2409" s="96"/>
      <c r="B2409" s="97"/>
      <c r="C2409" s="97"/>
      <c r="D2409" s="97"/>
      <c r="E2409" s="48" t="s">
        <v>113</v>
      </c>
      <c r="F2409" s="48"/>
      <c r="G2409" s="50"/>
      <c r="H2409" s="25">
        <f>H2407+H2401+H2387</f>
        <v>2367990</v>
      </c>
      <c r="I2409" s="112"/>
    </row>
    <row r="2410" spans="1:9" x14ac:dyDescent="0.25">
      <c r="A2410" s="297"/>
      <c r="E2410" s="47"/>
      <c r="F2410" s="47"/>
      <c r="G2410" s="47"/>
      <c r="H2410" s="233"/>
      <c r="I2410" s="112"/>
    </row>
    <row r="2411" spans="1:9" x14ac:dyDescent="0.25">
      <c r="A2411" s="297" t="s">
        <v>114</v>
      </c>
      <c r="E2411" s="47"/>
      <c r="F2411" s="47"/>
      <c r="G2411" s="47"/>
      <c r="H2411" s="233"/>
      <c r="I2411" s="112"/>
    </row>
    <row r="2412" spans="1:9" x14ac:dyDescent="0.25">
      <c r="A2412" s="92" t="s">
        <v>0</v>
      </c>
      <c r="B2412" s="102"/>
      <c r="C2412" s="102"/>
      <c r="D2412" s="102"/>
      <c r="E2412" s="50"/>
      <c r="F2412" s="9" t="s">
        <v>115</v>
      </c>
      <c r="G2412" s="9" t="s">
        <v>116</v>
      </c>
      <c r="H2412" s="10"/>
      <c r="I2412" s="112"/>
    </row>
    <row r="2413" spans="1:9" x14ac:dyDescent="0.25">
      <c r="A2413" s="26" t="s">
        <v>117</v>
      </c>
      <c r="B2413" s="103"/>
      <c r="C2413" s="103"/>
      <c r="D2413" s="103"/>
      <c r="E2413" s="52"/>
      <c r="F2413" s="14"/>
      <c r="G2413" s="131">
        <f>ROUND(F2413*H2409,0)</f>
        <v>0</v>
      </c>
      <c r="H2413" s="15"/>
      <c r="I2413" s="112"/>
    </row>
    <row r="2414" spans="1:9" hidden="1" x14ac:dyDescent="0.25">
      <c r="A2414" s="26"/>
      <c r="B2414" s="103"/>
      <c r="C2414" s="103"/>
      <c r="D2414" s="103"/>
      <c r="E2414" s="52"/>
      <c r="F2414" s="14"/>
      <c r="G2414" s="131">
        <f>F2414*H2409</f>
        <v>0</v>
      </c>
      <c r="H2414" s="15"/>
      <c r="I2414" s="112"/>
    </row>
    <row r="2415" spans="1:9" hidden="1" x14ac:dyDescent="0.25">
      <c r="A2415" s="26"/>
      <c r="B2415" s="103"/>
      <c r="C2415" s="103"/>
      <c r="D2415" s="103"/>
      <c r="E2415" s="52"/>
      <c r="F2415" s="14"/>
      <c r="G2415" s="131">
        <f>F2415*H2409</f>
        <v>0</v>
      </c>
      <c r="H2415" s="17"/>
      <c r="I2415" s="112"/>
    </row>
    <row r="2416" spans="1:9" x14ac:dyDescent="0.25">
      <c r="E2416" s="101" t="s">
        <v>118</v>
      </c>
      <c r="F2416" s="37"/>
      <c r="G2416" s="46"/>
      <c r="H2416" s="36">
        <f>SUM(G2413:G2415)</f>
        <v>0</v>
      </c>
      <c r="I2416" s="112"/>
    </row>
    <row r="2417" spans="1:9" ht="15.75" thickBot="1" x14ac:dyDescent="0.3">
      <c r="E2417" s="5"/>
      <c r="F2417" s="5"/>
      <c r="G2417" s="5"/>
      <c r="H2417" s="5"/>
      <c r="I2417" s="112"/>
    </row>
    <row r="2418" spans="1:9" ht="15.75" thickBot="1" x14ac:dyDescent="0.3">
      <c r="E2418" s="54"/>
      <c r="F2418" s="54" t="s">
        <v>119</v>
      </c>
      <c r="G2418" s="54"/>
      <c r="H2418" s="240">
        <f>SUM(H2416+H2409)</f>
        <v>2367990</v>
      </c>
      <c r="I2418" s="112"/>
    </row>
    <row r="2419" spans="1:9" x14ac:dyDescent="0.25">
      <c r="E2419" s="54"/>
      <c r="F2419" s="54"/>
      <c r="G2419" s="54"/>
      <c r="H2419" s="112"/>
      <c r="I2419" s="112"/>
    </row>
    <row r="2420" spans="1:9" x14ac:dyDescent="0.25">
      <c r="E2420" s="54"/>
      <c r="F2420" s="54"/>
      <c r="G2420" s="54"/>
      <c r="H2420" s="112"/>
      <c r="I2420" s="112"/>
    </row>
    <row r="2421" spans="1:9" x14ac:dyDescent="0.25">
      <c r="E2421" s="54"/>
      <c r="F2421" s="54"/>
      <c r="G2421" s="54"/>
      <c r="H2421" s="112"/>
      <c r="I2421" s="112"/>
    </row>
    <row r="2422" spans="1:9" x14ac:dyDescent="0.25">
      <c r="E2422" s="54"/>
      <c r="F2422" s="54"/>
      <c r="G2422" s="54"/>
      <c r="H2422" s="112"/>
      <c r="I2422" s="112"/>
    </row>
    <row r="2423" spans="1:9" x14ac:dyDescent="0.25">
      <c r="E2423" s="54"/>
      <c r="F2423" s="54"/>
      <c r="G2423" s="54"/>
      <c r="H2423" s="112"/>
      <c r="I2423" s="112"/>
    </row>
    <row r="2424" spans="1:9" x14ac:dyDescent="0.25">
      <c r="I2424" s="112"/>
    </row>
    <row r="2425" spans="1:9" ht="15.75" x14ac:dyDescent="0.25">
      <c r="A2425" s="452" t="s">
        <v>79</v>
      </c>
      <c r="B2425" s="452"/>
      <c r="C2425" s="452"/>
      <c r="D2425" s="452"/>
      <c r="E2425" s="452"/>
      <c r="F2425" s="452"/>
      <c r="G2425" s="452"/>
      <c r="H2425" s="452"/>
      <c r="I2425" s="112"/>
    </row>
    <row r="2426" spans="1:9" x14ac:dyDescent="0.25">
      <c r="E2426" s="5"/>
      <c r="F2426" s="5"/>
      <c r="G2426" s="5"/>
      <c r="H2426" s="5"/>
      <c r="I2426" s="112"/>
    </row>
    <row r="2427" spans="1:9" ht="21.6" customHeight="1" x14ac:dyDescent="0.25">
      <c r="E2427" s="5"/>
      <c r="F2427" s="5"/>
      <c r="G2427" s="411" t="s">
        <v>326</v>
      </c>
      <c r="H2427" s="411"/>
      <c r="I2427" s="112"/>
    </row>
    <row r="2428" spans="1:9" ht="30.6" customHeight="1" x14ac:dyDescent="0.25">
      <c r="A2428" s="453" t="s">
        <v>444</v>
      </c>
      <c r="B2428" s="453"/>
      <c r="C2428" s="453"/>
      <c r="D2428" s="453"/>
      <c r="E2428" s="453"/>
      <c r="F2428" s="453"/>
      <c r="G2428" s="453"/>
      <c r="H2428" s="453"/>
      <c r="I2428" s="112"/>
    </row>
    <row r="2429" spans="1:9" x14ac:dyDescent="0.25">
      <c r="E2429" s="5"/>
      <c r="F2429" s="5"/>
      <c r="G2429" s="91" t="s">
        <v>215</v>
      </c>
      <c r="H2429" s="91"/>
      <c r="I2429" s="112"/>
    </row>
    <row r="2430" spans="1:9" x14ac:dyDescent="0.25">
      <c r="A2430" t="s">
        <v>82</v>
      </c>
      <c r="E2430" s="5"/>
      <c r="F2430" s="5"/>
      <c r="G2430" s="5"/>
      <c r="H2430" s="5"/>
      <c r="I2430" s="112"/>
    </row>
    <row r="2431" spans="1:9" x14ac:dyDescent="0.25">
      <c r="A2431" s="92" t="s">
        <v>0</v>
      </c>
      <c r="B2431" s="93"/>
      <c r="C2431" s="94" t="s">
        <v>83</v>
      </c>
      <c r="D2431" s="94" t="s">
        <v>84</v>
      </c>
      <c r="E2431" s="9" t="s">
        <v>85</v>
      </c>
      <c r="F2431" s="9" t="s">
        <v>86</v>
      </c>
      <c r="G2431" s="9" t="s">
        <v>87</v>
      </c>
      <c r="H2431" s="10"/>
      <c r="I2431" s="112"/>
    </row>
    <row r="2432" spans="1:9" x14ac:dyDescent="0.25">
      <c r="A2432" s="26" t="s">
        <v>88</v>
      </c>
      <c r="B2432" s="27"/>
      <c r="C2432" s="95"/>
      <c r="D2432" s="95"/>
      <c r="E2432" s="14"/>
      <c r="F2432" s="14"/>
      <c r="G2432" s="14">
        <f>ROUND(H2456*0.05,0)+6510</f>
        <v>11527</v>
      </c>
      <c r="H2432" s="15"/>
      <c r="I2432" s="112"/>
    </row>
    <row r="2433" spans="1:11" x14ac:dyDescent="0.25">
      <c r="A2433" s="11" t="s">
        <v>327</v>
      </c>
      <c r="B2433" s="12"/>
      <c r="C2433" s="13"/>
      <c r="D2433" s="13"/>
      <c r="E2433" s="14">
        <v>350000</v>
      </c>
      <c r="F2433" s="14">
        <v>0.8</v>
      </c>
      <c r="G2433" s="14">
        <f>ROUND(E2433*F2433,0)</f>
        <v>280000</v>
      </c>
      <c r="H2433" s="15"/>
      <c r="I2433" s="112"/>
    </row>
    <row r="2434" spans="1:11" x14ac:dyDescent="0.25">
      <c r="A2434" s="11" t="s">
        <v>328</v>
      </c>
      <c r="B2434" s="27"/>
      <c r="C2434" s="95"/>
      <c r="D2434" s="95"/>
      <c r="E2434" s="14">
        <v>50000</v>
      </c>
      <c r="F2434" s="128">
        <v>1.3</v>
      </c>
      <c r="G2434" s="14">
        <f>ROUND(E2434*F2434,0)</f>
        <v>65000</v>
      </c>
      <c r="H2434" s="15"/>
      <c r="I2434" s="112"/>
    </row>
    <row r="2435" spans="1:11" x14ac:dyDescent="0.25">
      <c r="A2435" s="26"/>
      <c r="B2435" s="27"/>
      <c r="C2435" s="95"/>
      <c r="D2435" s="95"/>
      <c r="E2435" s="14"/>
      <c r="F2435" s="128"/>
      <c r="G2435" s="14">
        <f>ROUND(E2435*F2435,0)</f>
        <v>0</v>
      </c>
      <c r="H2435" s="17"/>
      <c r="I2435" s="112"/>
    </row>
    <row r="2436" spans="1:11" x14ac:dyDescent="0.25">
      <c r="A2436" s="96"/>
      <c r="B2436" s="97"/>
      <c r="C2436" s="97"/>
      <c r="D2436" s="97"/>
      <c r="E2436" s="20"/>
      <c r="F2436" s="21" t="s">
        <v>90</v>
      </c>
      <c r="G2436" s="22"/>
      <c r="H2436" s="23">
        <f>SUM(G2432:G2435)</f>
        <v>356527</v>
      </c>
      <c r="I2436" s="112"/>
    </row>
    <row r="2437" spans="1:11" x14ac:dyDescent="0.25">
      <c r="A2437" s="297" t="s">
        <v>91</v>
      </c>
      <c r="E2437" s="47"/>
      <c r="F2437" s="47"/>
      <c r="G2437" s="47"/>
      <c r="H2437" s="233"/>
      <c r="I2437" s="112"/>
      <c r="K2437" s="156"/>
    </row>
    <row r="2438" spans="1:11" x14ac:dyDescent="0.25">
      <c r="A2438" s="100" t="s">
        <v>0</v>
      </c>
      <c r="B2438" s="100"/>
      <c r="C2438" s="94" t="s">
        <v>92</v>
      </c>
      <c r="D2438" s="94" t="s">
        <v>93</v>
      </c>
      <c r="E2438" s="9" t="s">
        <v>94</v>
      </c>
      <c r="F2438" s="9" t="s">
        <v>95</v>
      </c>
      <c r="G2438" s="25" t="s">
        <v>96</v>
      </c>
      <c r="H2438" s="10"/>
      <c r="I2438" s="112"/>
    </row>
    <row r="2439" spans="1:11" x14ac:dyDescent="0.25">
      <c r="A2439" s="420" t="s">
        <v>445</v>
      </c>
      <c r="B2439" s="421"/>
      <c r="C2439" s="59" t="s">
        <v>7</v>
      </c>
      <c r="D2439" s="340">
        <v>0.05</v>
      </c>
      <c r="E2439" s="61">
        <f>+(1*0.6)*2+(0.9*0.1)</f>
        <v>1.29</v>
      </c>
      <c r="F2439" s="62">
        <v>46500</v>
      </c>
      <c r="G2439" s="62">
        <f t="shared" ref="G2439:G2447" si="63">ROUND(E2439*F2439,0)</f>
        <v>59985</v>
      </c>
      <c r="H2439" s="15"/>
      <c r="I2439" s="112"/>
    </row>
    <row r="2440" spans="1:11" ht="23.45" customHeight="1" x14ac:dyDescent="0.25">
      <c r="A2440" s="420" t="s">
        <v>442</v>
      </c>
      <c r="B2440" s="421"/>
      <c r="C2440" s="59" t="s">
        <v>9</v>
      </c>
      <c r="D2440" s="340">
        <v>0.05</v>
      </c>
      <c r="E2440" s="61">
        <f>0.9+0.9+0.6+0.6</f>
        <v>3</v>
      </c>
      <c r="F2440" s="62">
        <f>ROUND(56000/3,0)</f>
        <v>18667</v>
      </c>
      <c r="G2440" s="62">
        <f t="shared" si="63"/>
        <v>56001</v>
      </c>
      <c r="H2440" s="15"/>
      <c r="I2440" s="112"/>
    </row>
    <row r="2441" spans="1:11" x14ac:dyDescent="0.25">
      <c r="A2441" s="26" t="s">
        <v>432</v>
      </c>
      <c r="B2441" s="27"/>
      <c r="C2441" s="28" t="s">
        <v>8</v>
      </c>
      <c r="D2441" s="129"/>
      <c r="E2441" s="30">
        <v>1</v>
      </c>
      <c r="F2441" s="14">
        <v>35000</v>
      </c>
      <c r="G2441" s="14">
        <f t="shared" si="63"/>
        <v>35000</v>
      </c>
      <c r="H2441" s="15"/>
      <c r="I2441" s="112"/>
    </row>
    <row r="2442" spans="1:11" ht="14.45" customHeight="1" x14ac:dyDescent="0.25">
      <c r="A2442" s="420" t="s">
        <v>433</v>
      </c>
      <c r="B2442" s="421"/>
      <c r="C2442" s="59" t="s">
        <v>92</v>
      </c>
      <c r="D2442" s="60"/>
      <c r="E2442" s="61">
        <v>1</v>
      </c>
      <c r="F2442" s="62">
        <v>35000</v>
      </c>
      <c r="G2442" s="14">
        <f t="shared" si="63"/>
        <v>35000</v>
      </c>
      <c r="H2442" s="15"/>
      <c r="I2442" s="112"/>
    </row>
    <row r="2443" spans="1:11" x14ac:dyDescent="0.25">
      <c r="A2443" s="420"/>
      <c r="B2443" s="421"/>
      <c r="C2443" s="59"/>
      <c r="D2443" s="60"/>
      <c r="E2443" s="61"/>
      <c r="F2443" s="62"/>
      <c r="G2443" s="62">
        <f t="shared" si="63"/>
        <v>0</v>
      </c>
      <c r="H2443" s="15"/>
      <c r="I2443" s="112"/>
    </row>
    <row r="2444" spans="1:11" x14ac:dyDescent="0.25">
      <c r="A2444" s="26"/>
      <c r="B2444" s="27"/>
      <c r="C2444" s="28"/>
      <c r="D2444" s="129"/>
      <c r="E2444" s="30"/>
      <c r="F2444" s="14"/>
      <c r="G2444" s="14">
        <f t="shared" si="63"/>
        <v>0</v>
      </c>
      <c r="H2444" s="15"/>
      <c r="I2444" s="112"/>
    </row>
    <row r="2445" spans="1:11" hidden="1" x14ac:dyDescent="0.25">
      <c r="A2445" s="26"/>
      <c r="B2445" s="27"/>
      <c r="C2445" s="28"/>
      <c r="D2445" s="129"/>
      <c r="E2445" s="30"/>
      <c r="F2445" s="14"/>
      <c r="G2445" s="14">
        <f t="shared" si="63"/>
        <v>0</v>
      </c>
      <c r="H2445" s="15"/>
      <c r="I2445" s="112"/>
    </row>
    <row r="2446" spans="1:11" hidden="1" x14ac:dyDescent="0.25">
      <c r="A2446" s="26"/>
      <c r="B2446" s="27"/>
      <c r="C2446" s="28"/>
      <c r="D2446" s="129"/>
      <c r="E2446" s="30"/>
      <c r="F2446" s="14"/>
      <c r="G2446" s="14">
        <f t="shared" si="63"/>
        <v>0</v>
      </c>
      <c r="H2446" s="15"/>
      <c r="I2446" s="112"/>
    </row>
    <row r="2447" spans="1:11" x14ac:dyDescent="0.25">
      <c r="A2447" s="26"/>
      <c r="B2447" s="27"/>
      <c r="C2447" s="28"/>
      <c r="D2447" s="129"/>
      <c r="E2447" s="30"/>
      <c r="F2447" s="14"/>
      <c r="G2447" s="14">
        <f t="shared" si="63"/>
        <v>0</v>
      </c>
      <c r="H2447" s="17"/>
      <c r="I2447" s="112"/>
    </row>
    <row r="2448" spans="1:11" x14ac:dyDescent="0.25">
      <c r="A2448" s="297"/>
      <c r="E2448" s="130"/>
      <c r="F2448" s="37" t="s">
        <v>102</v>
      </c>
      <c r="G2448" s="38"/>
      <c r="H2448" s="23">
        <f>SUM(G2439:G2447)</f>
        <v>185986</v>
      </c>
      <c r="I2448" s="112"/>
    </row>
    <row r="2449" spans="1:9" x14ac:dyDescent="0.25">
      <c r="A2449" s="297"/>
      <c r="E2449" s="36"/>
      <c r="F2449" s="39" t="s">
        <v>103</v>
      </c>
      <c r="G2449" s="38"/>
      <c r="H2449" s="23">
        <f>ROUND((D2439*G2439)+(D2440*G2440)+(D2441*G2441)+(D2442*G2442)+(D2443*G2443)+(D2444*G2444)+(D2445*G2445)+(D2446*G2446)+(D2447*G2447),0)</f>
        <v>5799</v>
      </c>
      <c r="I2449" s="112"/>
    </row>
    <row r="2450" spans="1:9" x14ac:dyDescent="0.25">
      <c r="A2450" s="297"/>
      <c r="E2450" s="36"/>
      <c r="F2450" s="20" t="s">
        <v>104</v>
      </c>
      <c r="G2450" s="40"/>
      <c r="H2450" s="23">
        <f>SUM(H2448:H2449)</f>
        <v>191785</v>
      </c>
      <c r="I2450" s="112"/>
    </row>
    <row r="2451" spans="1:9" x14ac:dyDescent="0.25">
      <c r="A2451" s="297" t="s">
        <v>105</v>
      </c>
      <c r="E2451" s="47"/>
      <c r="F2451" s="47"/>
      <c r="G2451" s="47"/>
      <c r="H2451" s="233"/>
      <c r="I2451" s="112"/>
    </row>
    <row r="2452" spans="1:9" x14ac:dyDescent="0.25">
      <c r="A2452" s="100" t="s">
        <v>0</v>
      </c>
      <c r="B2452" s="100"/>
      <c r="C2452" s="94" t="s">
        <v>106</v>
      </c>
      <c r="D2452" s="94" t="s">
        <v>107</v>
      </c>
      <c r="E2452" s="9" t="s">
        <v>108</v>
      </c>
      <c r="F2452" s="9" t="s">
        <v>109</v>
      </c>
      <c r="G2452" s="41" t="s">
        <v>96</v>
      </c>
      <c r="H2452" s="10"/>
      <c r="I2452" s="112"/>
    </row>
    <row r="2453" spans="1:9" x14ac:dyDescent="0.25">
      <c r="A2453" s="26" t="s">
        <v>110</v>
      </c>
      <c r="B2453" s="27"/>
      <c r="C2453" s="13">
        <f>104000+26000</f>
        <v>130000</v>
      </c>
      <c r="D2453" s="13">
        <f>+C2453*0.16</f>
        <v>20800</v>
      </c>
      <c r="E2453" s="14">
        <f>C2453+D2453</f>
        <v>150800</v>
      </c>
      <c r="F2453" s="30">
        <v>0.4</v>
      </c>
      <c r="G2453" s="14">
        <f>ROUND(E2453*F2453,0)</f>
        <v>60320</v>
      </c>
      <c r="H2453" s="15"/>
      <c r="I2453" s="112"/>
    </row>
    <row r="2454" spans="1:9" x14ac:dyDescent="0.25">
      <c r="A2454" s="26" t="s">
        <v>111</v>
      </c>
      <c r="B2454" s="27"/>
      <c r="C2454" s="13">
        <f>60400+25850</f>
        <v>86250</v>
      </c>
      <c r="D2454" s="13">
        <f>+C2454*0.16</f>
        <v>13800</v>
      </c>
      <c r="E2454" s="14">
        <f>C2454+D2454</f>
        <v>100050</v>
      </c>
      <c r="F2454" s="30">
        <v>0.4</v>
      </c>
      <c r="G2454" s="14">
        <f>ROUND(E2454*F2454,0)</f>
        <v>40020</v>
      </c>
      <c r="H2454" s="15"/>
      <c r="I2454" s="112"/>
    </row>
    <row r="2455" spans="1:9" x14ac:dyDescent="0.25">
      <c r="A2455" s="26"/>
      <c r="B2455" s="27"/>
      <c r="C2455" s="43"/>
      <c r="D2455" s="43"/>
      <c r="E2455" s="44">
        <f>C2455+D2455</f>
        <v>0</v>
      </c>
      <c r="F2455" s="30"/>
      <c r="G2455" s="14">
        <f>ROUND(E2455*F2455,0)</f>
        <v>0</v>
      </c>
      <c r="H2455" s="15"/>
      <c r="I2455" s="112"/>
    </row>
    <row r="2456" spans="1:9" x14ac:dyDescent="0.25">
      <c r="A2456" s="297"/>
      <c r="E2456" s="101" t="s">
        <v>112</v>
      </c>
      <c r="F2456" s="37"/>
      <c r="G2456" s="277"/>
      <c r="H2456" s="23">
        <f>SUM(G2453:G2455)</f>
        <v>100340</v>
      </c>
      <c r="I2456" s="112"/>
    </row>
    <row r="2457" spans="1:9" x14ac:dyDescent="0.25">
      <c r="A2457" s="297"/>
      <c r="E2457" s="47"/>
      <c r="F2457" s="47"/>
      <c r="G2457" s="47"/>
      <c r="H2457" s="233"/>
      <c r="I2457" s="112"/>
    </row>
    <row r="2458" spans="1:9" x14ac:dyDescent="0.25">
      <c r="A2458" s="96"/>
      <c r="B2458" s="97"/>
      <c r="C2458" s="97"/>
      <c r="D2458" s="97"/>
      <c r="E2458" s="48" t="s">
        <v>113</v>
      </c>
      <c r="F2458" s="48"/>
      <c r="G2458" s="50"/>
      <c r="H2458" s="25">
        <f>H2456+H2450+H2436</f>
        <v>648652</v>
      </c>
      <c r="I2458" s="112"/>
    </row>
    <row r="2459" spans="1:9" x14ac:dyDescent="0.25">
      <c r="A2459" s="297"/>
      <c r="E2459" s="47"/>
      <c r="F2459" s="47"/>
      <c r="G2459" s="47"/>
      <c r="H2459" s="233"/>
      <c r="I2459" s="112"/>
    </row>
    <row r="2460" spans="1:9" x14ac:dyDescent="0.25">
      <c r="A2460" s="297" t="s">
        <v>114</v>
      </c>
      <c r="E2460" s="47"/>
      <c r="F2460" s="47"/>
      <c r="G2460" s="47"/>
      <c r="H2460" s="233"/>
      <c r="I2460" s="112"/>
    </row>
    <row r="2461" spans="1:9" x14ac:dyDescent="0.25">
      <c r="A2461" s="92" t="s">
        <v>0</v>
      </c>
      <c r="B2461" s="102"/>
      <c r="C2461" s="102"/>
      <c r="D2461" s="102"/>
      <c r="E2461" s="50"/>
      <c r="F2461" s="9" t="s">
        <v>115</v>
      </c>
      <c r="G2461" s="9" t="s">
        <v>116</v>
      </c>
      <c r="H2461" s="10"/>
      <c r="I2461" s="112"/>
    </row>
    <row r="2462" spans="1:9" x14ac:dyDescent="0.25">
      <c r="A2462" s="26" t="s">
        <v>117</v>
      </c>
      <c r="B2462" s="103"/>
      <c r="C2462" s="103"/>
      <c r="D2462" s="103"/>
      <c r="E2462" s="52"/>
      <c r="F2462" s="14"/>
      <c r="G2462" s="131">
        <f>ROUND(F2462*H2458,0)</f>
        <v>0</v>
      </c>
      <c r="H2462" s="15"/>
      <c r="I2462" s="112"/>
    </row>
    <row r="2463" spans="1:9" hidden="1" x14ac:dyDescent="0.25">
      <c r="A2463" s="26"/>
      <c r="B2463" s="103"/>
      <c r="C2463" s="103"/>
      <c r="D2463" s="103"/>
      <c r="E2463" s="52"/>
      <c r="F2463" s="14"/>
      <c r="G2463" s="131">
        <f>F2463*H2458</f>
        <v>0</v>
      </c>
      <c r="H2463" s="15"/>
      <c r="I2463" s="112"/>
    </row>
    <row r="2464" spans="1:9" hidden="1" x14ac:dyDescent="0.25">
      <c r="A2464" s="26"/>
      <c r="B2464" s="103"/>
      <c r="C2464" s="103"/>
      <c r="D2464" s="103"/>
      <c r="E2464" s="52"/>
      <c r="F2464" s="14"/>
      <c r="G2464" s="131">
        <f>F2464*H2458</f>
        <v>0</v>
      </c>
      <c r="H2464" s="17"/>
      <c r="I2464" s="112"/>
    </row>
    <row r="2465" spans="1:9" x14ac:dyDescent="0.25">
      <c r="E2465" s="101" t="s">
        <v>118</v>
      </c>
      <c r="F2465" s="37"/>
      <c r="G2465" s="46"/>
      <c r="H2465" s="36">
        <f>SUM(G2462:G2464)</f>
        <v>0</v>
      </c>
      <c r="I2465" s="112"/>
    </row>
    <row r="2466" spans="1:9" ht="15.75" thickBot="1" x14ac:dyDescent="0.3">
      <c r="E2466" s="5"/>
      <c r="F2466" s="5"/>
      <c r="G2466" s="5"/>
      <c r="H2466" s="5"/>
      <c r="I2466" s="112"/>
    </row>
    <row r="2467" spans="1:9" ht="15.75" thickBot="1" x14ac:dyDescent="0.3">
      <c r="E2467" s="54"/>
      <c r="F2467" s="54" t="s">
        <v>119</v>
      </c>
      <c r="G2467" s="54"/>
      <c r="H2467" s="240">
        <f>SUM(H2465+H2458)</f>
        <v>648652</v>
      </c>
      <c r="I2467" s="112"/>
    </row>
    <row r="2468" spans="1:9" x14ac:dyDescent="0.25">
      <c r="E2468" s="54"/>
      <c r="F2468" s="54"/>
      <c r="G2468" s="54"/>
      <c r="H2468" s="112"/>
      <c r="I2468" s="112"/>
    </row>
    <row r="2469" spans="1:9" hidden="1" x14ac:dyDescent="0.25">
      <c r="E2469" s="54"/>
      <c r="F2469" s="54"/>
      <c r="G2469" s="54"/>
      <c r="H2469" s="112"/>
      <c r="I2469" s="112"/>
    </row>
    <row r="2470" spans="1:9" hidden="1" x14ac:dyDescent="0.25">
      <c r="E2470" s="54"/>
      <c r="F2470" s="54"/>
      <c r="G2470" s="54"/>
      <c r="H2470" s="112"/>
      <c r="I2470" s="112"/>
    </row>
    <row r="2471" spans="1:9" x14ac:dyDescent="0.25">
      <c r="E2471" s="54"/>
      <c r="F2471" s="54"/>
      <c r="G2471" s="54"/>
      <c r="H2471" s="112"/>
      <c r="I2471" s="112"/>
    </row>
    <row r="2472" spans="1:9" x14ac:dyDescent="0.25">
      <c r="E2472" s="54"/>
      <c r="F2472" s="54"/>
      <c r="G2472" s="54"/>
      <c r="H2472" s="112"/>
      <c r="I2472" s="112"/>
    </row>
    <row r="2473" spans="1:9" x14ac:dyDescent="0.25">
      <c r="E2473" s="54"/>
      <c r="F2473" s="54"/>
      <c r="G2473" s="54"/>
      <c r="H2473" s="112"/>
      <c r="I2473" s="112"/>
    </row>
    <row r="2474" spans="1:9" x14ac:dyDescent="0.25">
      <c r="A2474" s="412" t="s">
        <v>79</v>
      </c>
      <c r="B2474" s="412"/>
      <c r="C2474" s="412"/>
      <c r="D2474" s="412"/>
      <c r="E2474" s="412"/>
      <c r="F2474" s="412"/>
      <c r="G2474" s="412"/>
      <c r="H2474" s="412"/>
      <c r="I2474" s="112"/>
    </row>
    <row r="2475" spans="1:9" x14ac:dyDescent="0.25">
      <c r="A2475" s="4"/>
      <c r="B2475" s="4"/>
      <c r="C2475" s="4"/>
      <c r="D2475" s="4"/>
      <c r="E2475" s="5"/>
      <c r="F2475" s="5"/>
      <c r="G2475" s="411" t="s">
        <v>326</v>
      </c>
      <c r="H2475" s="411"/>
      <c r="I2475" s="251"/>
    </row>
    <row r="2476" spans="1:9" ht="55.9" customHeight="1" x14ac:dyDescent="0.25">
      <c r="A2476" s="410" t="s">
        <v>397</v>
      </c>
      <c r="B2476" s="410"/>
      <c r="C2476" s="410"/>
      <c r="D2476" s="410"/>
      <c r="E2476" s="410"/>
      <c r="F2476" s="410"/>
      <c r="G2476" s="410"/>
      <c r="H2476" s="410"/>
      <c r="I2476" s="254"/>
    </row>
    <row r="2477" spans="1:9" x14ac:dyDescent="0.25">
      <c r="A2477" s="4"/>
      <c r="B2477" s="4"/>
      <c r="C2477" s="4"/>
      <c r="D2477" s="4"/>
      <c r="E2477" s="5"/>
      <c r="F2477" s="5"/>
      <c r="G2477" s="414" t="s">
        <v>215</v>
      </c>
      <c r="H2477" s="414"/>
      <c r="I2477" s="253"/>
    </row>
    <row r="2478" spans="1:9" x14ac:dyDescent="0.25">
      <c r="A2478" s="4" t="s">
        <v>82</v>
      </c>
      <c r="B2478" s="4"/>
      <c r="C2478" s="4"/>
      <c r="D2478" s="4"/>
      <c r="E2478" s="5"/>
      <c r="F2478" s="5"/>
      <c r="G2478" s="5"/>
      <c r="H2478" s="5"/>
      <c r="I2478" s="47"/>
    </row>
    <row r="2479" spans="1:9" x14ac:dyDescent="0.25">
      <c r="A2479" s="6" t="s">
        <v>0</v>
      </c>
      <c r="B2479" s="7"/>
      <c r="C2479" s="8" t="s">
        <v>83</v>
      </c>
      <c r="D2479" s="8" t="s">
        <v>84</v>
      </c>
      <c r="E2479" s="9" t="s">
        <v>85</v>
      </c>
      <c r="F2479" s="9" t="s">
        <v>86</v>
      </c>
      <c r="G2479" s="9" t="s">
        <v>87</v>
      </c>
      <c r="H2479" s="10"/>
      <c r="I2479" s="47"/>
    </row>
    <row r="2480" spans="1:9" x14ac:dyDescent="0.25">
      <c r="A2480" s="11" t="s">
        <v>88</v>
      </c>
      <c r="B2480" s="12"/>
      <c r="C2480" s="13"/>
      <c r="D2480" s="13"/>
      <c r="E2480" s="14"/>
      <c r="F2480" s="14"/>
      <c r="G2480" s="14">
        <f>ROUND(H2504*0.05,0)+8-16</f>
        <v>20075</v>
      </c>
      <c r="H2480" s="15"/>
      <c r="I2480" s="47"/>
    </row>
    <row r="2481" spans="1:16" x14ac:dyDescent="0.25">
      <c r="A2481" s="11" t="s">
        <v>327</v>
      </c>
      <c r="B2481" s="12"/>
      <c r="C2481" s="13"/>
      <c r="D2481" s="13"/>
      <c r="E2481" s="14">
        <v>350000</v>
      </c>
      <c r="F2481" s="14">
        <v>0.5</v>
      </c>
      <c r="G2481" s="14">
        <f>ROUND(E2481*F2481,0)</f>
        <v>175000</v>
      </c>
      <c r="H2481" s="15"/>
      <c r="I2481" s="47"/>
    </row>
    <row r="2482" spans="1:16" x14ac:dyDescent="0.25">
      <c r="A2482" s="11" t="s">
        <v>328</v>
      </c>
      <c r="B2482" s="11"/>
      <c r="C2482" s="13"/>
      <c r="D2482" s="13"/>
      <c r="E2482" s="14">
        <v>50000</v>
      </c>
      <c r="F2482" s="14">
        <v>1</v>
      </c>
      <c r="G2482" s="14">
        <f t="shared" ref="G2482:G2483" si="64">ROUND(E2482*F2482,0)</f>
        <v>50000</v>
      </c>
      <c r="H2482" s="15"/>
      <c r="I2482" s="47"/>
    </row>
    <row r="2483" spans="1:16" hidden="1" x14ac:dyDescent="0.25">
      <c r="A2483" s="415"/>
      <c r="B2483" s="416"/>
      <c r="C2483" s="13"/>
      <c r="D2483" s="13"/>
      <c r="E2483" s="14"/>
      <c r="F2483" s="14"/>
      <c r="G2483" s="14">
        <f t="shared" si="64"/>
        <v>0</v>
      </c>
      <c r="H2483" s="58"/>
      <c r="I2483" s="224"/>
    </row>
    <row r="2484" spans="1:16" x14ac:dyDescent="0.25">
      <c r="A2484" s="18"/>
      <c r="B2484" s="19"/>
      <c r="C2484" s="19"/>
      <c r="D2484" s="19"/>
      <c r="E2484" s="20"/>
      <c r="F2484" s="21" t="s">
        <v>90</v>
      </c>
      <c r="G2484" s="22"/>
      <c r="H2484" s="23">
        <f>SUM(G2480:G2483)</f>
        <v>245075</v>
      </c>
      <c r="I2484" s="220"/>
    </row>
    <row r="2485" spans="1:16" x14ac:dyDescent="0.25">
      <c r="A2485" s="291" t="s">
        <v>91</v>
      </c>
      <c r="B2485" s="228"/>
      <c r="C2485" s="228"/>
      <c r="D2485" s="228"/>
      <c r="E2485" s="47"/>
      <c r="F2485" s="47"/>
      <c r="G2485" s="47"/>
      <c r="H2485" s="233"/>
      <c r="I2485" s="47"/>
    </row>
    <row r="2486" spans="1:16" x14ac:dyDescent="0.25">
      <c r="A2486" s="24" t="s">
        <v>0</v>
      </c>
      <c r="B2486" s="24"/>
      <c r="C2486" s="8" t="s">
        <v>92</v>
      </c>
      <c r="D2486" s="8" t="s">
        <v>93</v>
      </c>
      <c r="E2486" s="9" t="s">
        <v>94</v>
      </c>
      <c r="F2486" s="9" t="s">
        <v>95</v>
      </c>
      <c r="G2486" s="25" t="s">
        <v>96</v>
      </c>
      <c r="H2486" s="10"/>
      <c r="I2486" s="47"/>
    </row>
    <row r="2487" spans="1:16" ht="28.9" customHeight="1" x14ac:dyDescent="0.25">
      <c r="A2487" s="419" t="s">
        <v>476</v>
      </c>
      <c r="B2487" s="419"/>
      <c r="C2487" s="59" t="s">
        <v>212</v>
      </c>
      <c r="D2487" s="60">
        <v>0.05</v>
      </c>
      <c r="E2487" s="61">
        <f>0.3*0.4*0.3*2</f>
        <v>7.1999999999999995E-2</v>
      </c>
      <c r="F2487" s="62">
        <f>+$F$1884</f>
        <v>2838505</v>
      </c>
      <c r="G2487" s="62">
        <f t="shared" ref="G2487:G2495" si="65">ROUND(E2487*F2487,0)</f>
        <v>204372</v>
      </c>
      <c r="H2487" s="15"/>
      <c r="I2487" s="47"/>
      <c r="K2487" s="194"/>
      <c r="L2487" s="195"/>
      <c r="M2487" s="63"/>
      <c r="N2487" s="63"/>
      <c r="O2487" s="63"/>
      <c r="P2487" s="63"/>
    </row>
    <row r="2488" spans="1:16" ht="28.9" customHeight="1" x14ac:dyDescent="0.25">
      <c r="A2488" s="419" t="s">
        <v>153</v>
      </c>
      <c r="B2488" s="419"/>
      <c r="C2488" s="59" t="s">
        <v>154</v>
      </c>
      <c r="D2488" s="65">
        <v>0.05</v>
      </c>
      <c r="E2488" s="61">
        <v>0.25</v>
      </c>
      <c r="F2488" s="62">
        <f>ROUND(146000/3,0)</f>
        <v>48667</v>
      </c>
      <c r="G2488" s="62">
        <f t="shared" si="65"/>
        <v>12167</v>
      </c>
      <c r="H2488" s="15"/>
      <c r="I2488" s="47"/>
    </row>
    <row r="2489" spans="1:16" ht="45.6" customHeight="1" x14ac:dyDescent="0.25">
      <c r="A2489" s="419" t="s">
        <v>155</v>
      </c>
      <c r="B2489" s="419"/>
      <c r="C2489" s="59" t="s">
        <v>140</v>
      </c>
      <c r="D2489" s="60">
        <v>0.05</v>
      </c>
      <c r="E2489" s="66">
        <v>0.45</v>
      </c>
      <c r="F2489" s="67">
        <v>205000</v>
      </c>
      <c r="G2489" s="67">
        <f t="shared" si="65"/>
        <v>92250</v>
      </c>
      <c r="H2489" s="68"/>
      <c r="I2489" s="225"/>
    </row>
    <row r="2490" spans="1:16" x14ac:dyDescent="0.25">
      <c r="A2490" s="419" t="s">
        <v>141</v>
      </c>
      <c r="B2490" s="419"/>
      <c r="C2490" s="28" t="s">
        <v>140</v>
      </c>
      <c r="D2490" s="31"/>
      <c r="E2490" s="30">
        <v>0.15</v>
      </c>
      <c r="F2490" s="14">
        <v>58000</v>
      </c>
      <c r="G2490" s="14">
        <f t="shared" si="65"/>
        <v>8700</v>
      </c>
      <c r="H2490" s="15"/>
      <c r="I2490" s="47"/>
    </row>
    <row r="2491" spans="1:16" x14ac:dyDescent="0.25">
      <c r="A2491" s="419" t="s">
        <v>138</v>
      </c>
      <c r="B2491" s="419"/>
      <c r="C2491" s="28" t="s">
        <v>18</v>
      </c>
      <c r="D2491" s="34"/>
      <c r="E2491" s="30">
        <v>2</v>
      </c>
      <c r="F2491" s="14">
        <v>1900</v>
      </c>
      <c r="G2491" s="14">
        <f t="shared" si="65"/>
        <v>3800</v>
      </c>
      <c r="H2491" s="15"/>
      <c r="I2491" s="47"/>
    </row>
    <row r="2492" spans="1:16" x14ac:dyDescent="0.25">
      <c r="A2492" s="419" t="s">
        <v>139</v>
      </c>
      <c r="B2492" s="419"/>
      <c r="C2492" s="28" t="s">
        <v>18</v>
      </c>
      <c r="D2492" s="31"/>
      <c r="E2492" s="30">
        <v>0.5</v>
      </c>
      <c r="F2492" s="14">
        <v>8500</v>
      </c>
      <c r="G2492" s="14">
        <f t="shared" si="65"/>
        <v>4250</v>
      </c>
      <c r="H2492" s="15"/>
      <c r="I2492" s="47"/>
    </row>
    <row r="2493" spans="1:16" ht="22.15" customHeight="1" x14ac:dyDescent="0.25">
      <c r="A2493" s="417" t="s">
        <v>156</v>
      </c>
      <c r="B2493" s="418"/>
      <c r="C2493" s="59" t="s">
        <v>140</v>
      </c>
      <c r="D2493" s="70">
        <v>0.05</v>
      </c>
      <c r="E2493" s="61">
        <v>0.15</v>
      </c>
      <c r="F2493" s="62">
        <v>109000</v>
      </c>
      <c r="G2493" s="62">
        <f t="shared" si="65"/>
        <v>16350</v>
      </c>
      <c r="H2493" s="71"/>
      <c r="I2493" s="226"/>
    </row>
    <row r="2494" spans="1:16" ht="29.45" customHeight="1" x14ac:dyDescent="0.25">
      <c r="A2494" s="417" t="s">
        <v>275</v>
      </c>
      <c r="B2494" s="418"/>
      <c r="C2494" s="84" t="s">
        <v>158</v>
      </c>
      <c r="D2494" s="65"/>
      <c r="E2494" s="61">
        <v>2</v>
      </c>
      <c r="F2494" s="62">
        <v>80000</v>
      </c>
      <c r="G2494" s="62">
        <f t="shared" si="65"/>
        <v>160000</v>
      </c>
      <c r="H2494" s="15"/>
      <c r="I2494" s="47"/>
    </row>
    <row r="2495" spans="1:16" x14ac:dyDescent="0.25">
      <c r="A2495" s="11" t="s">
        <v>159</v>
      </c>
      <c r="B2495" s="12"/>
      <c r="C2495" s="35" t="s">
        <v>158</v>
      </c>
      <c r="D2495" s="31"/>
      <c r="E2495" s="30">
        <v>1</v>
      </c>
      <c r="F2495" s="14">
        <v>20000</v>
      </c>
      <c r="G2495" s="14">
        <f t="shared" si="65"/>
        <v>20000</v>
      </c>
      <c r="H2495" s="17"/>
      <c r="I2495" s="47"/>
    </row>
    <row r="2496" spans="1:16" x14ac:dyDescent="0.25">
      <c r="A2496" s="291"/>
      <c r="B2496" s="228"/>
      <c r="C2496" s="228"/>
      <c r="D2496" s="228"/>
      <c r="E2496" s="36"/>
      <c r="F2496" s="37" t="s">
        <v>102</v>
      </c>
      <c r="G2496" s="38"/>
      <c r="H2496" s="23">
        <f>SUM(G2487:G2495)</f>
        <v>521889</v>
      </c>
      <c r="I2496" s="220"/>
    </row>
    <row r="2497" spans="1:9" x14ac:dyDescent="0.25">
      <c r="A2497" s="291"/>
      <c r="B2497" s="228"/>
      <c r="C2497" s="228"/>
      <c r="D2497" s="228"/>
      <c r="E2497" s="36"/>
      <c r="F2497" s="39" t="s">
        <v>103</v>
      </c>
      <c r="G2497" s="38"/>
      <c r="H2497" s="23">
        <f>ROUND((D2487*G2487)+(D2488*G2488)+(D2489*G2489)+(D2490*G2490)+(D2491*G2491)+(D2492*G2492)+(D2493*G2493)+(D2494*G2494)+(D2495*G2495),0)</f>
        <v>16257</v>
      </c>
      <c r="I2497" s="220"/>
    </row>
    <row r="2498" spans="1:9" x14ac:dyDescent="0.25">
      <c r="A2498" s="291"/>
      <c r="B2498" s="228"/>
      <c r="C2498" s="228"/>
      <c r="D2498" s="228"/>
      <c r="E2498" s="36"/>
      <c r="F2498" s="20" t="s">
        <v>104</v>
      </c>
      <c r="G2498" s="40"/>
      <c r="H2498" s="23">
        <f>SUM(H2496:H2497)</f>
        <v>538146</v>
      </c>
      <c r="I2498" s="220"/>
    </row>
    <row r="2499" spans="1:9" x14ac:dyDescent="0.25">
      <c r="A2499" s="291" t="s">
        <v>105</v>
      </c>
      <c r="B2499" s="228"/>
      <c r="C2499" s="228"/>
      <c r="D2499" s="228"/>
      <c r="E2499" s="47"/>
      <c r="F2499" s="47"/>
      <c r="G2499" s="47"/>
      <c r="H2499" s="233"/>
      <c r="I2499" s="47"/>
    </row>
    <row r="2500" spans="1:9" x14ac:dyDescent="0.25">
      <c r="A2500" s="24" t="s">
        <v>0</v>
      </c>
      <c r="B2500" s="24"/>
      <c r="C2500" s="8" t="s">
        <v>106</v>
      </c>
      <c r="D2500" s="8" t="s">
        <v>107</v>
      </c>
      <c r="E2500" s="9" t="s">
        <v>108</v>
      </c>
      <c r="F2500" s="9" t="s">
        <v>109</v>
      </c>
      <c r="G2500" s="41" t="s">
        <v>96</v>
      </c>
      <c r="H2500" s="10"/>
      <c r="I2500" s="47"/>
    </row>
    <row r="2501" spans="1:9" x14ac:dyDescent="0.25">
      <c r="A2501" s="18" t="s">
        <v>110</v>
      </c>
      <c r="B2501" s="42"/>
      <c r="C2501" s="13">
        <f>104000+26000</f>
        <v>130000</v>
      </c>
      <c r="D2501" s="13">
        <f>+C2501*0.16</f>
        <v>20800</v>
      </c>
      <c r="E2501" s="14">
        <f>C2501+D2501</f>
        <v>150800</v>
      </c>
      <c r="F2501" s="30">
        <v>2</v>
      </c>
      <c r="G2501" s="14">
        <f>ROUND(E2501*F2501,0)</f>
        <v>301600</v>
      </c>
      <c r="H2501" s="15"/>
      <c r="I2501" s="47"/>
    </row>
    <row r="2502" spans="1:9" x14ac:dyDescent="0.25">
      <c r="A2502" s="18" t="s">
        <v>111</v>
      </c>
      <c r="B2502" s="42"/>
      <c r="C2502" s="13">
        <f>60400+25850</f>
        <v>86250</v>
      </c>
      <c r="D2502" s="13">
        <f>+C2502*0.16</f>
        <v>13800</v>
      </c>
      <c r="E2502" s="14">
        <f>C2502+D2502</f>
        <v>100050</v>
      </c>
      <c r="F2502" s="30">
        <v>1</v>
      </c>
      <c r="G2502" s="14">
        <f>ROUND(E2502*F2502,0)</f>
        <v>100050</v>
      </c>
      <c r="H2502" s="15"/>
      <c r="I2502" s="47"/>
    </row>
    <row r="2503" spans="1:9" hidden="1" x14ac:dyDescent="0.25">
      <c r="A2503" s="18"/>
      <c r="B2503" s="42"/>
      <c r="C2503" s="43"/>
      <c r="D2503" s="43"/>
      <c r="E2503" s="44">
        <f>C2503+D2503</f>
        <v>0</v>
      </c>
      <c r="F2503" s="45"/>
      <c r="G2503" s="14">
        <f>ROUND(E2503*F2503,0)</f>
        <v>0</v>
      </c>
      <c r="H2503" s="17"/>
      <c r="I2503" s="47"/>
    </row>
    <row r="2504" spans="1:9" x14ac:dyDescent="0.25">
      <c r="A2504" s="4"/>
      <c r="B2504" s="4"/>
      <c r="C2504" s="4"/>
      <c r="D2504" s="4"/>
      <c r="E2504" s="46" t="s">
        <v>112</v>
      </c>
      <c r="F2504" s="46"/>
      <c r="G2504" s="46"/>
      <c r="H2504" s="82">
        <f>SUM(G2501:G2503)</f>
        <v>401650</v>
      </c>
      <c r="I2504" s="231"/>
    </row>
    <row r="2505" spans="1:9" x14ac:dyDescent="0.25">
      <c r="A2505" s="4"/>
      <c r="B2505" s="4"/>
      <c r="C2505" s="4"/>
      <c r="D2505" s="4"/>
      <c r="E2505" s="5"/>
      <c r="F2505" s="5"/>
      <c r="G2505" s="5"/>
      <c r="H2505" s="47"/>
      <c r="I2505" s="47"/>
    </row>
    <row r="2506" spans="1:9" x14ac:dyDescent="0.25">
      <c r="A2506" s="18"/>
      <c r="B2506" s="19"/>
      <c r="C2506" s="19"/>
      <c r="D2506" s="19"/>
      <c r="E2506" s="48" t="s">
        <v>113</v>
      </c>
      <c r="F2506" s="48"/>
      <c r="G2506" s="48"/>
      <c r="H2506" s="239">
        <f>H2504+H2498+H2484</f>
        <v>1184871</v>
      </c>
      <c r="I2506" s="222"/>
    </row>
    <row r="2507" spans="1:9" x14ac:dyDescent="0.25">
      <c r="A2507" s="4"/>
      <c r="B2507" s="4"/>
      <c r="C2507" s="4"/>
      <c r="D2507" s="4"/>
      <c r="E2507" s="5"/>
      <c r="F2507" s="5"/>
      <c r="G2507" s="5"/>
      <c r="H2507" s="5"/>
      <c r="I2507" s="47"/>
    </row>
    <row r="2508" spans="1:9" hidden="1" x14ac:dyDescent="0.25">
      <c r="A2508" s="4" t="s">
        <v>114</v>
      </c>
      <c r="B2508" s="4"/>
      <c r="C2508" s="4"/>
      <c r="D2508" s="4"/>
      <c r="E2508" s="5"/>
      <c r="F2508" s="5"/>
      <c r="G2508" s="5"/>
      <c r="H2508" s="5"/>
      <c r="I2508" s="47"/>
    </row>
    <row r="2509" spans="1:9" hidden="1" x14ac:dyDescent="0.25">
      <c r="A2509" s="6" t="s">
        <v>0</v>
      </c>
      <c r="B2509" s="49"/>
      <c r="C2509" s="49"/>
      <c r="D2509" s="49"/>
      <c r="E2509" s="50"/>
      <c r="F2509" s="9" t="s">
        <v>115</v>
      </c>
      <c r="G2509" s="41" t="s">
        <v>116</v>
      </c>
      <c r="H2509" s="235"/>
      <c r="I2509" s="47"/>
    </row>
    <row r="2510" spans="1:9" hidden="1" x14ac:dyDescent="0.25">
      <c r="A2510" s="11" t="s">
        <v>117</v>
      </c>
      <c r="B2510" s="51"/>
      <c r="C2510" s="51"/>
      <c r="D2510" s="51"/>
      <c r="E2510" s="52"/>
      <c r="F2510" s="53"/>
      <c r="G2510" s="14">
        <f>F2510*H2506</f>
        <v>0</v>
      </c>
      <c r="H2510" s="236"/>
      <c r="I2510" s="47"/>
    </row>
    <row r="2511" spans="1:9" hidden="1" x14ac:dyDescent="0.25">
      <c r="A2511" s="11"/>
      <c r="B2511" s="51"/>
      <c r="C2511" s="51"/>
      <c r="D2511" s="51"/>
      <c r="E2511" s="52"/>
      <c r="F2511" s="53"/>
      <c r="G2511" s="14">
        <f>F2511*H2506</f>
        <v>0</v>
      </c>
      <c r="H2511" s="236"/>
      <c r="I2511" s="47"/>
    </row>
    <row r="2512" spans="1:9" hidden="1" x14ac:dyDescent="0.25">
      <c r="A2512" s="11"/>
      <c r="B2512" s="51"/>
      <c r="C2512" s="51"/>
      <c r="D2512" s="51"/>
      <c r="E2512" s="52"/>
      <c r="F2512" s="53"/>
      <c r="G2512" s="14">
        <f>F2512*H2506</f>
        <v>0</v>
      </c>
      <c r="H2512" s="237"/>
      <c r="I2512" s="47"/>
    </row>
    <row r="2513" spans="1:9" hidden="1" x14ac:dyDescent="0.25">
      <c r="A2513" s="4"/>
      <c r="B2513" s="4"/>
      <c r="C2513" s="4"/>
      <c r="D2513" s="4"/>
      <c r="E2513" s="46" t="s">
        <v>118</v>
      </c>
      <c r="F2513" s="46"/>
      <c r="G2513" s="46"/>
      <c r="H2513" s="36">
        <f>SUM(G2510:G2512)</f>
        <v>0</v>
      </c>
      <c r="I2513" s="220"/>
    </row>
    <row r="2514" spans="1:9" ht="15.75" thickBot="1" x14ac:dyDescent="0.3">
      <c r="A2514" s="4"/>
      <c r="B2514" s="4"/>
      <c r="C2514" s="4"/>
      <c r="D2514" s="4"/>
      <c r="E2514" s="5"/>
      <c r="F2514" s="5"/>
      <c r="G2514" s="5"/>
      <c r="H2514" s="5"/>
      <c r="I2514" s="47"/>
    </row>
    <row r="2515" spans="1:9" ht="15.75" thickBot="1" x14ac:dyDescent="0.3">
      <c r="A2515" s="4"/>
      <c r="B2515" s="4"/>
      <c r="C2515" s="4"/>
      <c r="D2515" s="4"/>
      <c r="E2515" s="54"/>
      <c r="F2515" s="54" t="s">
        <v>119</v>
      </c>
      <c r="G2515" s="54"/>
      <c r="H2515" s="240">
        <f>SUM(H2513+H2506)</f>
        <v>1184871</v>
      </c>
      <c r="I2515" s="112"/>
    </row>
    <row r="2516" spans="1:9" x14ac:dyDescent="0.25">
      <c r="A2516" s="4"/>
      <c r="B2516" s="4"/>
      <c r="C2516" s="4"/>
      <c r="D2516" s="4"/>
      <c r="E2516" s="54"/>
      <c r="F2516" s="54"/>
      <c r="G2516" s="54"/>
      <c r="H2516" s="112"/>
      <c r="I2516" s="112"/>
    </row>
    <row r="2517" spans="1:9" x14ac:dyDescent="0.25">
      <c r="A2517" s="4"/>
      <c r="B2517" s="4"/>
      <c r="C2517" s="4"/>
      <c r="D2517" s="4"/>
      <c r="E2517" s="54"/>
      <c r="F2517" s="54"/>
      <c r="G2517" s="54"/>
      <c r="H2517" s="112"/>
      <c r="I2517" s="112"/>
    </row>
    <row r="2518" spans="1:9" x14ac:dyDescent="0.25">
      <c r="A2518" s="4"/>
      <c r="B2518" s="4"/>
      <c r="C2518" s="4"/>
      <c r="D2518" s="4"/>
      <c r="E2518" s="54"/>
      <c r="F2518" s="54"/>
      <c r="G2518" s="54"/>
      <c r="H2518" s="112"/>
      <c r="I2518" s="112"/>
    </row>
    <row r="2519" spans="1:9" x14ac:dyDescent="0.25">
      <c r="A2519" s="4"/>
      <c r="B2519" s="4"/>
      <c r="C2519" s="4"/>
      <c r="D2519" s="4"/>
      <c r="E2519" s="54"/>
      <c r="F2519" s="54"/>
      <c r="G2519" s="54"/>
      <c r="H2519" s="112"/>
      <c r="I2519" s="112"/>
    </row>
    <row r="2520" spans="1:9" x14ac:dyDescent="0.25">
      <c r="A2520" s="4"/>
      <c r="B2520" s="4"/>
      <c r="C2520" s="4"/>
      <c r="D2520" s="4"/>
      <c r="E2520" s="54"/>
      <c r="F2520" s="54"/>
      <c r="G2520" s="54"/>
      <c r="H2520" s="112"/>
      <c r="I2520" s="112"/>
    </row>
    <row r="2521" spans="1:9" x14ac:dyDescent="0.25">
      <c r="A2521" s="4"/>
      <c r="B2521" s="4"/>
      <c r="C2521" s="4"/>
      <c r="D2521" s="4"/>
      <c r="E2521" s="54"/>
      <c r="F2521" s="54"/>
      <c r="G2521" s="54"/>
      <c r="H2521" s="112"/>
      <c r="I2521" s="112"/>
    </row>
    <row r="2522" spans="1:9" x14ac:dyDescent="0.25">
      <c r="A2522" s="4"/>
      <c r="B2522" s="4"/>
      <c r="C2522" s="4"/>
      <c r="D2522" s="4"/>
      <c r="E2522" s="54"/>
      <c r="F2522" s="54"/>
      <c r="G2522" s="54"/>
      <c r="H2522" s="112"/>
      <c r="I2522" s="112"/>
    </row>
    <row r="2523" spans="1:9" x14ac:dyDescent="0.25">
      <c r="A2523" s="4"/>
      <c r="B2523" s="4"/>
      <c r="C2523" s="4"/>
      <c r="D2523" s="4"/>
      <c r="E2523" s="54"/>
      <c r="F2523" s="54"/>
      <c r="G2523" s="54"/>
      <c r="H2523" s="112"/>
      <c r="I2523" s="112"/>
    </row>
    <row r="2527" spans="1:9" x14ac:dyDescent="0.25">
      <c r="A2527" s="412" t="s">
        <v>79</v>
      </c>
      <c r="B2527" s="412"/>
      <c r="C2527" s="412"/>
      <c r="D2527" s="412"/>
      <c r="E2527" s="412"/>
      <c r="F2527" s="412"/>
      <c r="G2527" s="412"/>
      <c r="H2527" s="412"/>
      <c r="I2527" s="250"/>
    </row>
    <row r="2528" spans="1:9" x14ac:dyDescent="0.25">
      <c r="A2528" s="4"/>
      <c r="B2528" s="4"/>
      <c r="C2528" s="4"/>
      <c r="D2528" s="4"/>
      <c r="E2528" s="5"/>
      <c r="F2528" s="5"/>
      <c r="G2528" s="411" t="s">
        <v>326</v>
      </c>
      <c r="H2528" s="411"/>
      <c r="I2528" s="251"/>
    </row>
    <row r="2529" spans="1:16" ht="55.9" customHeight="1" x14ac:dyDescent="0.25">
      <c r="A2529" s="410" t="s">
        <v>398</v>
      </c>
      <c r="B2529" s="410"/>
      <c r="C2529" s="410"/>
      <c r="D2529" s="410"/>
      <c r="E2529" s="410"/>
      <c r="F2529" s="410"/>
      <c r="G2529" s="410"/>
      <c r="H2529" s="410"/>
      <c r="I2529" s="254"/>
    </row>
    <row r="2530" spans="1:16" x14ac:dyDescent="0.25">
      <c r="A2530" s="4"/>
      <c r="B2530" s="4"/>
      <c r="C2530" s="4"/>
      <c r="D2530" s="4"/>
      <c r="E2530" s="5"/>
      <c r="F2530" s="5"/>
      <c r="G2530" s="414" t="s">
        <v>215</v>
      </c>
      <c r="H2530" s="414"/>
      <c r="I2530" s="253"/>
    </row>
    <row r="2531" spans="1:16" x14ac:dyDescent="0.25">
      <c r="A2531" s="4" t="s">
        <v>82</v>
      </c>
      <c r="B2531" s="4"/>
      <c r="C2531" s="4"/>
      <c r="D2531" s="4"/>
      <c r="E2531" s="5"/>
      <c r="F2531" s="5"/>
      <c r="G2531" s="5"/>
      <c r="H2531" s="5"/>
      <c r="I2531" s="47"/>
    </row>
    <row r="2532" spans="1:16" x14ac:dyDescent="0.25">
      <c r="A2532" s="6" t="s">
        <v>0</v>
      </c>
      <c r="B2532" s="7"/>
      <c r="C2532" s="8" t="s">
        <v>83</v>
      </c>
      <c r="D2532" s="8" t="s">
        <v>84</v>
      </c>
      <c r="E2532" s="9" t="s">
        <v>85</v>
      </c>
      <c r="F2532" s="9" t="s">
        <v>86</v>
      </c>
      <c r="G2532" s="9" t="s">
        <v>87</v>
      </c>
      <c r="H2532" s="10"/>
      <c r="I2532" s="47"/>
    </row>
    <row r="2533" spans="1:16" x14ac:dyDescent="0.25">
      <c r="A2533" s="11" t="s">
        <v>88</v>
      </c>
      <c r="B2533" s="12"/>
      <c r="C2533" s="13"/>
      <c r="D2533" s="13"/>
      <c r="E2533" s="14"/>
      <c r="F2533" s="14"/>
      <c r="G2533" s="14">
        <f>ROUND(H2557*0.05,0)+8-16</f>
        <v>19556</v>
      </c>
      <c r="H2533" s="15"/>
      <c r="I2533" s="47"/>
    </row>
    <row r="2534" spans="1:16" x14ac:dyDescent="0.25">
      <c r="A2534" s="11" t="s">
        <v>327</v>
      </c>
      <c r="B2534" s="12"/>
      <c r="C2534" s="13"/>
      <c r="D2534" s="13"/>
      <c r="E2534" s="14">
        <v>350000</v>
      </c>
      <c r="F2534" s="14">
        <v>1</v>
      </c>
      <c r="G2534" s="14">
        <f>ROUND(E2534*F2534,0)</f>
        <v>350000</v>
      </c>
      <c r="H2534" s="15"/>
      <c r="I2534" s="47"/>
    </row>
    <row r="2535" spans="1:16" x14ac:dyDescent="0.25">
      <c r="A2535" s="11" t="s">
        <v>328</v>
      </c>
      <c r="B2535" s="11"/>
      <c r="C2535" s="13"/>
      <c r="D2535" s="13"/>
      <c r="E2535" s="14">
        <v>50000</v>
      </c>
      <c r="F2535" s="14">
        <v>4</v>
      </c>
      <c r="G2535" s="14">
        <f t="shared" ref="G2535:G2536" si="66">ROUND(E2535*F2535,0)</f>
        <v>200000</v>
      </c>
      <c r="H2535" s="15"/>
      <c r="I2535" s="47"/>
    </row>
    <row r="2536" spans="1:16" hidden="1" x14ac:dyDescent="0.25">
      <c r="A2536" s="415"/>
      <c r="B2536" s="416"/>
      <c r="C2536" s="13"/>
      <c r="D2536" s="13"/>
      <c r="E2536" s="14"/>
      <c r="F2536" s="14"/>
      <c r="G2536" s="14">
        <f t="shared" si="66"/>
        <v>0</v>
      </c>
      <c r="H2536" s="58"/>
      <c r="I2536" s="224"/>
    </row>
    <row r="2537" spans="1:16" x14ac:dyDescent="0.25">
      <c r="A2537" s="18"/>
      <c r="B2537" s="19"/>
      <c r="C2537" s="19"/>
      <c r="D2537" s="19"/>
      <c r="E2537" s="20"/>
      <c r="F2537" s="21" t="s">
        <v>90</v>
      </c>
      <c r="G2537" s="22"/>
      <c r="H2537" s="23">
        <f>SUM(G2533:G2536)</f>
        <v>569556</v>
      </c>
      <c r="I2537" s="220"/>
    </row>
    <row r="2538" spans="1:16" x14ac:dyDescent="0.25">
      <c r="A2538" s="291" t="s">
        <v>91</v>
      </c>
      <c r="B2538" s="228"/>
      <c r="C2538" s="228"/>
      <c r="D2538" s="228"/>
      <c r="E2538" s="47"/>
      <c r="F2538" s="47"/>
      <c r="G2538" s="47"/>
      <c r="H2538" s="233"/>
      <c r="I2538" s="47"/>
    </row>
    <row r="2539" spans="1:16" x14ac:dyDescent="0.25">
      <c r="A2539" s="24" t="s">
        <v>0</v>
      </c>
      <c r="B2539" s="24"/>
      <c r="C2539" s="8" t="s">
        <v>92</v>
      </c>
      <c r="D2539" s="8" t="s">
        <v>93</v>
      </c>
      <c r="E2539" s="9" t="s">
        <v>94</v>
      </c>
      <c r="F2539" s="9" t="s">
        <v>95</v>
      </c>
      <c r="G2539" s="25" t="s">
        <v>96</v>
      </c>
      <c r="H2539" s="10"/>
      <c r="I2539" s="47"/>
    </row>
    <row r="2540" spans="1:16" ht="28.9" customHeight="1" x14ac:dyDescent="0.25">
      <c r="A2540" s="419" t="s">
        <v>477</v>
      </c>
      <c r="B2540" s="419"/>
      <c r="C2540" s="59" t="s">
        <v>212</v>
      </c>
      <c r="D2540" s="60">
        <v>0.05</v>
      </c>
      <c r="E2540" s="61">
        <f>0.3*0.4*0.3*3</f>
        <v>0.10799999999999998</v>
      </c>
      <c r="F2540" s="62">
        <f>+$F$1884</f>
        <v>2838505</v>
      </c>
      <c r="G2540" s="62">
        <f t="shared" ref="G2540:G2548" si="67">ROUND(E2540*F2540,0)</f>
        <v>306559</v>
      </c>
      <c r="H2540" s="15"/>
      <c r="I2540" s="47"/>
      <c r="L2540" s="63"/>
      <c r="M2540" s="63"/>
      <c r="N2540" s="63"/>
      <c r="O2540" s="63"/>
      <c r="P2540" s="63"/>
    </row>
    <row r="2541" spans="1:16" ht="28.9" customHeight="1" x14ac:dyDescent="0.25">
      <c r="A2541" s="419" t="s">
        <v>153</v>
      </c>
      <c r="B2541" s="419"/>
      <c r="C2541" s="59" t="s">
        <v>154</v>
      </c>
      <c r="D2541" s="65">
        <v>0.05</v>
      </c>
      <c r="E2541" s="61">
        <v>0.5</v>
      </c>
      <c r="F2541" s="62">
        <f>ROUND(146000/3,0)</f>
        <v>48667</v>
      </c>
      <c r="G2541" s="62">
        <f t="shared" si="67"/>
        <v>24334</v>
      </c>
      <c r="H2541" s="15"/>
      <c r="I2541" s="47"/>
    </row>
    <row r="2542" spans="1:16" ht="45.6" customHeight="1" x14ac:dyDescent="0.25">
      <c r="A2542" s="419" t="s">
        <v>155</v>
      </c>
      <c r="B2542" s="419"/>
      <c r="C2542" s="59" t="s">
        <v>140</v>
      </c>
      <c r="D2542" s="60">
        <v>0.05</v>
      </c>
      <c r="E2542" s="66">
        <v>0.75</v>
      </c>
      <c r="F2542" s="67">
        <v>205000</v>
      </c>
      <c r="G2542" s="67">
        <f t="shared" si="67"/>
        <v>153750</v>
      </c>
      <c r="H2542" s="68"/>
      <c r="I2542" s="225"/>
    </row>
    <row r="2543" spans="1:16" x14ac:dyDescent="0.25">
      <c r="A2543" s="419" t="s">
        <v>141</v>
      </c>
      <c r="B2543" s="419"/>
      <c r="C2543" s="28" t="s">
        <v>140</v>
      </c>
      <c r="D2543" s="31"/>
      <c r="E2543" s="30">
        <v>0.3</v>
      </c>
      <c r="F2543" s="14">
        <v>58000</v>
      </c>
      <c r="G2543" s="14">
        <f t="shared" si="67"/>
        <v>17400</v>
      </c>
      <c r="H2543" s="15"/>
      <c r="I2543" s="47"/>
    </row>
    <row r="2544" spans="1:16" x14ac:dyDescent="0.25">
      <c r="A2544" s="419" t="s">
        <v>138</v>
      </c>
      <c r="B2544" s="419"/>
      <c r="C2544" s="28" t="s">
        <v>18</v>
      </c>
      <c r="D2544" s="34"/>
      <c r="E2544" s="30">
        <v>2</v>
      </c>
      <c r="F2544" s="14">
        <v>1900</v>
      </c>
      <c r="G2544" s="14">
        <f t="shared" si="67"/>
        <v>3800</v>
      </c>
      <c r="H2544" s="15"/>
      <c r="I2544" s="47"/>
    </row>
    <row r="2545" spans="1:9" x14ac:dyDescent="0.25">
      <c r="A2545" s="419" t="s">
        <v>139</v>
      </c>
      <c r="B2545" s="419"/>
      <c r="C2545" s="28" t="s">
        <v>18</v>
      </c>
      <c r="D2545" s="31"/>
      <c r="E2545" s="30">
        <v>0.5</v>
      </c>
      <c r="F2545" s="14">
        <v>8500</v>
      </c>
      <c r="G2545" s="14">
        <f t="shared" si="67"/>
        <v>4250</v>
      </c>
      <c r="H2545" s="15"/>
      <c r="I2545" s="47"/>
    </row>
    <row r="2546" spans="1:9" ht="22.15" customHeight="1" x14ac:dyDescent="0.25">
      <c r="A2546" s="417" t="s">
        <v>156</v>
      </c>
      <c r="B2546" s="418"/>
      <c r="C2546" s="59" t="s">
        <v>140</v>
      </c>
      <c r="D2546" s="70">
        <v>0.05</v>
      </c>
      <c r="E2546" s="61">
        <v>0.3</v>
      </c>
      <c r="F2546" s="62">
        <v>109000</v>
      </c>
      <c r="G2546" s="62">
        <f t="shared" si="67"/>
        <v>32700</v>
      </c>
      <c r="H2546" s="71"/>
      <c r="I2546" s="226"/>
    </row>
    <row r="2547" spans="1:9" ht="30" customHeight="1" x14ac:dyDescent="0.25">
      <c r="A2547" s="417" t="s">
        <v>275</v>
      </c>
      <c r="B2547" s="418"/>
      <c r="C2547" s="84" t="s">
        <v>158</v>
      </c>
      <c r="D2547" s="65"/>
      <c r="E2547" s="61">
        <v>3</v>
      </c>
      <c r="F2547" s="62">
        <v>80000</v>
      </c>
      <c r="G2547" s="62">
        <f t="shared" si="67"/>
        <v>240000</v>
      </c>
      <c r="H2547" s="15"/>
      <c r="I2547" s="47"/>
    </row>
    <row r="2548" spans="1:9" x14ac:dyDescent="0.25">
      <c r="A2548" s="11" t="s">
        <v>159</v>
      </c>
      <c r="B2548" s="12"/>
      <c r="C2548" s="35" t="s">
        <v>158</v>
      </c>
      <c r="D2548" s="31"/>
      <c r="E2548" s="30">
        <v>1</v>
      </c>
      <c r="F2548" s="14">
        <v>30000</v>
      </c>
      <c r="G2548" s="14">
        <f t="shared" si="67"/>
        <v>30000</v>
      </c>
      <c r="H2548" s="17"/>
      <c r="I2548" s="47"/>
    </row>
    <row r="2549" spans="1:9" x14ac:dyDescent="0.25">
      <c r="A2549" s="291"/>
      <c r="B2549" s="228"/>
      <c r="C2549" s="228"/>
      <c r="D2549" s="228"/>
      <c r="E2549" s="36"/>
      <c r="F2549" s="37" t="s">
        <v>102</v>
      </c>
      <c r="G2549" s="38"/>
      <c r="H2549" s="23">
        <f>SUM(G2540:G2548)</f>
        <v>812793</v>
      </c>
      <c r="I2549" s="220"/>
    </row>
    <row r="2550" spans="1:9" x14ac:dyDescent="0.25">
      <c r="A2550" s="291"/>
      <c r="B2550" s="228"/>
      <c r="C2550" s="228"/>
      <c r="D2550" s="228"/>
      <c r="E2550" s="36"/>
      <c r="F2550" s="39" t="s">
        <v>103</v>
      </c>
      <c r="G2550" s="38"/>
      <c r="H2550" s="23">
        <f>ROUND((D2540*G2540)+(D2541*G2541)+(D2542*G2542)+(D2543*G2543)+(D2544*G2544)+(D2545*G2545)+(D2546*G2546)+(D2547*G2547)+(D2548*G2548),0)</f>
        <v>25867</v>
      </c>
      <c r="I2550" s="220"/>
    </row>
    <row r="2551" spans="1:9" x14ac:dyDescent="0.25">
      <c r="A2551" s="291"/>
      <c r="B2551" s="228"/>
      <c r="C2551" s="228"/>
      <c r="D2551" s="228"/>
      <c r="E2551" s="36"/>
      <c r="F2551" s="20" t="s">
        <v>104</v>
      </c>
      <c r="G2551" s="40"/>
      <c r="H2551" s="23">
        <f>SUM(H2549:H2550)</f>
        <v>838660</v>
      </c>
      <c r="I2551" s="220"/>
    </row>
    <row r="2552" spans="1:9" x14ac:dyDescent="0.25">
      <c r="A2552" s="291" t="s">
        <v>105</v>
      </c>
      <c r="B2552" s="228"/>
      <c r="C2552" s="228"/>
      <c r="D2552" s="228"/>
      <c r="E2552" s="47"/>
      <c r="F2552" s="47"/>
      <c r="G2552" s="47"/>
      <c r="H2552" s="233"/>
      <c r="I2552" s="47"/>
    </row>
    <row r="2553" spans="1:9" x14ac:dyDescent="0.25">
      <c r="A2553" s="24" t="s">
        <v>0</v>
      </c>
      <c r="B2553" s="24"/>
      <c r="C2553" s="8" t="s">
        <v>106</v>
      </c>
      <c r="D2553" s="8" t="s">
        <v>107</v>
      </c>
      <c r="E2553" s="9" t="s">
        <v>108</v>
      </c>
      <c r="F2553" s="9" t="s">
        <v>109</v>
      </c>
      <c r="G2553" s="41" t="s">
        <v>96</v>
      </c>
      <c r="H2553" s="10"/>
      <c r="I2553" s="47"/>
    </row>
    <row r="2554" spans="1:9" x14ac:dyDescent="0.25">
      <c r="A2554" s="18" t="s">
        <v>110</v>
      </c>
      <c r="B2554" s="42"/>
      <c r="C2554" s="13">
        <f>104000+26000</f>
        <v>130000</v>
      </c>
      <c r="D2554" s="13">
        <f>+C2554*0.16</f>
        <v>20800</v>
      </c>
      <c r="E2554" s="14">
        <f>C2554+D2554</f>
        <v>150800</v>
      </c>
      <c r="F2554" s="30">
        <v>1.5</v>
      </c>
      <c r="G2554" s="14">
        <f>ROUND(E2554*F2554,0)</f>
        <v>226200</v>
      </c>
      <c r="H2554" s="15"/>
      <c r="I2554" s="47"/>
    </row>
    <row r="2555" spans="1:9" x14ac:dyDescent="0.25">
      <c r="A2555" s="18" t="s">
        <v>111</v>
      </c>
      <c r="B2555" s="42"/>
      <c r="C2555" s="13">
        <f>60400+25850</f>
        <v>86250</v>
      </c>
      <c r="D2555" s="13">
        <f>+C2555*0.16</f>
        <v>13800</v>
      </c>
      <c r="E2555" s="14">
        <f>C2555+D2555</f>
        <v>100050</v>
      </c>
      <c r="F2555" s="30">
        <v>1.65</v>
      </c>
      <c r="G2555" s="14">
        <f>ROUND(E2555*F2555,0)</f>
        <v>165083</v>
      </c>
      <c r="H2555" s="15"/>
      <c r="I2555" s="47"/>
    </row>
    <row r="2556" spans="1:9" x14ac:dyDescent="0.25">
      <c r="A2556" s="18"/>
      <c r="B2556" s="42"/>
      <c r="C2556" s="43"/>
      <c r="D2556" s="43"/>
      <c r="E2556" s="44">
        <f>C2556+D2556</f>
        <v>0</v>
      </c>
      <c r="F2556" s="45"/>
      <c r="G2556" s="14">
        <f>ROUND(E2556*F2556,0)</f>
        <v>0</v>
      </c>
      <c r="H2556" s="17"/>
      <c r="I2556" s="47"/>
    </row>
    <row r="2557" spans="1:9" x14ac:dyDescent="0.25">
      <c r="A2557" s="4"/>
      <c r="B2557" s="4"/>
      <c r="C2557" s="4"/>
      <c r="D2557" s="4"/>
      <c r="E2557" s="46" t="s">
        <v>112</v>
      </c>
      <c r="F2557" s="46"/>
      <c r="G2557" s="46"/>
      <c r="H2557" s="238">
        <f>SUM(G2554:G2556)</f>
        <v>391283</v>
      </c>
      <c r="I2557" s="221"/>
    </row>
    <row r="2558" spans="1:9" x14ac:dyDescent="0.25">
      <c r="A2558" s="4"/>
      <c r="B2558" s="4"/>
      <c r="C2558" s="4"/>
      <c r="D2558" s="4"/>
      <c r="E2558" s="5"/>
      <c r="F2558" s="5"/>
      <c r="G2558" s="5"/>
      <c r="H2558" s="47"/>
      <c r="I2558" s="47"/>
    </row>
    <row r="2559" spans="1:9" x14ac:dyDescent="0.25">
      <c r="A2559" s="18"/>
      <c r="B2559" s="19"/>
      <c r="C2559" s="19"/>
      <c r="D2559" s="19"/>
      <c r="E2559" s="48" t="s">
        <v>113</v>
      </c>
      <c r="F2559" s="48"/>
      <c r="G2559" s="48"/>
      <c r="H2559" s="239">
        <f>H2557+H2551+H2537</f>
        <v>1799499</v>
      </c>
      <c r="I2559" s="222"/>
    </row>
    <row r="2560" spans="1:9" x14ac:dyDescent="0.25">
      <c r="A2560" s="4"/>
      <c r="B2560" s="4"/>
      <c r="C2560" s="4"/>
      <c r="D2560" s="4"/>
      <c r="E2560" s="5"/>
      <c r="F2560" s="5"/>
      <c r="G2560" s="5"/>
      <c r="H2560" s="5"/>
      <c r="I2560" s="47"/>
    </row>
    <row r="2561" spans="1:9" x14ac:dyDescent="0.25">
      <c r="A2561" s="4" t="s">
        <v>114</v>
      </c>
      <c r="B2561" s="4"/>
      <c r="C2561" s="4"/>
      <c r="D2561" s="4"/>
      <c r="E2561" s="5"/>
      <c r="F2561" s="5"/>
      <c r="G2561" s="5"/>
      <c r="H2561" s="5"/>
      <c r="I2561" s="47"/>
    </row>
    <row r="2562" spans="1:9" x14ac:dyDescent="0.25">
      <c r="A2562" s="6" t="s">
        <v>0</v>
      </c>
      <c r="B2562" s="49"/>
      <c r="C2562" s="49"/>
      <c r="D2562" s="49"/>
      <c r="E2562" s="50"/>
      <c r="F2562" s="9" t="s">
        <v>115</v>
      </c>
      <c r="G2562" s="41" t="s">
        <v>116</v>
      </c>
      <c r="H2562" s="235"/>
      <c r="I2562" s="47"/>
    </row>
    <row r="2563" spans="1:9" x14ac:dyDescent="0.25">
      <c r="A2563" s="11" t="s">
        <v>117</v>
      </c>
      <c r="B2563" s="51"/>
      <c r="C2563" s="51"/>
      <c r="D2563" s="51"/>
      <c r="E2563" s="52"/>
      <c r="F2563" s="53"/>
      <c r="G2563" s="14">
        <f>F2563*H2559</f>
        <v>0</v>
      </c>
      <c r="H2563" s="236"/>
      <c r="I2563" s="47"/>
    </row>
    <row r="2564" spans="1:9" hidden="1" x14ac:dyDescent="0.25">
      <c r="A2564" s="11"/>
      <c r="B2564" s="51"/>
      <c r="C2564" s="51"/>
      <c r="D2564" s="51"/>
      <c r="E2564" s="52"/>
      <c r="F2564" s="53"/>
      <c r="G2564" s="14">
        <f>F2564*H2559</f>
        <v>0</v>
      </c>
      <c r="H2564" s="236"/>
      <c r="I2564" s="47"/>
    </row>
    <row r="2565" spans="1:9" hidden="1" x14ac:dyDescent="0.25">
      <c r="A2565" s="11"/>
      <c r="B2565" s="51"/>
      <c r="C2565" s="51"/>
      <c r="D2565" s="51"/>
      <c r="E2565" s="52"/>
      <c r="F2565" s="53"/>
      <c r="G2565" s="14">
        <f>F2565*H2559</f>
        <v>0</v>
      </c>
      <c r="H2565" s="237"/>
      <c r="I2565" s="47"/>
    </row>
    <row r="2566" spans="1:9" x14ac:dyDescent="0.25">
      <c r="A2566" s="4"/>
      <c r="B2566" s="4"/>
      <c r="C2566" s="4"/>
      <c r="D2566" s="4"/>
      <c r="E2566" s="46" t="s">
        <v>118</v>
      </c>
      <c r="F2566" s="46"/>
      <c r="G2566" s="46"/>
      <c r="H2566" s="36">
        <f>SUM(G2563:G2565)</f>
        <v>0</v>
      </c>
      <c r="I2566" s="220"/>
    </row>
    <row r="2567" spans="1:9" ht="15.75" thickBot="1" x14ac:dyDescent="0.3">
      <c r="A2567" s="4"/>
      <c r="B2567" s="4"/>
      <c r="C2567" s="4"/>
      <c r="D2567" s="4"/>
      <c r="E2567" s="5"/>
      <c r="F2567" s="5"/>
      <c r="G2567" s="5"/>
      <c r="H2567" s="5"/>
      <c r="I2567" s="47"/>
    </row>
    <row r="2568" spans="1:9" ht="15.75" thickBot="1" x14ac:dyDescent="0.3">
      <c r="A2568" s="4"/>
      <c r="B2568" s="4"/>
      <c r="C2568" s="4"/>
      <c r="D2568" s="4"/>
      <c r="E2568" s="54"/>
      <c r="F2568" s="54" t="s">
        <v>119</v>
      </c>
      <c r="G2568" s="54"/>
      <c r="H2568" s="240">
        <f>SUM(H2566+H2559)</f>
        <v>1799499</v>
      </c>
      <c r="I2568" s="112"/>
    </row>
    <row r="2569" spans="1:9" x14ac:dyDescent="0.25">
      <c r="A2569" s="4"/>
      <c r="B2569" s="4"/>
      <c r="C2569" s="4"/>
      <c r="D2569" s="4"/>
      <c r="E2569" s="54"/>
      <c r="F2569" s="54"/>
      <c r="G2569" s="54"/>
      <c r="H2569" s="112"/>
      <c r="I2569" s="112"/>
    </row>
    <row r="2570" spans="1:9" x14ac:dyDescent="0.25">
      <c r="A2570" s="4"/>
      <c r="B2570" s="4"/>
      <c r="C2570" s="4"/>
      <c r="D2570" s="4"/>
      <c r="E2570" s="54"/>
      <c r="F2570" s="54"/>
      <c r="G2570" s="54"/>
      <c r="H2570" s="112"/>
      <c r="I2570" s="112"/>
    </row>
    <row r="2571" spans="1:9" x14ac:dyDescent="0.25">
      <c r="A2571" s="4"/>
      <c r="B2571" s="4"/>
      <c r="C2571" s="4"/>
      <c r="D2571" s="4"/>
      <c r="E2571" s="54"/>
      <c r="F2571" s="54"/>
      <c r="G2571" s="54"/>
      <c r="H2571" s="112"/>
      <c r="I2571" s="112"/>
    </row>
    <row r="2572" spans="1:9" x14ac:dyDescent="0.25">
      <c r="A2572" s="4"/>
      <c r="B2572" s="4"/>
      <c r="C2572" s="4"/>
      <c r="D2572" s="4"/>
      <c r="E2572" s="54"/>
      <c r="F2572" s="54"/>
      <c r="G2572" s="54"/>
      <c r="H2572" s="112"/>
      <c r="I2572" s="112"/>
    </row>
    <row r="2573" spans="1:9" x14ac:dyDescent="0.25">
      <c r="A2573" s="4"/>
      <c r="B2573" s="4"/>
      <c r="C2573" s="4"/>
      <c r="D2573" s="4"/>
      <c r="E2573" s="54"/>
      <c r="F2573" s="54"/>
      <c r="G2573" s="54"/>
      <c r="H2573" s="112"/>
      <c r="I2573" s="112"/>
    </row>
    <row r="2574" spans="1:9" x14ac:dyDescent="0.25">
      <c r="A2574" s="4"/>
      <c r="B2574" s="4"/>
      <c r="C2574" s="4"/>
      <c r="D2574" s="4"/>
      <c r="E2574" s="54"/>
      <c r="F2574" s="54"/>
      <c r="G2574" s="54"/>
      <c r="H2574" s="112"/>
      <c r="I2574" s="112"/>
    </row>
    <row r="2575" spans="1:9" x14ac:dyDescent="0.25">
      <c r="A2575" s="4"/>
      <c r="B2575" s="4"/>
      <c r="C2575" s="4"/>
      <c r="D2575" s="4"/>
      <c r="E2575" s="54"/>
      <c r="F2575" s="54"/>
      <c r="G2575" s="54"/>
      <c r="H2575" s="112"/>
      <c r="I2575" s="112"/>
    </row>
    <row r="2576" spans="1:9" x14ac:dyDescent="0.25">
      <c r="A2576" s="4"/>
      <c r="B2576" s="4"/>
      <c r="C2576" s="4"/>
      <c r="D2576" s="4"/>
      <c r="E2576" s="54"/>
      <c r="F2576" s="54"/>
      <c r="G2576" s="54"/>
      <c r="H2576" s="112"/>
      <c r="I2576" s="112"/>
    </row>
    <row r="2577" spans="1:9" x14ac:dyDescent="0.25">
      <c r="A2577" s="4"/>
      <c r="B2577" s="4"/>
      <c r="C2577" s="4"/>
      <c r="D2577" s="4"/>
      <c r="E2577" s="54"/>
      <c r="F2577" s="54"/>
      <c r="G2577" s="54"/>
      <c r="H2577" s="112"/>
      <c r="I2577" s="112"/>
    </row>
    <row r="2578" spans="1:9" x14ac:dyDescent="0.25">
      <c r="A2578" s="4"/>
      <c r="B2578" s="4"/>
      <c r="C2578" s="4"/>
      <c r="D2578" s="4"/>
      <c r="E2578" s="54"/>
      <c r="F2578" s="54"/>
      <c r="G2578" s="54"/>
      <c r="H2578" s="112"/>
      <c r="I2578" s="112"/>
    </row>
    <row r="2579" spans="1:9" x14ac:dyDescent="0.25">
      <c r="A2579" s="4"/>
      <c r="B2579" s="4"/>
      <c r="C2579" s="4"/>
      <c r="D2579" s="4"/>
      <c r="E2579" s="54"/>
      <c r="F2579" s="54"/>
      <c r="G2579" s="54"/>
      <c r="H2579" s="112"/>
      <c r="I2579" s="112"/>
    </row>
    <row r="2580" spans="1:9" x14ac:dyDescent="0.25">
      <c r="A2580" s="4"/>
      <c r="B2580" s="4"/>
      <c r="C2580" s="4"/>
      <c r="D2580" s="4"/>
      <c r="E2580" s="54"/>
      <c r="F2580" s="54"/>
      <c r="G2580" s="54"/>
      <c r="H2580" s="112"/>
      <c r="I2580" s="112"/>
    </row>
    <row r="2581" spans="1:9" x14ac:dyDescent="0.25">
      <c r="A2581" s="4"/>
      <c r="B2581" s="4"/>
      <c r="C2581" s="4"/>
      <c r="D2581" s="4"/>
      <c r="E2581" s="54"/>
      <c r="F2581" s="54"/>
      <c r="G2581" s="54"/>
      <c r="H2581" s="112"/>
      <c r="I2581" s="112"/>
    </row>
    <row r="2582" spans="1:9" x14ac:dyDescent="0.25">
      <c r="A2582" s="4"/>
      <c r="B2582" s="4"/>
      <c r="C2582" s="4"/>
      <c r="D2582" s="4"/>
      <c r="E2582" s="54"/>
      <c r="F2582" s="54"/>
      <c r="G2582" s="54"/>
      <c r="H2582" s="112"/>
      <c r="I2582" s="112"/>
    </row>
    <row r="2583" spans="1:9" x14ac:dyDescent="0.25">
      <c r="A2583" s="4"/>
      <c r="B2583" s="4"/>
      <c r="C2583" s="4"/>
      <c r="D2583" s="4"/>
      <c r="E2583" s="54"/>
      <c r="F2583" s="54"/>
      <c r="G2583" s="54"/>
      <c r="H2583" s="112"/>
      <c r="I2583" s="112"/>
    </row>
    <row r="2584" spans="1:9" x14ac:dyDescent="0.25">
      <c r="A2584" s="4"/>
      <c r="B2584" s="4"/>
      <c r="C2584" s="4"/>
      <c r="D2584" s="4"/>
      <c r="E2584" s="54"/>
      <c r="F2584" s="54"/>
      <c r="G2584" s="54"/>
      <c r="H2584" s="112"/>
      <c r="I2584" s="112"/>
    </row>
    <row r="2585" spans="1:9" x14ac:dyDescent="0.25">
      <c r="A2585" s="4"/>
      <c r="B2585" s="4"/>
      <c r="C2585" s="4"/>
      <c r="D2585" s="4"/>
      <c r="E2585" s="54"/>
      <c r="F2585" s="54"/>
      <c r="G2585" s="54"/>
      <c r="H2585" s="112"/>
      <c r="I2585" s="112"/>
    </row>
    <row r="2586" spans="1:9" x14ac:dyDescent="0.25">
      <c r="A2586" s="4"/>
      <c r="B2586" s="4"/>
      <c r="C2586" s="4"/>
      <c r="D2586" s="4"/>
      <c r="E2586" s="54"/>
      <c r="F2586" s="54"/>
      <c r="G2586" s="54"/>
      <c r="H2586" s="112"/>
      <c r="I2586" s="112"/>
    </row>
    <row r="2587" spans="1:9" x14ac:dyDescent="0.25">
      <c r="A2587" s="4"/>
      <c r="B2587" s="4"/>
      <c r="C2587" s="4"/>
      <c r="D2587" s="4"/>
      <c r="E2587" s="54"/>
      <c r="F2587" s="54"/>
      <c r="G2587" s="54"/>
      <c r="H2587" s="112"/>
      <c r="I2587" s="112"/>
    </row>
    <row r="2588" spans="1:9" x14ac:dyDescent="0.25">
      <c r="A2588" s="4"/>
      <c r="B2588" s="4"/>
      <c r="C2588" s="4"/>
      <c r="D2588" s="4"/>
      <c r="E2588" s="54"/>
      <c r="F2588" s="54"/>
      <c r="G2588" s="54"/>
      <c r="H2588" s="112"/>
      <c r="I2588" s="112"/>
    </row>
    <row r="2589" spans="1:9" x14ac:dyDescent="0.25">
      <c r="A2589" s="4"/>
      <c r="B2589" s="4"/>
      <c r="C2589" s="4"/>
      <c r="D2589" s="4"/>
      <c r="E2589" s="54"/>
      <c r="F2589" s="54"/>
      <c r="G2589" s="54"/>
      <c r="H2589" s="112"/>
      <c r="I2589" s="112"/>
    </row>
    <row r="2590" spans="1:9" x14ac:dyDescent="0.25">
      <c r="A2590" s="4"/>
      <c r="B2590" s="4"/>
      <c r="C2590" s="4"/>
      <c r="D2590" s="4"/>
      <c r="E2590" s="54"/>
      <c r="F2590" s="54"/>
      <c r="G2590" s="54"/>
      <c r="H2590" s="112"/>
      <c r="I2590" s="112"/>
    </row>
    <row r="2591" spans="1:9" x14ac:dyDescent="0.25">
      <c r="A2591" s="4"/>
      <c r="B2591" s="4"/>
      <c r="C2591" s="4"/>
      <c r="D2591" s="4"/>
      <c r="E2591" s="54"/>
      <c r="F2591" s="54"/>
      <c r="G2591" s="54"/>
      <c r="H2591" s="112"/>
      <c r="I2591" s="112"/>
    </row>
    <row r="2592" spans="1:9" x14ac:dyDescent="0.25">
      <c r="A2592" s="4"/>
      <c r="B2592" s="4"/>
      <c r="C2592" s="4"/>
      <c r="D2592" s="4"/>
      <c r="E2592" s="54"/>
      <c r="F2592" s="54"/>
      <c r="G2592" s="54"/>
      <c r="H2592" s="112"/>
      <c r="I2592" s="112"/>
    </row>
    <row r="2593" spans="1:9" x14ac:dyDescent="0.25">
      <c r="A2593" s="4"/>
      <c r="B2593" s="4"/>
      <c r="C2593" s="4"/>
      <c r="D2593" s="4"/>
      <c r="E2593" s="54"/>
      <c r="F2593" s="54"/>
      <c r="G2593" s="54"/>
      <c r="H2593" s="112"/>
      <c r="I2593" s="112"/>
    </row>
    <row r="2594" spans="1:9" x14ac:dyDescent="0.25">
      <c r="A2594" s="4"/>
      <c r="B2594" s="4"/>
      <c r="C2594" s="4"/>
      <c r="D2594" s="4"/>
      <c r="E2594" s="54"/>
      <c r="F2594" s="54"/>
      <c r="G2594" s="54"/>
      <c r="H2594" s="112"/>
      <c r="I2594" s="112"/>
    </row>
    <row r="2595" spans="1:9" x14ac:dyDescent="0.25">
      <c r="A2595" s="4"/>
      <c r="B2595" s="4"/>
      <c r="C2595" s="4"/>
      <c r="D2595" s="4"/>
      <c r="E2595" s="54"/>
      <c r="F2595" s="54"/>
      <c r="G2595" s="54"/>
      <c r="H2595" s="112"/>
      <c r="I2595" s="112"/>
    </row>
    <row r="2596" spans="1:9" x14ac:dyDescent="0.25">
      <c r="A2596" s="4"/>
      <c r="B2596" s="4"/>
      <c r="C2596" s="4"/>
      <c r="D2596" s="4"/>
      <c r="E2596" s="54"/>
      <c r="F2596" s="54"/>
      <c r="G2596" s="54"/>
      <c r="H2596" s="112"/>
      <c r="I2596" s="112"/>
    </row>
    <row r="2597" spans="1:9" x14ac:dyDescent="0.25">
      <c r="A2597" s="4"/>
      <c r="B2597" s="4"/>
      <c r="C2597" s="4"/>
      <c r="D2597" s="4"/>
      <c r="E2597" s="54"/>
      <c r="F2597" s="54"/>
      <c r="G2597" s="54"/>
      <c r="H2597" s="112"/>
      <c r="I2597" s="112"/>
    </row>
    <row r="2598" spans="1:9" x14ac:dyDescent="0.25">
      <c r="A2598" s="4"/>
      <c r="B2598" s="4"/>
      <c r="C2598" s="4"/>
      <c r="D2598" s="4"/>
      <c r="E2598" s="54"/>
      <c r="F2598" s="54"/>
      <c r="G2598" s="54"/>
      <c r="H2598" s="112"/>
      <c r="I2598" s="112"/>
    </row>
    <row r="2599" spans="1:9" x14ac:dyDescent="0.25">
      <c r="A2599" s="4"/>
      <c r="B2599" s="4"/>
      <c r="C2599" s="4"/>
      <c r="D2599" s="4"/>
      <c r="E2599" s="54"/>
      <c r="F2599" s="54"/>
      <c r="G2599" s="54"/>
      <c r="H2599" s="112"/>
      <c r="I2599" s="112"/>
    </row>
    <row r="2600" spans="1:9" x14ac:dyDescent="0.25">
      <c r="A2600" s="4"/>
      <c r="B2600" s="4"/>
      <c r="C2600" s="4"/>
      <c r="D2600" s="4"/>
      <c r="E2600" s="54"/>
      <c r="F2600" s="54"/>
      <c r="G2600" s="54"/>
      <c r="H2600" s="112"/>
      <c r="I2600" s="112"/>
    </row>
    <row r="2601" spans="1:9" x14ac:dyDescent="0.25">
      <c r="A2601" s="4"/>
      <c r="B2601" s="4"/>
      <c r="C2601" s="4"/>
      <c r="D2601" s="4"/>
      <c r="E2601" s="54"/>
      <c r="F2601" s="54"/>
      <c r="G2601" s="54"/>
      <c r="H2601" s="112"/>
      <c r="I2601" s="112"/>
    </row>
    <row r="2602" spans="1:9" x14ac:dyDescent="0.25">
      <c r="A2602" s="4"/>
      <c r="B2602" s="4"/>
      <c r="C2602" s="4"/>
      <c r="D2602" s="4"/>
      <c r="E2602" s="54"/>
      <c r="F2602" s="54"/>
      <c r="G2602" s="54"/>
      <c r="H2602" s="112"/>
      <c r="I2602" s="112"/>
    </row>
    <row r="2603" spans="1:9" x14ac:dyDescent="0.25">
      <c r="A2603" s="4"/>
      <c r="B2603" s="4"/>
      <c r="C2603" s="4"/>
      <c r="D2603" s="4"/>
      <c r="E2603" s="54"/>
      <c r="F2603" s="54"/>
      <c r="G2603" s="54"/>
      <c r="H2603" s="112"/>
      <c r="I2603" s="112"/>
    </row>
    <row r="2604" spans="1:9" x14ac:dyDescent="0.25">
      <c r="A2604" s="4"/>
      <c r="B2604" s="4"/>
      <c r="C2604" s="4"/>
      <c r="D2604" s="4"/>
      <c r="E2604" s="54"/>
      <c r="F2604" s="54"/>
      <c r="G2604" s="54"/>
      <c r="H2604" s="112"/>
      <c r="I2604" s="112"/>
    </row>
    <row r="2605" spans="1:9" x14ac:dyDescent="0.25">
      <c r="A2605" s="4"/>
      <c r="B2605" s="4"/>
      <c r="C2605" s="4"/>
      <c r="D2605" s="4"/>
      <c r="E2605" s="54"/>
      <c r="F2605" s="54"/>
      <c r="G2605" s="54"/>
      <c r="H2605" s="112"/>
      <c r="I2605" s="112"/>
    </row>
    <row r="2606" spans="1:9" x14ac:dyDescent="0.25">
      <c r="A2606" s="4"/>
      <c r="B2606" s="4"/>
      <c r="C2606" s="4"/>
      <c r="D2606" s="4"/>
      <c r="E2606" s="54"/>
      <c r="F2606" s="54"/>
      <c r="G2606" s="54"/>
      <c r="H2606" s="112"/>
      <c r="I2606" s="112"/>
    </row>
    <row r="2607" spans="1:9" x14ac:dyDescent="0.25">
      <c r="A2607" s="4"/>
      <c r="B2607" s="4"/>
      <c r="C2607" s="4"/>
      <c r="D2607" s="4"/>
      <c r="E2607" s="54"/>
      <c r="F2607" s="54"/>
      <c r="G2607" s="54"/>
      <c r="H2607" s="112"/>
      <c r="I2607" s="112"/>
    </row>
    <row r="2608" spans="1:9" x14ac:dyDescent="0.25">
      <c r="A2608" s="4"/>
      <c r="B2608" s="4"/>
      <c r="C2608" s="4"/>
      <c r="D2608" s="4"/>
      <c r="E2608" s="54"/>
      <c r="F2608" s="54"/>
      <c r="G2608" s="54"/>
      <c r="H2608" s="112"/>
      <c r="I2608" s="112"/>
    </row>
    <row r="2609" spans="1:9" x14ac:dyDescent="0.25">
      <c r="A2609" s="4"/>
      <c r="B2609" s="4"/>
      <c r="C2609" s="4"/>
      <c r="D2609" s="4"/>
      <c r="E2609" s="54"/>
      <c r="F2609" s="54"/>
      <c r="G2609" s="54"/>
      <c r="H2609" s="112"/>
      <c r="I2609" s="112"/>
    </row>
    <row r="2610" spans="1:9" x14ac:dyDescent="0.25">
      <c r="A2610" s="4"/>
      <c r="B2610" s="4"/>
      <c r="C2610" s="4"/>
      <c r="D2610" s="4"/>
      <c r="E2610" s="54"/>
      <c r="F2610" s="54"/>
      <c r="G2610" s="54"/>
      <c r="H2610" s="112"/>
      <c r="I2610" s="112"/>
    </row>
    <row r="2611" spans="1:9" x14ac:dyDescent="0.25">
      <c r="A2611" s="4"/>
      <c r="B2611" s="4"/>
      <c r="C2611" s="4"/>
      <c r="D2611" s="4"/>
      <c r="E2611" s="54"/>
      <c r="F2611" s="54"/>
      <c r="G2611" s="54"/>
      <c r="H2611" s="112"/>
      <c r="I2611" s="112"/>
    </row>
    <row r="2612" spans="1:9" x14ac:dyDescent="0.25">
      <c r="A2612" s="4"/>
      <c r="B2612" s="4"/>
      <c r="C2612" s="4"/>
      <c r="D2612" s="4"/>
      <c r="E2612" s="54"/>
      <c r="F2612" s="54"/>
      <c r="G2612" s="54"/>
      <c r="H2612" s="112"/>
      <c r="I2612" s="112"/>
    </row>
    <row r="2613" spans="1:9" x14ac:dyDescent="0.25">
      <c r="A2613" s="4"/>
      <c r="B2613" s="4"/>
      <c r="C2613" s="4"/>
      <c r="D2613" s="4"/>
      <c r="E2613" s="54"/>
      <c r="F2613" s="54"/>
      <c r="G2613" s="54"/>
      <c r="H2613" s="112"/>
      <c r="I2613" s="112"/>
    </row>
    <row r="2614" spans="1:9" x14ac:dyDescent="0.25">
      <c r="A2614" s="4"/>
      <c r="B2614" s="4"/>
      <c r="C2614" s="4"/>
      <c r="D2614" s="4"/>
      <c r="E2614" s="54"/>
      <c r="F2614" s="54"/>
      <c r="G2614" s="54"/>
      <c r="H2614" s="112"/>
      <c r="I2614" s="112"/>
    </row>
    <row r="2615" spans="1:9" x14ac:dyDescent="0.25">
      <c r="A2615" s="4"/>
      <c r="B2615" s="4"/>
      <c r="C2615" s="4"/>
      <c r="D2615" s="4"/>
      <c r="E2615" s="54"/>
      <c r="F2615" s="54"/>
      <c r="G2615" s="54"/>
      <c r="H2615" s="112"/>
      <c r="I2615" s="112"/>
    </row>
    <row r="2616" spans="1:9" x14ac:dyDescent="0.25">
      <c r="A2616" s="4"/>
      <c r="B2616" s="4"/>
      <c r="C2616" s="4"/>
      <c r="D2616" s="4"/>
      <c r="E2616" s="54"/>
      <c r="F2616" s="54"/>
      <c r="G2616" s="54"/>
      <c r="H2616" s="112"/>
      <c r="I2616" s="112"/>
    </row>
    <row r="2617" spans="1:9" x14ac:dyDescent="0.25">
      <c r="A2617" s="4"/>
      <c r="B2617" s="4"/>
      <c r="C2617" s="4"/>
      <c r="D2617" s="4"/>
      <c r="E2617" s="54"/>
      <c r="F2617" s="54"/>
      <c r="G2617" s="54"/>
      <c r="H2617" s="112"/>
      <c r="I2617" s="112"/>
    </row>
    <row r="2620" spans="1:9" x14ac:dyDescent="0.25">
      <c r="A2620" s="412" t="s">
        <v>79</v>
      </c>
      <c r="B2620" s="412"/>
      <c r="C2620" s="412"/>
      <c r="D2620" s="412"/>
      <c r="E2620" s="412"/>
      <c r="F2620" s="412"/>
      <c r="G2620" s="412"/>
      <c r="H2620" s="412"/>
      <c r="I2620" s="250"/>
    </row>
    <row r="2621" spans="1:9" x14ac:dyDescent="0.25">
      <c r="A2621" s="4"/>
      <c r="B2621" s="4"/>
      <c r="C2621" s="4"/>
      <c r="D2621" s="4"/>
      <c r="E2621" s="5"/>
      <c r="F2621" s="5"/>
      <c r="G2621" s="411" t="s">
        <v>326</v>
      </c>
      <c r="H2621" s="411"/>
      <c r="I2621" s="251"/>
    </row>
    <row r="2622" spans="1:9" ht="55.9" customHeight="1" x14ac:dyDescent="0.25">
      <c r="A2622" s="413" t="s">
        <v>399</v>
      </c>
      <c r="B2622" s="413"/>
      <c r="C2622" s="413"/>
      <c r="D2622" s="413"/>
      <c r="E2622" s="413"/>
      <c r="F2622" s="413"/>
      <c r="G2622" s="413"/>
      <c r="H2622" s="413"/>
      <c r="I2622" s="269"/>
    </row>
    <row r="2623" spans="1:9" x14ac:dyDescent="0.25">
      <c r="A2623" s="4"/>
      <c r="B2623" s="4"/>
      <c r="C2623" s="4"/>
      <c r="D2623" s="4"/>
      <c r="E2623" s="5"/>
      <c r="F2623" s="5"/>
      <c r="G2623" s="414" t="s">
        <v>215</v>
      </c>
      <c r="H2623" s="414"/>
      <c r="I2623" s="253"/>
    </row>
    <row r="2624" spans="1:9" x14ac:dyDescent="0.25">
      <c r="A2624" s="4" t="s">
        <v>82</v>
      </c>
      <c r="B2624" s="4"/>
      <c r="C2624" s="4"/>
      <c r="D2624" s="4"/>
      <c r="E2624" s="5"/>
      <c r="F2624" s="5"/>
      <c r="G2624" s="5"/>
      <c r="H2624" s="5"/>
      <c r="I2624" s="47"/>
    </row>
    <row r="2625" spans="1:16" x14ac:dyDescent="0.25">
      <c r="A2625" s="6" t="s">
        <v>0</v>
      </c>
      <c r="B2625" s="7"/>
      <c r="C2625" s="8" t="s">
        <v>83</v>
      </c>
      <c r="D2625" s="8" t="s">
        <v>84</v>
      </c>
      <c r="E2625" s="9" t="s">
        <v>85</v>
      </c>
      <c r="F2625" s="9" t="s">
        <v>86</v>
      </c>
      <c r="G2625" s="9" t="s">
        <v>87</v>
      </c>
      <c r="H2625" s="10"/>
      <c r="I2625" s="47"/>
    </row>
    <row r="2626" spans="1:16" x14ac:dyDescent="0.25">
      <c r="A2626" s="11" t="s">
        <v>88</v>
      </c>
      <c r="B2626" s="12"/>
      <c r="C2626" s="13"/>
      <c r="D2626" s="13"/>
      <c r="E2626" s="14"/>
      <c r="F2626" s="14"/>
      <c r="G2626" s="14">
        <f>ROUND(H2650*0.05,0)+8-16</f>
        <v>11534</v>
      </c>
      <c r="H2626" s="15"/>
      <c r="I2626" s="47"/>
    </row>
    <row r="2627" spans="1:16" x14ac:dyDescent="0.25">
      <c r="A2627" s="11" t="s">
        <v>327</v>
      </c>
      <c r="B2627" s="12"/>
      <c r="C2627" s="13"/>
      <c r="D2627" s="13"/>
      <c r="E2627" s="14">
        <v>350000</v>
      </c>
      <c r="F2627" s="14">
        <v>0.5</v>
      </c>
      <c r="G2627" s="14">
        <f>ROUND(E2627*F2627,0)</f>
        <v>175000</v>
      </c>
      <c r="H2627" s="15"/>
      <c r="I2627" s="47"/>
    </row>
    <row r="2628" spans="1:16" x14ac:dyDescent="0.25">
      <c r="A2628" s="11" t="s">
        <v>328</v>
      </c>
      <c r="B2628" s="11"/>
      <c r="C2628" s="13"/>
      <c r="D2628" s="13"/>
      <c r="E2628" s="14">
        <v>50000</v>
      </c>
      <c r="F2628" s="14">
        <v>2</v>
      </c>
      <c r="G2628" s="14">
        <f t="shared" ref="G2628:G2629" si="68">ROUND(E2628*F2628,0)</f>
        <v>100000</v>
      </c>
      <c r="H2628" s="15"/>
      <c r="I2628" s="47"/>
    </row>
    <row r="2629" spans="1:16" x14ac:dyDescent="0.25">
      <c r="A2629" s="415"/>
      <c r="B2629" s="416"/>
      <c r="C2629" s="13"/>
      <c r="D2629" s="13"/>
      <c r="E2629" s="14"/>
      <c r="F2629" s="14"/>
      <c r="G2629" s="14">
        <f t="shared" si="68"/>
        <v>0</v>
      </c>
      <c r="H2629" s="58"/>
      <c r="I2629" s="224"/>
    </row>
    <row r="2630" spans="1:16" x14ac:dyDescent="0.25">
      <c r="A2630" s="18"/>
      <c r="B2630" s="19"/>
      <c r="C2630" s="19"/>
      <c r="D2630" s="19"/>
      <c r="E2630" s="20"/>
      <c r="F2630" s="21" t="s">
        <v>90</v>
      </c>
      <c r="G2630" s="22"/>
      <c r="H2630" s="23">
        <f>SUM(G2626:G2629)</f>
        <v>286534</v>
      </c>
      <c r="I2630" s="220"/>
    </row>
    <row r="2631" spans="1:16" x14ac:dyDescent="0.25">
      <c r="A2631" s="291" t="s">
        <v>91</v>
      </c>
      <c r="B2631" s="228"/>
      <c r="C2631" s="228"/>
      <c r="D2631" s="228"/>
      <c r="E2631" s="47"/>
      <c r="F2631" s="47"/>
      <c r="G2631" s="47"/>
      <c r="H2631" s="233"/>
      <c r="I2631" s="47"/>
    </row>
    <row r="2632" spans="1:16" x14ac:dyDescent="0.25">
      <c r="A2632" s="24" t="s">
        <v>0</v>
      </c>
      <c r="B2632" s="24"/>
      <c r="C2632" s="8" t="s">
        <v>92</v>
      </c>
      <c r="D2632" s="8" t="s">
        <v>93</v>
      </c>
      <c r="E2632" s="9" t="s">
        <v>94</v>
      </c>
      <c r="F2632" s="9" t="s">
        <v>95</v>
      </c>
      <c r="G2632" s="25" t="s">
        <v>96</v>
      </c>
      <c r="H2632" s="10"/>
      <c r="I2632" s="47"/>
    </row>
    <row r="2633" spans="1:16" ht="28.9" customHeight="1" x14ac:dyDescent="0.25">
      <c r="A2633" s="419" t="s">
        <v>478</v>
      </c>
      <c r="B2633" s="419"/>
      <c r="C2633" s="59" t="s">
        <v>212</v>
      </c>
      <c r="D2633" s="60">
        <v>0.05</v>
      </c>
      <c r="E2633" s="61">
        <f>0.3*0.4*0.3*1</f>
        <v>3.5999999999999997E-2</v>
      </c>
      <c r="F2633" s="62">
        <f>+$F$1884</f>
        <v>2838505</v>
      </c>
      <c r="G2633" s="62">
        <f t="shared" ref="G2633:G2641" si="69">ROUND(E2633*F2633,0)</f>
        <v>102186</v>
      </c>
      <c r="H2633" s="15"/>
      <c r="I2633" s="47"/>
      <c r="L2633" s="63"/>
      <c r="M2633" s="63"/>
      <c r="N2633" s="63"/>
      <c r="O2633" s="63"/>
      <c r="P2633" s="63"/>
    </row>
    <row r="2634" spans="1:16" ht="28.9" customHeight="1" x14ac:dyDescent="0.25">
      <c r="A2634" s="419" t="s">
        <v>153</v>
      </c>
      <c r="B2634" s="419"/>
      <c r="C2634" s="59" t="s">
        <v>154</v>
      </c>
      <c r="D2634" s="65">
        <v>0.05</v>
      </c>
      <c r="E2634" s="61">
        <v>0.125</v>
      </c>
      <c r="F2634" s="62">
        <f>ROUND(146000/3,0)</f>
        <v>48667</v>
      </c>
      <c r="G2634" s="62">
        <f t="shared" si="69"/>
        <v>6083</v>
      </c>
      <c r="H2634" s="15"/>
      <c r="I2634" s="47"/>
    </row>
    <row r="2635" spans="1:16" ht="45.6" customHeight="1" x14ac:dyDescent="0.25">
      <c r="A2635" s="419" t="s">
        <v>155</v>
      </c>
      <c r="B2635" s="419"/>
      <c r="C2635" s="59" t="s">
        <v>140</v>
      </c>
      <c r="D2635" s="60">
        <v>0.05</v>
      </c>
      <c r="E2635" s="66">
        <v>0.45</v>
      </c>
      <c r="F2635" s="67">
        <v>205000</v>
      </c>
      <c r="G2635" s="67">
        <f t="shared" si="69"/>
        <v>92250</v>
      </c>
      <c r="H2635" s="68"/>
      <c r="I2635" s="225"/>
    </row>
    <row r="2636" spans="1:16" x14ac:dyDescent="0.25">
      <c r="A2636" s="419" t="s">
        <v>141</v>
      </c>
      <c r="B2636" s="419"/>
      <c r="C2636" s="28" t="s">
        <v>140</v>
      </c>
      <c r="D2636" s="31"/>
      <c r="E2636" s="30">
        <v>7.4999999999999997E-2</v>
      </c>
      <c r="F2636" s="14">
        <v>58000</v>
      </c>
      <c r="G2636" s="14">
        <f t="shared" si="69"/>
        <v>4350</v>
      </c>
      <c r="H2636" s="15"/>
      <c r="I2636" s="47"/>
    </row>
    <row r="2637" spans="1:16" x14ac:dyDescent="0.25">
      <c r="A2637" s="419" t="s">
        <v>138</v>
      </c>
      <c r="B2637" s="419"/>
      <c r="C2637" s="28" t="s">
        <v>18</v>
      </c>
      <c r="D2637" s="34"/>
      <c r="E2637" s="30">
        <v>2</v>
      </c>
      <c r="F2637" s="14">
        <v>1900</v>
      </c>
      <c r="G2637" s="14">
        <f t="shared" si="69"/>
        <v>3800</v>
      </c>
      <c r="H2637" s="15"/>
      <c r="I2637" s="47"/>
    </row>
    <row r="2638" spans="1:16" x14ac:dyDescent="0.25">
      <c r="A2638" s="419" t="s">
        <v>139</v>
      </c>
      <c r="B2638" s="419"/>
      <c r="C2638" s="28" t="s">
        <v>18</v>
      </c>
      <c r="D2638" s="31"/>
      <c r="E2638" s="30">
        <v>0.5</v>
      </c>
      <c r="F2638" s="14">
        <v>8500</v>
      </c>
      <c r="G2638" s="14">
        <f t="shared" si="69"/>
        <v>4250</v>
      </c>
      <c r="H2638" s="15"/>
      <c r="I2638" s="47"/>
    </row>
    <row r="2639" spans="1:16" ht="22.15" customHeight="1" x14ac:dyDescent="0.25">
      <c r="A2639" s="417" t="s">
        <v>156</v>
      </c>
      <c r="B2639" s="418"/>
      <c r="C2639" s="59" t="s">
        <v>140</v>
      </c>
      <c r="D2639" s="70">
        <v>0.05</v>
      </c>
      <c r="E2639" s="61">
        <v>7.4999999999999997E-2</v>
      </c>
      <c r="F2639" s="62">
        <v>109000</v>
      </c>
      <c r="G2639" s="62">
        <f t="shared" si="69"/>
        <v>8175</v>
      </c>
      <c r="H2639" s="71"/>
      <c r="I2639" s="226"/>
    </row>
    <row r="2640" spans="1:16" ht="29.45" customHeight="1" x14ac:dyDescent="0.25">
      <c r="A2640" s="417" t="s">
        <v>275</v>
      </c>
      <c r="B2640" s="418"/>
      <c r="C2640" s="84" t="s">
        <v>158</v>
      </c>
      <c r="D2640" s="65"/>
      <c r="E2640" s="61">
        <v>2</v>
      </c>
      <c r="F2640" s="62">
        <v>80000</v>
      </c>
      <c r="G2640" s="62">
        <f t="shared" si="69"/>
        <v>160000</v>
      </c>
      <c r="H2640" s="15"/>
      <c r="I2640" s="47"/>
    </row>
    <row r="2641" spans="1:9" x14ac:dyDescent="0.25">
      <c r="A2641" s="11" t="s">
        <v>159</v>
      </c>
      <c r="B2641" s="12"/>
      <c r="C2641" s="35" t="s">
        <v>158</v>
      </c>
      <c r="D2641" s="31"/>
      <c r="E2641" s="30">
        <v>1</v>
      </c>
      <c r="F2641" s="14">
        <v>20000</v>
      </c>
      <c r="G2641" s="14">
        <f t="shared" si="69"/>
        <v>20000</v>
      </c>
      <c r="H2641" s="17"/>
      <c r="I2641" s="47"/>
    </row>
    <row r="2642" spans="1:9" x14ac:dyDescent="0.25">
      <c r="A2642" s="291"/>
      <c r="B2642" s="228"/>
      <c r="C2642" s="228"/>
      <c r="D2642" s="228"/>
      <c r="E2642" s="36"/>
      <c r="F2642" s="37" t="s">
        <v>102</v>
      </c>
      <c r="G2642" s="38"/>
      <c r="H2642" s="23">
        <f>SUM(G2633:G2641)</f>
        <v>401094</v>
      </c>
      <c r="I2642" s="220"/>
    </row>
    <row r="2643" spans="1:9" x14ac:dyDescent="0.25">
      <c r="A2643" s="291"/>
      <c r="B2643" s="228"/>
      <c r="C2643" s="228"/>
      <c r="D2643" s="228"/>
      <c r="E2643" s="36"/>
      <c r="F2643" s="39" t="s">
        <v>103</v>
      </c>
      <c r="G2643" s="38"/>
      <c r="H2643" s="23">
        <f>ROUND((D2633*G2633)+(D2634*G2634)+(D2635*G2635)+(D2636*G2636)+(D2637*G2637)+(D2638*G2638)+(D2639*G2639)+(D2640*G2640)+(D2641*G2641),0)</f>
        <v>10435</v>
      </c>
      <c r="I2643" s="220"/>
    </row>
    <row r="2644" spans="1:9" x14ac:dyDescent="0.25">
      <c r="A2644" s="291"/>
      <c r="B2644" s="228"/>
      <c r="C2644" s="228"/>
      <c r="D2644" s="228"/>
      <c r="E2644" s="36"/>
      <c r="F2644" s="20" t="s">
        <v>104</v>
      </c>
      <c r="G2644" s="40"/>
      <c r="H2644" s="23">
        <f>SUM(H2642:H2643)</f>
        <v>411529</v>
      </c>
      <c r="I2644" s="220"/>
    </row>
    <row r="2645" spans="1:9" x14ac:dyDescent="0.25">
      <c r="A2645" s="291" t="s">
        <v>105</v>
      </c>
      <c r="B2645" s="228"/>
      <c r="C2645" s="228"/>
      <c r="D2645" s="228"/>
      <c r="E2645" s="47"/>
      <c r="F2645" s="47"/>
      <c r="G2645" s="47"/>
      <c r="H2645" s="233"/>
      <c r="I2645" s="47"/>
    </row>
    <row r="2646" spans="1:9" x14ac:dyDescent="0.25">
      <c r="A2646" s="24" t="s">
        <v>0</v>
      </c>
      <c r="B2646" s="24"/>
      <c r="C2646" s="8" t="s">
        <v>106</v>
      </c>
      <c r="D2646" s="8" t="s">
        <v>107</v>
      </c>
      <c r="E2646" s="9" t="s">
        <v>108</v>
      </c>
      <c r="F2646" s="9" t="s">
        <v>109</v>
      </c>
      <c r="G2646" s="41" t="s">
        <v>96</v>
      </c>
      <c r="H2646" s="10"/>
      <c r="I2646" s="47"/>
    </row>
    <row r="2647" spans="1:9" x14ac:dyDescent="0.25">
      <c r="A2647" s="18" t="s">
        <v>110</v>
      </c>
      <c r="B2647" s="42"/>
      <c r="C2647" s="13">
        <f>104000+26000</f>
        <v>130000</v>
      </c>
      <c r="D2647" s="13">
        <f>+C2647*0.16</f>
        <v>20800</v>
      </c>
      <c r="E2647" s="14">
        <f>C2647+D2647</f>
        <v>150800</v>
      </c>
      <c r="F2647" s="30">
        <v>1</v>
      </c>
      <c r="G2647" s="14">
        <f>ROUND(E2647*F2647,0)</f>
        <v>150800</v>
      </c>
      <c r="H2647" s="15"/>
      <c r="I2647" s="47"/>
    </row>
    <row r="2648" spans="1:9" x14ac:dyDescent="0.25">
      <c r="A2648" s="18" t="s">
        <v>111</v>
      </c>
      <c r="B2648" s="42"/>
      <c r="C2648" s="13">
        <f>60400+25850</f>
        <v>86250</v>
      </c>
      <c r="D2648" s="13">
        <f>+C2648*0.16</f>
        <v>13800</v>
      </c>
      <c r="E2648" s="14">
        <f>C2648+D2648</f>
        <v>100050</v>
      </c>
      <c r="F2648" s="30">
        <v>0.8</v>
      </c>
      <c r="G2648" s="14">
        <f>ROUND(E2648*F2648,0)</f>
        <v>80040</v>
      </c>
      <c r="H2648" s="15"/>
      <c r="I2648" s="47"/>
    </row>
    <row r="2649" spans="1:9" x14ac:dyDescent="0.25">
      <c r="A2649" s="18"/>
      <c r="B2649" s="42"/>
      <c r="C2649" s="43"/>
      <c r="D2649" s="43"/>
      <c r="E2649" s="44">
        <f>C2649+D2649</f>
        <v>0</v>
      </c>
      <c r="F2649" s="45"/>
      <c r="G2649" s="14">
        <f>ROUND(E2649*F2649,0)</f>
        <v>0</v>
      </c>
      <c r="H2649" s="17"/>
      <c r="I2649" s="47"/>
    </row>
    <row r="2650" spans="1:9" x14ac:dyDescent="0.25">
      <c r="A2650" s="4"/>
      <c r="B2650" s="4"/>
      <c r="C2650" s="4"/>
      <c r="D2650" s="4"/>
      <c r="E2650" s="46" t="s">
        <v>112</v>
      </c>
      <c r="F2650" s="46"/>
      <c r="G2650" s="46"/>
      <c r="H2650" s="238">
        <f>SUM(G2647:G2649)</f>
        <v>230840</v>
      </c>
      <c r="I2650" s="221"/>
    </row>
    <row r="2651" spans="1:9" x14ac:dyDescent="0.25">
      <c r="A2651" s="4"/>
      <c r="B2651" s="4"/>
      <c r="C2651" s="4"/>
      <c r="D2651" s="4"/>
      <c r="E2651" s="5"/>
      <c r="F2651" s="5"/>
      <c r="G2651" s="5"/>
      <c r="H2651" s="47"/>
      <c r="I2651" s="47"/>
    </row>
    <row r="2652" spans="1:9" x14ac:dyDescent="0.25">
      <c r="A2652" s="18"/>
      <c r="B2652" s="19"/>
      <c r="C2652" s="19"/>
      <c r="D2652" s="19"/>
      <c r="E2652" s="48" t="s">
        <v>113</v>
      </c>
      <c r="F2652" s="48"/>
      <c r="G2652" s="48"/>
      <c r="H2652" s="239">
        <f>H2650+H2644+H2630</f>
        <v>928903</v>
      </c>
      <c r="I2652" s="222"/>
    </row>
    <row r="2653" spans="1:9" x14ac:dyDescent="0.25">
      <c r="A2653" s="4"/>
      <c r="B2653" s="4"/>
      <c r="C2653" s="4"/>
      <c r="D2653" s="4"/>
      <c r="E2653" s="5"/>
      <c r="F2653" s="5"/>
      <c r="G2653" s="5"/>
      <c r="H2653" s="5"/>
      <c r="I2653" s="47"/>
    </row>
    <row r="2654" spans="1:9" x14ac:dyDescent="0.25">
      <c r="A2654" s="4" t="s">
        <v>114</v>
      </c>
      <c r="B2654" s="4"/>
      <c r="C2654" s="4"/>
      <c r="D2654" s="4"/>
      <c r="E2654" s="5"/>
      <c r="F2654" s="5"/>
      <c r="G2654" s="5"/>
      <c r="H2654" s="5"/>
      <c r="I2654" s="47"/>
    </row>
    <row r="2655" spans="1:9" x14ac:dyDescent="0.25">
      <c r="A2655" s="6" t="s">
        <v>0</v>
      </c>
      <c r="B2655" s="49"/>
      <c r="C2655" s="49"/>
      <c r="D2655" s="49"/>
      <c r="E2655" s="50"/>
      <c r="F2655" s="9" t="s">
        <v>115</v>
      </c>
      <c r="G2655" s="41" t="s">
        <v>116</v>
      </c>
      <c r="H2655" s="235"/>
      <c r="I2655" s="47"/>
    </row>
    <row r="2656" spans="1:9" x14ac:dyDescent="0.25">
      <c r="A2656" s="11" t="s">
        <v>117</v>
      </c>
      <c r="B2656" s="51"/>
      <c r="C2656" s="51"/>
      <c r="D2656" s="51"/>
      <c r="E2656" s="52"/>
      <c r="F2656" s="53"/>
      <c r="G2656" s="14">
        <f>F2656*H2652</f>
        <v>0</v>
      </c>
      <c r="H2656" s="236"/>
      <c r="I2656" s="47"/>
    </row>
    <row r="2657" spans="1:9" hidden="1" x14ac:dyDescent="0.25">
      <c r="A2657" s="11"/>
      <c r="B2657" s="51"/>
      <c r="C2657" s="51"/>
      <c r="D2657" s="51"/>
      <c r="E2657" s="52"/>
      <c r="F2657" s="53"/>
      <c r="G2657" s="14">
        <f>F2657*H2652</f>
        <v>0</v>
      </c>
      <c r="H2657" s="236"/>
      <c r="I2657" s="47"/>
    </row>
    <row r="2658" spans="1:9" hidden="1" x14ac:dyDescent="0.25">
      <c r="A2658" s="11"/>
      <c r="B2658" s="51"/>
      <c r="C2658" s="51"/>
      <c r="D2658" s="51"/>
      <c r="E2658" s="52"/>
      <c r="F2658" s="53"/>
      <c r="G2658" s="14">
        <f>F2658*H2652</f>
        <v>0</v>
      </c>
      <c r="H2658" s="237"/>
      <c r="I2658" s="47"/>
    </row>
    <row r="2659" spans="1:9" x14ac:dyDescent="0.25">
      <c r="A2659" s="4"/>
      <c r="B2659" s="4"/>
      <c r="C2659" s="4"/>
      <c r="D2659" s="4"/>
      <c r="E2659" s="46" t="s">
        <v>118</v>
      </c>
      <c r="F2659" s="46"/>
      <c r="G2659" s="46"/>
      <c r="H2659" s="36">
        <f>SUM(G2656:G2658)</f>
        <v>0</v>
      </c>
      <c r="I2659" s="220"/>
    </row>
    <row r="2660" spans="1:9" ht="15.75" thickBot="1" x14ac:dyDescent="0.3">
      <c r="A2660" s="4"/>
      <c r="B2660" s="4"/>
      <c r="C2660" s="4"/>
      <c r="D2660" s="4"/>
      <c r="E2660" s="5"/>
      <c r="F2660" s="5"/>
      <c r="G2660" s="5"/>
      <c r="H2660" s="5"/>
      <c r="I2660" s="47"/>
    </row>
    <row r="2661" spans="1:9" ht="15.75" thickBot="1" x14ac:dyDescent="0.3">
      <c r="A2661" s="4"/>
      <c r="B2661" s="4"/>
      <c r="C2661" s="4"/>
      <c r="D2661" s="4"/>
      <c r="E2661" s="54"/>
      <c r="F2661" s="54" t="s">
        <v>119</v>
      </c>
      <c r="G2661" s="54"/>
      <c r="H2661" s="240">
        <f>SUM(H2659+H2652)</f>
        <v>928903</v>
      </c>
      <c r="I2661" s="112"/>
    </row>
    <row r="2662" spans="1:9" x14ac:dyDescent="0.25">
      <c r="A2662" s="4"/>
      <c r="B2662" s="4"/>
      <c r="C2662" s="4"/>
      <c r="D2662" s="4"/>
      <c r="E2662" s="54"/>
      <c r="F2662" s="54"/>
      <c r="G2662" s="54"/>
      <c r="H2662" s="112"/>
      <c r="I2662" s="112"/>
    </row>
    <row r="2663" spans="1:9" x14ac:dyDescent="0.25">
      <c r="A2663" s="4"/>
      <c r="B2663" s="4"/>
      <c r="C2663" s="4"/>
      <c r="D2663" s="4"/>
      <c r="E2663" s="54"/>
      <c r="F2663" s="54"/>
      <c r="G2663" s="54"/>
      <c r="H2663" s="112"/>
      <c r="I2663" s="112"/>
    </row>
    <row r="2664" spans="1:9" x14ac:dyDescent="0.25">
      <c r="A2664" s="4"/>
      <c r="B2664" s="4"/>
      <c r="C2664" s="4"/>
      <c r="D2664" s="4"/>
      <c r="E2664" s="54"/>
      <c r="F2664" s="54"/>
      <c r="G2664" s="54"/>
      <c r="H2664" s="112"/>
      <c r="I2664" s="112"/>
    </row>
    <row r="2665" spans="1:9" x14ac:dyDescent="0.25">
      <c r="A2665" s="4"/>
      <c r="B2665" s="4"/>
      <c r="C2665" s="4"/>
      <c r="D2665" s="4"/>
      <c r="E2665" s="54"/>
      <c r="F2665" s="54"/>
      <c r="G2665" s="54"/>
      <c r="H2665" s="112"/>
      <c r="I2665" s="112"/>
    </row>
    <row r="2666" spans="1:9" x14ac:dyDescent="0.25">
      <c r="A2666" s="4"/>
      <c r="B2666" s="4"/>
      <c r="C2666" s="4"/>
      <c r="D2666" s="4"/>
      <c r="E2666" s="54"/>
      <c r="F2666" s="54"/>
      <c r="G2666" s="54"/>
      <c r="H2666" s="112"/>
      <c r="I2666" s="112"/>
    </row>
    <row r="2667" spans="1:9" x14ac:dyDescent="0.25">
      <c r="A2667" s="4"/>
      <c r="B2667" s="4"/>
      <c r="C2667" s="4"/>
      <c r="D2667" s="4"/>
      <c r="E2667" s="54"/>
      <c r="F2667" s="54"/>
      <c r="G2667" s="54"/>
      <c r="H2667" s="112"/>
      <c r="I2667" s="112"/>
    </row>
    <row r="2668" spans="1:9" x14ac:dyDescent="0.25">
      <c r="A2668" s="4"/>
      <c r="B2668" s="4"/>
      <c r="C2668" s="4"/>
      <c r="D2668" s="4"/>
      <c r="E2668" s="54"/>
      <c r="F2668" s="54"/>
      <c r="G2668" s="54"/>
      <c r="H2668" s="112"/>
      <c r="I2668" s="112"/>
    </row>
    <row r="2669" spans="1:9" x14ac:dyDescent="0.25">
      <c r="A2669" s="4"/>
      <c r="B2669" s="4"/>
      <c r="C2669" s="4"/>
      <c r="D2669" s="4"/>
      <c r="E2669" s="54"/>
      <c r="F2669" s="54"/>
      <c r="G2669" s="54"/>
      <c r="H2669" s="112"/>
      <c r="I2669" s="112"/>
    </row>
    <row r="2670" spans="1:9" x14ac:dyDescent="0.25">
      <c r="A2670" s="4"/>
      <c r="B2670" s="4"/>
      <c r="C2670" s="4"/>
      <c r="D2670" s="4"/>
      <c r="E2670" s="54"/>
      <c r="F2670" s="54"/>
      <c r="G2670" s="54"/>
      <c r="H2670" s="112"/>
      <c r="I2670" s="112"/>
    </row>
    <row r="2671" spans="1:9" x14ac:dyDescent="0.25">
      <c r="A2671" s="4"/>
      <c r="B2671" s="4"/>
      <c r="C2671" s="4"/>
      <c r="D2671" s="4"/>
      <c r="E2671" s="54"/>
      <c r="F2671" s="54"/>
      <c r="G2671" s="54"/>
      <c r="H2671" s="112"/>
      <c r="I2671" s="112"/>
    </row>
    <row r="2672" spans="1:9" x14ac:dyDescent="0.25">
      <c r="A2672" s="4"/>
      <c r="B2672" s="4"/>
      <c r="C2672" s="4"/>
      <c r="D2672" s="4"/>
      <c r="E2672" s="54"/>
      <c r="F2672" s="54"/>
      <c r="G2672" s="54"/>
      <c r="H2672" s="112"/>
      <c r="I2672" s="112"/>
    </row>
    <row r="2673" spans="1:9" x14ac:dyDescent="0.25">
      <c r="A2673" s="4"/>
      <c r="B2673" s="4"/>
      <c r="C2673" s="4"/>
      <c r="D2673" s="4"/>
      <c r="E2673" s="54"/>
      <c r="F2673" s="54"/>
      <c r="G2673" s="54"/>
      <c r="H2673" s="112"/>
      <c r="I2673" s="112"/>
    </row>
    <row r="2674" spans="1:9" x14ac:dyDescent="0.25">
      <c r="A2674" s="4"/>
      <c r="B2674" s="4"/>
      <c r="C2674" s="4"/>
      <c r="D2674" s="4"/>
      <c r="E2674" s="54"/>
      <c r="F2674" s="54"/>
      <c r="G2674" s="54"/>
      <c r="H2674" s="112"/>
      <c r="I2674" s="112"/>
    </row>
    <row r="2675" spans="1:9" x14ac:dyDescent="0.25">
      <c r="A2675" s="4"/>
      <c r="B2675" s="4"/>
      <c r="C2675" s="4"/>
      <c r="D2675" s="4"/>
      <c r="E2675" s="54"/>
      <c r="F2675" s="54"/>
      <c r="G2675" s="54"/>
      <c r="H2675" s="112"/>
      <c r="I2675" s="112"/>
    </row>
    <row r="2676" spans="1:9" x14ac:dyDescent="0.25">
      <c r="A2676" s="4"/>
      <c r="B2676" s="4"/>
      <c r="C2676" s="4"/>
      <c r="D2676" s="4"/>
      <c r="E2676" s="54"/>
      <c r="F2676" s="54"/>
      <c r="G2676" s="54"/>
      <c r="H2676" s="112"/>
      <c r="I2676" s="112"/>
    </row>
    <row r="2677" spans="1:9" x14ac:dyDescent="0.25">
      <c r="A2677" s="4"/>
      <c r="B2677" s="4"/>
      <c r="C2677" s="4"/>
      <c r="D2677" s="4"/>
      <c r="E2677" s="54"/>
      <c r="F2677" s="54"/>
      <c r="G2677" s="54"/>
      <c r="H2677" s="112"/>
      <c r="I2677" s="112"/>
    </row>
    <row r="2678" spans="1:9" x14ac:dyDescent="0.25">
      <c r="A2678" s="4"/>
      <c r="B2678" s="4"/>
      <c r="C2678" s="4"/>
      <c r="D2678" s="4"/>
      <c r="E2678" s="54"/>
      <c r="F2678" s="54"/>
      <c r="G2678" s="54"/>
      <c r="H2678" s="112"/>
      <c r="I2678" s="112"/>
    </row>
    <row r="2679" spans="1:9" x14ac:dyDescent="0.25">
      <c r="A2679" s="4"/>
      <c r="B2679" s="4"/>
      <c r="C2679" s="4"/>
      <c r="D2679" s="4"/>
      <c r="E2679" s="54"/>
      <c r="F2679" s="54"/>
      <c r="G2679" s="54"/>
      <c r="H2679" s="112"/>
      <c r="I2679" s="112"/>
    </row>
    <row r="2680" spans="1:9" x14ac:dyDescent="0.25">
      <c r="A2680" s="4"/>
      <c r="B2680" s="4"/>
      <c r="C2680" s="4"/>
      <c r="D2680" s="4"/>
      <c r="E2680" s="54"/>
      <c r="F2680" s="54"/>
      <c r="G2680" s="54"/>
      <c r="H2680" s="112"/>
      <c r="I2680" s="112"/>
    </row>
    <row r="2681" spans="1:9" x14ac:dyDescent="0.25">
      <c r="A2681" s="4"/>
      <c r="B2681" s="4"/>
      <c r="C2681" s="4"/>
      <c r="D2681" s="4"/>
      <c r="E2681" s="54"/>
      <c r="F2681" s="54"/>
      <c r="G2681" s="54"/>
      <c r="H2681" s="112"/>
      <c r="I2681" s="112"/>
    </row>
    <row r="2682" spans="1:9" x14ac:dyDescent="0.25">
      <c r="A2682" s="4"/>
      <c r="B2682" s="4"/>
      <c r="C2682" s="4"/>
      <c r="D2682" s="4"/>
      <c r="E2682" s="54"/>
      <c r="F2682" s="54"/>
      <c r="G2682" s="54"/>
      <c r="H2682" s="112"/>
      <c r="I2682" s="112"/>
    </row>
    <row r="2683" spans="1:9" x14ac:dyDescent="0.25">
      <c r="A2683" s="4"/>
      <c r="B2683" s="4"/>
      <c r="C2683" s="4"/>
      <c r="D2683" s="4"/>
      <c r="E2683" s="54"/>
      <c r="F2683" s="54"/>
      <c r="G2683" s="54"/>
      <c r="H2683" s="112"/>
      <c r="I2683" s="112"/>
    </row>
    <row r="2684" spans="1:9" x14ac:dyDescent="0.25">
      <c r="A2684" s="4"/>
      <c r="B2684" s="4"/>
      <c r="C2684" s="4"/>
      <c r="D2684" s="4"/>
      <c r="E2684" s="54"/>
      <c r="F2684" s="54"/>
      <c r="G2684" s="54"/>
      <c r="H2684" s="112"/>
      <c r="I2684" s="112"/>
    </row>
    <row r="2685" spans="1:9" x14ac:dyDescent="0.25">
      <c r="A2685" s="4"/>
      <c r="B2685" s="4"/>
      <c r="C2685" s="4"/>
      <c r="D2685" s="4"/>
      <c r="E2685" s="54"/>
      <c r="F2685" s="54"/>
      <c r="G2685" s="54"/>
      <c r="H2685" s="112"/>
      <c r="I2685" s="112"/>
    </row>
    <row r="2686" spans="1:9" x14ac:dyDescent="0.25">
      <c r="A2686" s="4"/>
      <c r="B2686" s="4"/>
      <c r="C2686" s="4"/>
      <c r="D2686" s="4"/>
      <c r="E2686" s="54"/>
      <c r="F2686" s="54"/>
      <c r="G2686" s="54"/>
      <c r="H2686" s="112"/>
      <c r="I2686" s="112"/>
    </row>
    <row r="2687" spans="1:9" x14ac:dyDescent="0.25">
      <c r="A2687" s="4"/>
      <c r="B2687" s="4"/>
      <c r="C2687" s="4"/>
      <c r="D2687" s="4"/>
      <c r="E2687" s="54"/>
      <c r="F2687" s="54"/>
      <c r="G2687" s="54"/>
      <c r="H2687" s="112"/>
      <c r="I2687" s="112"/>
    </row>
    <row r="2688" spans="1:9" x14ac:dyDescent="0.25">
      <c r="A2688" s="4"/>
      <c r="B2688" s="4"/>
      <c r="C2688" s="4"/>
      <c r="D2688" s="4"/>
      <c r="E2688" s="54"/>
      <c r="F2688" s="54"/>
      <c r="G2688" s="54"/>
      <c r="H2688" s="112"/>
      <c r="I2688" s="112"/>
    </row>
    <row r="2689" spans="1:9" x14ac:dyDescent="0.25">
      <c r="A2689" s="4"/>
      <c r="B2689" s="4"/>
      <c r="C2689" s="4"/>
      <c r="D2689" s="4"/>
      <c r="E2689" s="54"/>
      <c r="F2689" s="54"/>
      <c r="G2689" s="54"/>
      <c r="H2689" s="112"/>
      <c r="I2689" s="112"/>
    </row>
    <row r="2690" spans="1:9" x14ac:dyDescent="0.25">
      <c r="A2690" s="4"/>
      <c r="B2690" s="4"/>
      <c r="C2690" s="4"/>
      <c r="D2690" s="4"/>
      <c r="E2690" s="54"/>
      <c r="F2690" s="54"/>
      <c r="G2690" s="54"/>
      <c r="H2690" s="112"/>
      <c r="I2690" s="112"/>
    </row>
    <row r="2691" spans="1:9" x14ac:dyDescent="0.25">
      <c r="A2691" s="4"/>
      <c r="B2691" s="4"/>
      <c r="C2691" s="4"/>
      <c r="D2691" s="4"/>
      <c r="E2691" s="54"/>
      <c r="F2691" s="54"/>
      <c r="G2691" s="54"/>
      <c r="H2691" s="112"/>
      <c r="I2691" s="112"/>
    </row>
    <row r="2692" spans="1:9" x14ac:dyDescent="0.25">
      <c r="A2692" s="4"/>
      <c r="B2692" s="4"/>
      <c r="C2692" s="4"/>
      <c r="D2692" s="4"/>
      <c r="E2692" s="54"/>
      <c r="F2692" s="54"/>
      <c r="G2692" s="54"/>
      <c r="H2692" s="112"/>
      <c r="I2692" s="112"/>
    </row>
    <row r="2693" spans="1:9" x14ac:dyDescent="0.25">
      <c r="A2693" s="4"/>
      <c r="B2693" s="4"/>
      <c r="C2693" s="4"/>
      <c r="D2693" s="4"/>
      <c r="E2693" s="54"/>
      <c r="F2693" s="54"/>
      <c r="G2693" s="54"/>
      <c r="H2693" s="112"/>
      <c r="I2693" s="112"/>
    </row>
    <row r="2694" spans="1:9" x14ac:dyDescent="0.25">
      <c r="A2694" s="4"/>
      <c r="B2694" s="4"/>
      <c r="C2694" s="4"/>
      <c r="D2694" s="4"/>
      <c r="E2694" s="54"/>
      <c r="F2694" s="54"/>
      <c r="G2694" s="54"/>
      <c r="H2694" s="112"/>
      <c r="I2694" s="112"/>
    </row>
    <row r="2695" spans="1:9" x14ac:dyDescent="0.25">
      <c r="A2695" s="4"/>
      <c r="B2695" s="4"/>
      <c r="C2695" s="4"/>
      <c r="D2695" s="4"/>
      <c r="E2695" s="54"/>
      <c r="F2695" s="54"/>
      <c r="G2695" s="54"/>
      <c r="H2695" s="112"/>
      <c r="I2695" s="112"/>
    </row>
    <row r="2696" spans="1:9" x14ac:dyDescent="0.25">
      <c r="A2696" s="4"/>
      <c r="B2696" s="4"/>
      <c r="C2696" s="4"/>
      <c r="D2696" s="4"/>
      <c r="E2696" s="54"/>
      <c r="F2696" s="54"/>
      <c r="G2696" s="54"/>
      <c r="H2696" s="112"/>
      <c r="I2696" s="112"/>
    </row>
    <row r="2697" spans="1:9" x14ac:dyDescent="0.25">
      <c r="A2697" s="4"/>
      <c r="B2697" s="4"/>
      <c r="C2697" s="4"/>
      <c r="D2697" s="4"/>
      <c r="E2697" s="54"/>
      <c r="F2697" s="54"/>
      <c r="G2697" s="54"/>
      <c r="H2697" s="112"/>
      <c r="I2697" s="112"/>
    </row>
    <row r="2698" spans="1:9" x14ac:dyDescent="0.25">
      <c r="A2698" s="4"/>
      <c r="B2698" s="4"/>
      <c r="C2698" s="4"/>
      <c r="D2698" s="4"/>
      <c r="E2698" s="54"/>
      <c r="F2698" s="54"/>
      <c r="G2698" s="54"/>
      <c r="H2698" s="112"/>
      <c r="I2698" s="112"/>
    </row>
    <row r="2699" spans="1:9" x14ac:dyDescent="0.25">
      <c r="A2699" s="4"/>
      <c r="B2699" s="4"/>
      <c r="C2699" s="4"/>
      <c r="D2699" s="4"/>
      <c r="E2699" s="54"/>
      <c r="F2699" s="54"/>
      <c r="G2699" s="54"/>
      <c r="H2699" s="112"/>
      <c r="I2699" s="112"/>
    </row>
    <row r="2700" spans="1:9" x14ac:dyDescent="0.25">
      <c r="A2700" s="4"/>
      <c r="B2700" s="4"/>
      <c r="C2700" s="4"/>
      <c r="D2700" s="4"/>
      <c r="E2700" s="54"/>
      <c r="F2700" s="54"/>
      <c r="G2700" s="54"/>
      <c r="H2700" s="112"/>
      <c r="I2700" s="112"/>
    </row>
    <row r="2701" spans="1:9" x14ac:dyDescent="0.25">
      <c r="A2701" s="4"/>
      <c r="B2701" s="4"/>
      <c r="C2701" s="4"/>
      <c r="D2701" s="4"/>
      <c r="E2701" s="54"/>
      <c r="F2701" s="54"/>
      <c r="G2701" s="54"/>
      <c r="H2701" s="112"/>
      <c r="I2701" s="112"/>
    </row>
    <row r="2702" spans="1:9" x14ac:dyDescent="0.25">
      <c r="A2702" s="4"/>
      <c r="B2702" s="4"/>
      <c r="C2702" s="4"/>
      <c r="D2702" s="4"/>
      <c r="E2702" s="54"/>
      <c r="F2702" s="54"/>
      <c r="G2702" s="54"/>
      <c r="H2702" s="112"/>
      <c r="I2702" s="112"/>
    </row>
    <row r="2703" spans="1:9" x14ac:dyDescent="0.25">
      <c r="A2703" s="4"/>
      <c r="B2703" s="4"/>
      <c r="C2703" s="4"/>
      <c r="D2703" s="4"/>
      <c r="E2703" s="54"/>
      <c r="F2703" s="54"/>
      <c r="G2703" s="54"/>
      <c r="H2703" s="112"/>
      <c r="I2703" s="112"/>
    </row>
    <row r="2704" spans="1:9" x14ac:dyDescent="0.25">
      <c r="A2704" s="4"/>
      <c r="B2704" s="4"/>
      <c r="C2704" s="4"/>
      <c r="D2704" s="4"/>
      <c r="E2704" s="54"/>
      <c r="F2704" s="54"/>
      <c r="G2704" s="54"/>
      <c r="H2704" s="112"/>
      <c r="I2704" s="112"/>
    </row>
    <row r="2705" spans="1:9" x14ac:dyDescent="0.25">
      <c r="A2705" s="4"/>
      <c r="B2705" s="4"/>
      <c r="C2705" s="4"/>
      <c r="D2705" s="4"/>
      <c r="E2705" s="54"/>
      <c r="F2705" s="54"/>
      <c r="G2705" s="54"/>
      <c r="H2705" s="112"/>
      <c r="I2705" s="112"/>
    </row>
    <row r="2706" spans="1:9" x14ac:dyDescent="0.25">
      <c r="A2706" s="4"/>
      <c r="B2706" s="4"/>
      <c r="C2706" s="4"/>
      <c r="D2706" s="4"/>
      <c r="E2706" s="54"/>
      <c r="F2706" s="54"/>
      <c r="G2706" s="54"/>
      <c r="H2706" s="112"/>
      <c r="I2706" s="112"/>
    </row>
    <row r="2707" spans="1:9" x14ac:dyDescent="0.25">
      <c r="A2707" s="4"/>
      <c r="B2707" s="4"/>
      <c r="C2707" s="4"/>
      <c r="D2707" s="4"/>
      <c r="E2707" s="54"/>
      <c r="F2707" s="54"/>
      <c r="G2707" s="54"/>
      <c r="H2707" s="112"/>
      <c r="I2707" s="112"/>
    </row>
    <row r="2708" spans="1:9" x14ac:dyDescent="0.25">
      <c r="A2708" s="4"/>
      <c r="B2708" s="4"/>
      <c r="C2708" s="4"/>
      <c r="D2708" s="4"/>
      <c r="E2708" s="54"/>
      <c r="F2708" s="54"/>
      <c r="G2708" s="54"/>
      <c r="H2708" s="112"/>
      <c r="I2708" s="112"/>
    </row>
    <row r="2709" spans="1:9" x14ac:dyDescent="0.25">
      <c r="A2709" s="4"/>
      <c r="B2709" s="4"/>
      <c r="C2709" s="4"/>
      <c r="D2709" s="4"/>
      <c r="E2709" s="54"/>
      <c r="F2709" s="54"/>
      <c r="G2709" s="54"/>
      <c r="H2709" s="112"/>
      <c r="I2709" s="112"/>
    </row>
    <row r="2712" spans="1:9" x14ac:dyDescent="0.25">
      <c r="A2712" s="412" t="s">
        <v>79</v>
      </c>
      <c r="B2712" s="412"/>
      <c r="C2712" s="412"/>
      <c r="D2712" s="412"/>
      <c r="E2712" s="412"/>
      <c r="F2712" s="412"/>
      <c r="G2712" s="412"/>
      <c r="H2712" s="412"/>
      <c r="I2712" s="250"/>
    </row>
    <row r="2713" spans="1:9" x14ac:dyDescent="0.25">
      <c r="A2713" s="4"/>
      <c r="B2713" s="4"/>
      <c r="C2713" s="4"/>
      <c r="D2713" s="4"/>
      <c r="E2713" s="5"/>
      <c r="F2713" s="5"/>
      <c r="G2713" s="411" t="s">
        <v>326</v>
      </c>
      <c r="H2713" s="411"/>
      <c r="I2713" s="251"/>
    </row>
    <row r="2714" spans="1:9" ht="29.45" customHeight="1" x14ac:dyDescent="0.25">
      <c r="A2714" s="410" t="s">
        <v>400</v>
      </c>
      <c r="B2714" s="410"/>
      <c r="C2714" s="410"/>
      <c r="D2714" s="410"/>
      <c r="E2714" s="410"/>
      <c r="F2714" s="410"/>
      <c r="G2714" s="410"/>
      <c r="H2714" s="410"/>
      <c r="I2714" s="254"/>
    </row>
    <row r="2715" spans="1:9" x14ac:dyDescent="0.25">
      <c r="A2715" s="4"/>
      <c r="B2715" s="4"/>
      <c r="C2715" s="4"/>
      <c r="D2715" s="4"/>
      <c r="E2715" s="5"/>
      <c r="F2715" s="5"/>
      <c r="G2715" s="414" t="s">
        <v>120</v>
      </c>
      <c r="H2715" s="414"/>
      <c r="I2715" s="253"/>
    </row>
    <row r="2716" spans="1:9" x14ac:dyDescent="0.25">
      <c r="A2716" s="4" t="s">
        <v>82</v>
      </c>
      <c r="B2716" s="4"/>
      <c r="C2716" s="4"/>
      <c r="D2716" s="4"/>
      <c r="E2716" s="5"/>
      <c r="F2716" s="5"/>
      <c r="G2716" s="5"/>
      <c r="H2716" s="5"/>
      <c r="I2716" s="47"/>
    </row>
    <row r="2717" spans="1:9" x14ac:dyDescent="0.25">
      <c r="A2717" s="6" t="s">
        <v>0</v>
      </c>
      <c r="B2717" s="7"/>
      <c r="C2717" s="8" t="s">
        <v>83</v>
      </c>
      <c r="D2717" s="8" t="s">
        <v>84</v>
      </c>
      <c r="E2717" s="9" t="s">
        <v>85</v>
      </c>
      <c r="F2717" s="9" t="s">
        <v>86</v>
      </c>
      <c r="G2717" s="9" t="s">
        <v>87</v>
      </c>
      <c r="H2717" s="10"/>
      <c r="I2717" s="47"/>
    </row>
    <row r="2718" spans="1:9" x14ac:dyDescent="0.25">
      <c r="A2718" s="11" t="s">
        <v>88</v>
      </c>
      <c r="B2718" s="12"/>
      <c r="C2718" s="13"/>
      <c r="D2718" s="13"/>
      <c r="E2718" s="14"/>
      <c r="F2718" s="14"/>
      <c r="G2718" s="14">
        <f>ROUND(H2742*0.05,0)+8-16</f>
        <v>12034</v>
      </c>
      <c r="H2718" s="15"/>
      <c r="I2718" s="47"/>
    </row>
    <row r="2719" spans="1:9" x14ac:dyDescent="0.25">
      <c r="A2719" s="11" t="s">
        <v>327</v>
      </c>
      <c r="B2719" s="12"/>
      <c r="C2719" s="13"/>
      <c r="D2719" s="13"/>
      <c r="E2719" s="14">
        <v>350000</v>
      </c>
      <c r="F2719" s="14">
        <v>0.5</v>
      </c>
      <c r="G2719" s="14">
        <f>ROUND(E2719*F2719,0)</f>
        <v>175000</v>
      </c>
      <c r="H2719" s="15"/>
      <c r="I2719" s="47"/>
    </row>
    <row r="2720" spans="1:9" x14ac:dyDescent="0.25">
      <c r="A2720" s="11" t="s">
        <v>328</v>
      </c>
      <c r="B2720" s="11"/>
      <c r="C2720" s="13"/>
      <c r="D2720" s="13"/>
      <c r="E2720" s="14">
        <v>50000</v>
      </c>
      <c r="F2720" s="14">
        <v>1</v>
      </c>
      <c r="G2720" s="14">
        <f t="shared" ref="G2720:G2721" si="70">ROUND(E2720*F2720,0)</f>
        <v>50000</v>
      </c>
      <c r="H2720" s="15"/>
      <c r="I2720" s="47"/>
    </row>
    <row r="2721" spans="1:16" hidden="1" x14ac:dyDescent="0.25">
      <c r="A2721" s="415"/>
      <c r="B2721" s="416"/>
      <c r="C2721" s="13"/>
      <c r="D2721" s="13"/>
      <c r="E2721" s="14"/>
      <c r="F2721" s="14"/>
      <c r="G2721" s="14">
        <f t="shared" si="70"/>
        <v>0</v>
      </c>
      <c r="H2721" s="58"/>
      <c r="I2721" s="224"/>
    </row>
    <row r="2722" spans="1:16" x14ac:dyDescent="0.25">
      <c r="A2722" s="18"/>
      <c r="B2722" s="19"/>
      <c r="C2722" s="19"/>
      <c r="D2722" s="19"/>
      <c r="E2722" s="20"/>
      <c r="F2722" s="21" t="s">
        <v>90</v>
      </c>
      <c r="G2722" s="22"/>
      <c r="H2722" s="23">
        <f>SUM(G2718:G2721)</f>
        <v>237034</v>
      </c>
      <c r="I2722" s="220"/>
    </row>
    <row r="2723" spans="1:16" x14ac:dyDescent="0.25">
      <c r="A2723" s="291" t="s">
        <v>91</v>
      </c>
      <c r="B2723" s="228"/>
      <c r="C2723" s="228"/>
      <c r="D2723" s="228"/>
      <c r="E2723" s="47"/>
      <c r="F2723" s="47"/>
      <c r="G2723" s="47"/>
      <c r="H2723" s="233"/>
      <c r="I2723" s="47"/>
    </row>
    <row r="2724" spans="1:16" x14ac:dyDescent="0.25">
      <c r="A2724" s="24" t="s">
        <v>0</v>
      </c>
      <c r="B2724" s="24"/>
      <c r="C2724" s="8" t="s">
        <v>92</v>
      </c>
      <c r="D2724" s="8" t="s">
        <v>93</v>
      </c>
      <c r="E2724" s="9" t="s">
        <v>94</v>
      </c>
      <c r="F2724" s="9" t="s">
        <v>95</v>
      </c>
      <c r="G2724" s="25" t="s">
        <v>96</v>
      </c>
      <c r="H2724" s="10"/>
      <c r="I2724" s="47"/>
    </row>
    <row r="2725" spans="1:16" ht="9" hidden="1" customHeight="1" x14ac:dyDescent="0.25">
      <c r="A2725" s="419"/>
      <c r="B2725" s="419"/>
      <c r="C2725" s="59"/>
      <c r="D2725" s="60"/>
      <c r="E2725" s="61"/>
      <c r="F2725" s="62"/>
      <c r="G2725" s="62">
        <f t="shared" ref="G2725:G2733" si="71">ROUND(E2725*F2725,0)</f>
        <v>0</v>
      </c>
      <c r="H2725" s="15"/>
      <c r="I2725" s="47"/>
      <c r="L2725" s="63"/>
      <c r="M2725" s="63"/>
      <c r="N2725" s="63"/>
      <c r="O2725" s="63"/>
      <c r="P2725" s="63"/>
    </row>
    <row r="2726" spans="1:16" ht="12.6" hidden="1" customHeight="1" x14ac:dyDescent="0.25">
      <c r="A2726" s="419"/>
      <c r="B2726" s="419"/>
      <c r="C2726" s="59"/>
      <c r="D2726" s="65"/>
      <c r="E2726" s="61"/>
      <c r="F2726" s="62"/>
      <c r="G2726" s="62">
        <f t="shared" si="71"/>
        <v>0</v>
      </c>
      <c r="H2726" s="15"/>
      <c r="I2726" s="47"/>
    </row>
    <row r="2727" spans="1:16" x14ac:dyDescent="0.25">
      <c r="A2727" s="419" t="s">
        <v>276</v>
      </c>
      <c r="B2727" s="419"/>
      <c r="C2727" s="59" t="s">
        <v>170</v>
      </c>
      <c r="D2727" s="60">
        <v>0.05</v>
      </c>
      <c r="E2727" s="66">
        <v>0.5</v>
      </c>
      <c r="F2727" s="67">
        <v>514000</v>
      </c>
      <c r="G2727" s="67">
        <f t="shared" si="71"/>
        <v>257000</v>
      </c>
      <c r="H2727" s="68"/>
      <c r="I2727" s="225"/>
    </row>
    <row r="2728" spans="1:16" x14ac:dyDescent="0.25">
      <c r="A2728" s="419" t="s">
        <v>141</v>
      </c>
      <c r="B2728" s="419"/>
      <c r="C2728" s="28" t="s">
        <v>140</v>
      </c>
      <c r="D2728" s="31"/>
      <c r="E2728" s="30">
        <v>0.15</v>
      </c>
      <c r="F2728" s="14">
        <v>58000</v>
      </c>
      <c r="G2728" s="14">
        <f t="shared" si="71"/>
        <v>8700</v>
      </c>
      <c r="H2728" s="15"/>
      <c r="I2728" s="47"/>
    </row>
    <row r="2729" spans="1:16" x14ac:dyDescent="0.25">
      <c r="A2729" s="419" t="s">
        <v>138</v>
      </c>
      <c r="B2729" s="419"/>
      <c r="C2729" s="28" t="s">
        <v>18</v>
      </c>
      <c r="D2729" s="34"/>
      <c r="E2729" s="30">
        <v>2</v>
      </c>
      <c r="F2729" s="14">
        <v>1900</v>
      </c>
      <c r="G2729" s="14">
        <f t="shared" si="71"/>
        <v>3800</v>
      </c>
      <c r="H2729" s="15"/>
      <c r="I2729" s="47"/>
    </row>
    <row r="2730" spans="1:16" x14ac:dyDescent="0.25">
      <c r="A2730" s="419" t="s">
        <v>139</v>
      </c>
      <c r="B2730" s="419"/>
      <c r="C2730" s="28" t="s">
        <v>18</v>
      </c>
      <c r="D2730" s="31"/>
      <c r="E2730" s="30">
        <v>0.5</v>
      </c>
      <c r="F2730" s="14">
        <v>8500</v>
      </c>
      <c r="G2730" s="14">
        <f t="shared" si="71"/>
        <v>4250</v>
      </c>
      <c r="H2730" s="15"/>
      <c r="I2730" s="47"/>
    </row>
    <row r="2731" spans="1:16" ht="15.6" customHeight="1" x14ac:dyDescent="0.25">
      <c r="A2731" s="494" t="s">
        <v>277</v>
      </c>
      <c r="B2731" s="495"/>
      <c r="C2731" s="59" t="s">
        <v>140</v>
      </c>
      <c r="D2731" s="70">
        <v>0.05</v>
      </c>
      <c r="E2731" s="61">
        <v>0.15</v>
      </c>
      <c r="F2731" s="62">
        <v>121000</v>
      </c>
      <c r="G2731" s="62">
        <f t="shared" si="71"/>
        <v>18150</v>
      </c>
      <c r="H2731" s="71"/>
      <c r="I2731" s="226"/>
    </row>
    <row r="2732" spans="1:16" x14ac:dyDescent="0.25">
      <c r="A2732" s="417" t="s">
        <v>278</v>
      </c>
      <c r="B2732" s="418"/>
      <c r="C2732" s="84" t="s">
        <v>158</v>
      </c>
      <c r="D2732" s="65"/>
      <c r="E2732" s="61">
        <v>1</v>
      </c>
      <c r="F2732" s="62">
        <v>50000</v>
      </c>
      <c r="G2732" s="62">
        <f t="shared" si="71"/>
        <v>50000</v>
      </c>
      <c r="H2732" s="15"/>
      <c r="I2732" s="47"/>
    </row>
    <row r="2733" spans="1:16" hidden="1" x14ac:dyDescent="0.25">
      <c r="A2733" s="11"/>
      <c r="B2733" s="12"/>
      <c r="C2733" s="35"/>
      <c r="D2733" s="31"/>
      <c r="E2733" s="30"/>
      <c r="F2733" s="14"/>
      <c r="G2733" s="14">
        <f t="shared" si="71"/>
        <v>0</v>
      </c>
      <c r="H2733" s="17"/>
      <c r="I2733" s="47"/>
    </row>
    <row r="2734" spans="1:16" x14ac:dyDescent="0.25">
      <c r="A2734" s="291"/>
      <c r="B2734" s="228"/>
      <c r="C2734" s="228"/>
      <c r="D2734" s="228"/>
      <c r="E2734" s="36"/>
      <c r="F2734" s="37" t="s">
        <v>102</v>
      </c>
      <c r="G2734" s="38"/>
      <c r="H2734" s="23">
        <f>SUM(G2725:G2733)</f>
        <v>341900</v>
      </c>
      <c r="I2734" s="220"/>
    </row>
    <row r="2735" spans="1:16" x14ac:dyDescent="0.25">
      <c r="A2735" s="291"/>
      <c r="B2735" s="228"/>
      <c r="C2735" s="228"/>
      <c r="D2735" s="228"/>
      <c r="E2735" s="36"/>
      <c r="F2735" s="39" t="s">
        <v>103</v>
      </c>
      <c r="G2735" s="38"/>
      <c r="H2735" s="23">
        <f>ROUND((D2725*G2725)+(D2726*G2726)+(D2727*G2727)+(D2728*G2728)+(D2729*G2729)+(D2730*G2730)+(D2731*G2731)+(D2732*G2732)+(D2733*G2733),0)</f>
        <v>13758</v>
      </c>
      <c r="I2735" s="220"/>
    </row>
    <row r="2736" spans="1:16" x14ac:dyDescent="0.25">
      <c r="A2736" s="291"/>
      <c r="B2736" s="228"/>
      <c r="C2736" s="228"/>
      <c r="D2736" s="228"/>
      <c r="E2736" s="36"/>
      <c r="F2736" s="20" t="s">
        <v>104</v>
      </c>
      <c r="G2736" s="40"/>
      <c r="H2736" s="23">
        <f>SUM(H2734:H2735)</f>
        <v>355658</v>
      </c>
      <c r="I2736" s="220"/>
    </row>
    <row r="2737" spans="1:9" x14ac:dyDescent="0.25">
      <c r="A2737" s="291" t="s">
        <v>105</v>
      </c>
      <c r="B2737" s="228"/>
      <c r="C2737" s="228"/>
      <c r="D2737" s="228"/>
      <c r="E2737" s="47"/>
      <c r="F2737" s="47"/>
      <c r="G2737" s="47"/>
      <c r="H2737" s="233"/>
      <c r="I2737" s="47"/>
    </row>
    <row r="2738" spans="1:9" x14ac:dyDescent="0.25">
      <c r="A2738" s="24" t="s">
        <v>0</v>
      </c>
      <c r="B2738" s="24"/>
      <c r="C2738" s="8" t="s">
        <v>106</v>
      </c>
      <c r="D2738" s="8" t="s">
        <v>107</v>
      </c>
      <c r="E2738" s="9" t="s">
        <v>108</v>
      </c>
      <c r="F2738" s="9" t="s">
        <v>109</v>
      </c>
      <c r="G2738" s="41" t="s">
        <v>96</v>
      </c>
      <c r="H2738" s="10"/>
      <c r="I2738" s="47"/>
    </row>
    <row r="2739" spans="1:9" x14ac:dyDescent="0.25">
      <c r="A2739" s="18" t="s">
        <v>110</v>
      </c>
      <c r="B2739" s="42"/>
      <c r="C2739" s="13">
        <f>104000+26000</f>
        <v>130000</v>
      </c>
      <c r="D2739" s="13">
        <f>+C2739*0.16</f>
        <v>20800</v>
      </c>
      <c r="E2739" s="14">
        <f>C2739+D2739</f>
        <v>150800</v>
      </c>
      <c r="F2739" s="30">
        <v>1</v>
      </c>
      <c r="G2739" s="14">
        <f>ROUND(E2739*F2739,0)</f>
        <v>150800</v>
      </c>
      <c r="H2739" s="15"/>
      <c r="I2739" s="47"/>
    </row>
    <row r="2740" spans="1:9" x14ac:dyDescent="0.25">
      <c r="A2740" s="18" t="s">
        <v>111</v>
      </c>
      <c r="B2740" s="42"/>
      <c r="C2740" s="13">
        <f>60400+25850</f>
        <v>86250</v>
      </c>
      <c r="D2740" s="13">
        <f>+C2740*0.16</f>
        <v>13800</v>
      </c>
      <c r="E2740" s="14">
        <f>C2740+D2740</f>
        <v>100050</v>
      </c>
      <c r="F2740" s="30">
        <v>0.9</v>
      </c>
      <c r="G2740" s="14">
        <f>ROUND(E2740*F2740,0)</f>
        <v>90045</v>
      </c>
      <c r="H2740" s="15"/>
      <c r="I2740" s="47"/>
    </row>
    <row r="2741" spans="1:9" x14ac:dyDescent="0.25">
      <c r="A2741" s="18"/>
      <c r="B2741" s="42"/>
      <c r="C2741" s="43"/>
      <c r="D2741" s="43"/>
      <c r="E2741" s="44">
        <f>C2741+D2741</f>
        <v>0</v>
      </c>
      <c r="F2741" s="45"/>
      <c r="G2741" s="14">
        <f>ROUND(E2741*F2741,0)</f>
        <v>0</v>
      </c>
      <c r="H2741" s="15"/>
      <c r="I2741" s="47"/>
    </row>
    <row r="2742" spans="1:9" x14ac:dyDescent="0.25">
      <c r="A2742" s="291"/>
      <c r="B2742" s="228"/>
      <c r="C2742" s="228"/>
      <c r="D2742" s="228"/>
      <c r="E2742" s="277" t="s">
        <v>112</v>
      </c>
      <c r="F2742" s="277"/>
      <c r="G2742" s="277"/>
      <c r="H2742" s="82">
        <f>SUM(G2739:G2741)</f>
        <v>240845</v>
      </c>
      <c r="I2742" s="221"/>
    </row>
    <row r="2743" spans="1:9" x14ac:dyDescent="0.25">
      <c r="A2743" s="291"/>
      <c r="B2743" s="228"/>
      <c r="C2743" s="228"/>
      <c r="D2743" s="228"/>
      <c r="E2743" s="47"/>
      <c r="F2743" s="47"/>
      <c r="G2743" s="47"/>
      <c r="H2743" s="233"/>
      <c r="I2743" s="47"/>
    </row>
    <row r="2744" spans="1:9" x14ac:dyDescent="0.25">
      <c r="A2744" s="18"/>
      <c r="B2744" s="19"/>
      <c r="C2744" s="19"/>
      <c r="D2744" s="19"/>
      <c r="E2744" s="48" t="s">
        <v>113</v>
      </c>
      <c r="F2744" s="48"/>
      <c r="G2744" s="48"/>
      <c r="H2744" s="25">
        <f>H2742+H2736+H2722</f>
        <v>833537</v>
      </c>
      <c r="I2744" s="222"/>
    </row>
    <row r="2745" spans="1:9" x14ac:dyDescent="0.25">
      <c r="A2745" s="4"/>
      <c r="B2745" s="4"/>
      <c r="C2745" s="4"/>
      <c r="D2745" s="4"/>
      <c r="E2745" s="5"/>
      <c r="F2745" s="5"/>
      <c r="G2745" s="5"/>
      <c r="H2745" s="5"/>
      <c r="I2745" s="47"/>
    </row>
    <row r="2746" spans="1:9" hidden="1" x14ac:dyDescent="0.25">
      <c r="A2746" s="4" t="s">
        <v>114</v>
      </c>
      <c r="B2746" s="4"/>
      <c r="C2746" s="4"/>
      <c r="D2746" s="4"/>
      <c r="E2746" s="5"/>
      <c r="F2746" s="5"/>
      <c r="G2746" s="5"/>
      <c r="H2746" s="5"/>
      <c r="I2746" s="47"/>
    </row>
    <row r="2747" spans="1:9" hidden="1" x14ac:dyDescent="0.25">
      <c r="A2747" s="6" t="s">
        <v>0</v>
      </c>
      <c r="B2747" s="49"/>
      <c r="C2747" s="49"/>
      <c r="D2747" s="49"/>
      <c r="E2747" s="50"/>
      <c r="F2747" s="9" t="s">
        <v>115</v>
      </c>
      <c r="G2747" s="41" t="s">
        <v>116</v>
      </c>
      <c r="H2747" s="235"/>
      <c r="I2747" s="47"/>
    </row>
    <row r="2748" spans="1:9" hidden="1" x14ac:dyDescent="0.25">
      <c r="A2748" s="11" t="s">
        <v>117</v>
      </c>
      <c r="B2748" s="51"/>
      <c r="C2748" s="51"/>
      <c r="D2748" s="51"/>
      <c r="E2748" s="52"/>
      <c r="F2748" s="53"/>
      <c r="G2748" s="14">
        <f>F2748*H2744</f>
        <v>0</v>
      </c>
      <c r="H2748" s="236"/>
      <c r="I2748" s="47"/>
    </row>
    <row r="2749" spans="1:9" hidden="1" x14ac:dyDescent="0.25">
      <c r="A2749" s="11"/>
      <c r="B2749" s="51"/>
      <c r="C2749" s="51"/>
      <c r="D2749" s="51"/>
      <c r="E2749" s="52"/>
      <c r="F2749" s="53"/>
      <c r="G2749" s="14">
        <f>F2749*H2744</f>
        <v>0</v>
      </c>
      <c r="H2749" s="236"/>
      <c r="I2749" s="47"/>
    </row>
    <row r="2750" spans="1:9" hidden="1" x14ac:dyDescent="0.25">
      <c r="A2750" s="11"/>
      <c r="B2750" s="51"/>
      <c r="C2750" s="51"/>
      <c r="D2750" s="51"/>
      <c r="E2750" s="52"/>
      <c r="F2750" s="53"/>
      <c r="G2750" s="14">
        <f>F2750*H2744</f>
        <v>0</v>
      </c>
      <c r="H2750" s="237"/>
      <c r="I2750" s="47"/>
    </row>
    <row r="2751" spans="1:9" hidden="1" x14ac:dyDescent="0.25">
      <c r="A2751" s="4"/>
      <c r="B2751" s="4"/>
      <c r="C2751" s="4"/>
      <c r="D2751" s="4"/>
      <c r="E2751" s="46" t="s">
        <v>118</v>
      </c>
      <c r="F2751" s="46"/>
      <c r="G2751" s="46"/>
      <c r="H2751" s="36">
        <f>SUM(G2748:G2750)</f>
        <v>0</v>
      </c>
      <c r="I2751" s="220"/>
    </row>
    <row r="2752" spans="1:9" ht="15.75" thickBot="1" x14ac:dyDescent="0.3">
      <c r="A2752" s="4"/>
      <c r="B2752" s="4"/>
      <c r="C2752" s="4"/>
      <c r="D2752" s="4"/>
      <c r="E2752" s="5"/>
      <c r="F2752" s="5"/>
      <c r="G2752" s="5"/>
      <c r="H2752" s="5"/>
      <c r="I2752" s="47"/>
    </row>
    <row r="2753" spans="1:9" ht="15.75" thickBot="1" x14ac:dyDescent="0.3">
      <c r="A2753" s="4"/>
      <c r="B2753" s="4"/>
      <c r="C2753" s="4"/>
      <c r="D2753" s="4"/>
      <c r="E2753" s="54"/>
      <c r="F2753" s="54" t="s">
        <v>119</v>
      </c>
      <c r="G2753" s="54"/>
      <c r="H2753" s="240">
        <f>SUM(H2751+H2744)</f>
        <v>833537</v>
      </c>
      <c r="I2753" s="112"/>
    </row>
    <row r="2754" spans="1:9" x14ac:dyDescent="0.25">
      <c r="A2754" s="4"/>
      <c r="B2754" s="4"/>
      <c r="C2754" s="4"/>
      <c r="D2754" s="4"/>
      <c r="E2754" s="54"/>
      <c r="F2754" s="54"/>
      <c r="G2754" s="54"/>
      <c r="H2754" s="112"/>
      <c r="I2754" s="112"/>
    </row>
    <row r="2755" spans="1:9" x14ac:dyDescent="0.25">
      <c r="A2755" s="4"/>
      <c r="B2755" s="4"/>
      <c r="C2755" s="4"/>
      <c r="D2755" s="4"/>
      <c r="E2755" s="54"/>
      <c r="F2755" s="54"/>
      <c r="G2755" s="54"/>
      <c r="H2755" s="112"/>
      <c r="I2755" s="112"/>
    </row>
    <row r="2761" spans="1:9" x14ac:dyDescent="0.25">
      <c r="A2761" s="412" t="s">
        <v>79</v>
      </c>
      <c r="B2761" s="412"/>
      <c r="C2761" s="412"/>
      <c r="D2761" s="412"/>
      <c r="E2761" s="412"/>
      <c r="F2761" s="412"/>
      <c r="G2761" s="412"/>
      <c r="H2761" s="412"/>
      <c r="I2761" s="250"/>
    </row>
    <row r="2762" spans="1:9" x14ac:dyDescent="0.25">
      <c r="A2762" s="4"/>
      <c r="B2762" s="4"/>
      <c r="C2762" s="4"/>
      <c r="D2762" s="4"/>
      <c r="E2762" s="5"/>
      <c r="F2762" s="5"/>
      <c r="G2762" s="411" t="s">
        <v>326</v>
      </c>
      <c r="H2762" s="411"/>
      <c r="I2762" s="251"/>
    </row>
    <row r="2763" spans="1:9" x14ac:dyDescent="0.25">
      <c r="A2763" s="434" t="s">
        <v>483</v>
      </c>
      <c r="B2763" s="434"/>
      <c r="C2763" s="434"/>
      <c r="D2763" s="434"/>
      <c r="E2763" s="434"/>
      <c r="F2763" s="434"/>
      <c r="G2763" s="434"/>
      <c r="H2763" s="434"/>
      <c r="I2763" s="252"/>
    </row>
    <row r="2764" spans="1:9" x14ac:dyDescent="0.25">
      <c r="A2764" s="4"/>
      <c r="B2764" s="4"/>
      <c r="C2764" s="4"/>
      <c r="D2764" s="4"/>
      <c r="E2764" s="5"/>
      <c r="F2764" s="5"/>
      <c r="G2764" s="414" t="s">
        <v>215</v>
      </c>
      <c r="H2764" s="414"/>
      <c r="I2764" s="253"/>
    </row>
    <row r="2765" spans="1:9" x14ac:dyDescent="0.25">
      <c r="A2765" s="4" t="s">
        <v>82</v>
      </c>
      <c r="B2765" s="4"/>
      <c r="C2765" s="4"/>
      <c r="D2765" s="4"/>
      <c r="E2765" s="5"/>
      <c r="F2765" s="5"/>
      <c r="G2765" s="5"/>
      <c r="H2765" s="5"/>
      <c r="I2765" s="47"/>
    </row>
    <row r="2766" spans="1:9" x14ac:dyDescent="0.25">
      <c r="A2766" s="6" t="s">
        <v>0</v>
      </c>
      <c r="B2766" s="7"/>
      <c r="C2766" s="8" t="s">
        <v>83</v>
      </c>
      <c r="D2766" s="8" t="s">
        <v>84</v>
      </c>
      <c r="E2766" s="9" t="s">
        <v>85</v>
      </c>
      <c r="F2766" s="9" t="s">
        <v>86</v>
      </c>
      <c r="G2766" s="9" t="s">
        <v>87</v>
      </c>
      <c r="H2766" s="10"/>
      <c r="I2766" s="47"/>
    </row>
    <row r="2767" spans="1:9" x14ac:dyDescent="0.25">
      <c r="A2767" s="11" t="s">
        <v>88</v>
      </c>
      <c r="B2767" s="12"/>
      <c r="C2767" s="13"/>
      <c r="D2767" s="13"/>
      <c r="E2767" s="14"/>
      <c r="F2767" s="14"/>
      <c r="G2767" s="14">
        <f>ROUND(H2791*0.05,0)+8-16</f>
        <v>4809</v>
      </c>
      <c r="H2767" s="15"/>
      <c r="I2767" s="47"/>
    </row>
    <row r="2768" spans="1:9" x14ac:dyDescent="0.25">
      <c r="A2768" s="11" t="s">
        <v>327</v>
      </c>
      <c r="B2768" s="12"/>
      <c r="C2768" s="13"/>
      <c r="D2768" s="13"/>
      <c r="E2768" s="14">
        <v>350000</v>
      </c>
      <c r="F2768" s="14">
        <v>0.05</v>
      </c>
      <c r="G2768" s="14">
        <f>ROUND(E2768*F2768,0)</f>
        <v>17500</v>
      </c>
      <c r="H2768" s="15"/>
      <c r="I2768" s="47"/>
    </row>
    <row r="2769" spans="1:10" x14ac:dyDescent="0.25">
      <c r="A2769" s="11" t="s">
        <v>328</v>
      </c>
      <c r="B2769" s="12"/>
      <c r="C2769" s="13"/>
      <c r="D2769" s="13"/>
      <c r="E2769" s="14">
        <v>50000</v>
      </c>
      <c r="F2769" s="16">
        <v>0.2</v>
      </c>
      <c r="G2769" s="14">
        <f>ROUND(E2769*F2769,0)</f>
        <v>10000</v>
      </c>
      <c r="H2769" s="15"/>
      <c r="I2769" s="47"/>
    </row>
    <row r="2770" spans="1:10" x14ac:dyDescent="0.25">
      <c r="A2770" s="11"/>
      <c r="B2770" s="12"/>
      <c r="C2770" s="13"/>
      <c r="D2770" s="13"/>
      <c r="E2770" s="14"/>
      <c r="F2770" s="14"/>
      <c r="G2770" s="14">
        <f>ROUND(E2770*F2770,0)</f>
        <v>0</v>
      </c>
      <c r="H2770" s="17"/>
      <c r="I2770" s="47"/>
    </row>
    <row r="2771" spans="1:10" x14ac:dyDescent="0.25">
      <c r="A2771" s="18"/>
      <c r="B2771" s="19"/>
      <c r="C2771" s="19"/>
      <c r="D2771" s="19"/>
      <c r="E2771" s="20"/>
      <c r="F2771" s="21" t="s">
        <v>90</v>
      </c>
      <c r="G2771" s="22"/>
      <c r="H2771" s="23">
        <f>SUM(G2767:G2770)</f>
        <v>32309</v>
      </c>
      <c r="I2771" s="220"/>
    </row>
    <row r="2772" spans="1:10" x14ac:dyDescent="0.25">
      <c r="A2772" s="291" t="s">
        <v>91</v>
      </c>
      <c r="B2772" s="228"/>
      <c r="C2772" s="228"/>
      <c r="D2772" s="228"/>
      <c r="E2772" s="47"/>
      <c r="F2772" s="47"/>
      <c r="G2772" s="47"/>
      <c r="H2772" s="233"/>
      <c r="I2772" s="47"/>
    </row>
    <row r="2773" spans="1:10" ht="13.9" customHeight="1" x14ac:dyDescent="0.25">
      <c r="A2773" s="24" t="s">
        <v>0</v>
      </c>
      <c r="B2773" s="24"/>
      <c r="C2773" s="8" t="s">
        <v>92</v>
      </c>
      <c r="D2773" s="8" t="s">
        <v>93</v>
      </c>
      <c r="E2773" s="9" t="s">
        <v>94</v>
      </c>
      <c r="F2773" s="9" t="s">
        <v>95</v>
      </c>
      <c r="G2773" s="25" t="s">
        <v>96</v>
      </c>
      <c r="H2773" s="10"/>
      <c r="I2773" s="47"/>
    </row>
    <row r="2774" spans="1:10" hidden="1" x14ac:dyDescent="0.25">
      <c r="A2774" s="26"/>
      <c r="B2774" s="27"/>
      <c r="C2774" s="28"/>
      <c r="D2774" s="29"/>
      <c r="E2774" s="30"/>
      <c r="F2774" s="14">
        <f>323000</f>
        <v>323000</v>
      </c>
      <c r="G2774" s="14">
        <f t="shared" ref="G2774:G2782" si="72">ROUND(E2774*F2774,0)</f>
        <v>0</v>
      </c>
      <c r="H2774" s="15"/>
      <c r="I2774" s="47"/>
    </row>
    <row r="2775" spans="1:10" ht="28.9" customHeight="1" x14ac:dyDescent="0.25">
      <c r="A2775" s="420" t="s">
        <v>279</v>
      </c>
      <c r="B2775" s="421"/>
      <c r="C2775" s="59" t="s">
        <v>18</v>
      </c>
      <c r="D2775" s="65"/>
      <c r="E2775" s="61">
        <v>1</v>
      </c>
      <c r="F2775" s="62">
        <v>305200</v>
      </c>
      <c r="G2775" s="62">
        <f t="shared" si="72"/>
        <v>305200</v>
      </c>
      <c r="H2775" s="15"/>
      <c r="I2775" s="47"/>
    </row>
    <row r="2776" spans="1:10" x14ac:dyDescent="0.25">
      <c r="A2776" s="420" t="s">
        <v>482</v>
      </c>
      <c r="B2776" s="421"/>
      <c r="C2776" s="59" t="s">
        <v>18</v>
      </c>
      <c r="D2776" s="60"/>
      <c r="E2776" s="61">
        <v>1</v>
      </c>
      <c r="F2776" s="62">
        <v>30000</v>
      </c>
      <c r="G2776" s="62">
        <f t="shared" si="72"/>
        <v>30000</v>
      </c>
      <c r="H2776" s="15"/>
      <c r="I2776" s="47"/>
    </row>
    <row r="2777" spans="1:10" x14ac:dyDescent="0.25">
      <c r="A2777" s="11"/>
      <c r="B2777" s="12"/>
      <c r="C2777" s="35"/>
      <c r="D2777" s="31"/>
      <c r="E2777" s="30"/>
      <c r="F2777" s="14"/>
      <c r="G2777" s="14">
        <f t="shared" si="72"/>
        <v>0</v>
      </c>
      <c r="H2777" s="15"/>
      <c r="I2777" s="47"/>
      <c r="J2777" s="63"/>
    </row>
    <row r="2778" spans="1:10" hidden="1" x14ac:dyDescent="0.25">
      <c r="A2778" s="11"/>
      <c r="B2778" s="12"/>
      <c r="C2778" s="35"/>
      <c r="D2778" s="34"/>
      <c r="E2778" s="30"/>
      <c r="F2778" s="14"/>
      <c r="G2778" s="14">
        <f t="shared" si="72"/>
        <v>0</v>
      </c>
      <c r="H2778" s="15"/>
      <c r="I2778" s="47"/>
    </row>
    <row r="2779" spans="1:10" hidden="1" x14ac:dyDescent="0.25">
      <c r="A2779" s="11"/>
      <c r="B2779" s="12"/>
      <c r="C2779" s="35"/>
      <c r="D2779" s="31"/>
      <c r="E2779" s="30"/>
      <c r="F2779" s="14"/>
      <c r="G2779" s="14">
        <f t="shared" si="72"/>
        <v>0</v>
      </c>
      <c r="H2779" s="15"/>
      <c r="I2779" s="47"/>
    </row>
    <row r="2780" spans="1:10" hidden="1" x14ac:dyDescent="0.25">
      <c r="A2780" s="11"/>
      <c r="B2780" s="12"/>
      <c r="C2780" s="35"/>
      <c r="D2780" s="34"/>
      <c r="E2780" s="30"/>
      <c r="F2780" s="14"/>
      <c r="G2780" s="14">
        <f t="shared" si="72"/>
        <v>0</v>
      </c>
      <c r="H2780" s="15"/>
      <c r="I2780" s="47"/>
    </row>
    <row r="2781" spans="1:10" hidden="1" x14ac:dyDescent="0.25">
      <c r="A2781" s="11"/>
      <c r="B2781" s="12"/>
      <c r="C2781" s="35"/>
      <c r="D2781" s="31"/>
      <c r="E2781" s="30"/>
      <c r="F2781" s="14"/>
      <c r="G2781" s="14">
        <f t="shared" si="72"/>
        <v>0</v>
      </c>
      <c r="H2781" s="15"/>
      <c r="I2781" s="47"/>
    </row>
    <row r="2782" spans="1:10" hidden="1" x14ac:dyDescent="0.25">
      <c r="A2782" s="11"/>
      <c r="B2782" s="12"/>
      <c r="C2782" s="35"/>
      <c r="D2782" s="31"/>
      <c r="E2782" s="30"/>
      <c r="F2782" s="14"/>
      <c r="G2782" s="14">
        <f t="shared" si="72"/>
        <v>0</v>
      </c>
      <c r="H2782" s="17"/>
      <c r="I2782" s="47"/>
    </row>
    <row r="2783" spans="1:10" x14ac:dyDescent="0.25">
      <c r="A2783" s="291"/>
      <c r="B2783" s="228"/>
      <c r="C2783" s="228"/>
      <c r="D2783" s="228"/>
      <c r="E2783" s="36"/>
      <c r="F2783" s="37" t="s">
        <v>102</v>
      </c>
      <c r="G2783" s="38"/>
      <c r="H2783" s="23">
        <f>SUM(G2774:G2782)</f>
        <v>335200</v>
      </c>
      <c r="I2783" s="220"/>
    </row>
    <row r="2784" spans="1:10" x14ac:dyDescent="0.25">
      <c r="A2784" s="291"/>
      <c r="B2784" s="228"/>
      <c r="C2784" s="228"/>
      <c r="D2784" s="228"/>
      <c r="E2784" s="36"/>
      <c r="F2784" s="39" t="s">
        <v>103</v>
      </c>
      <c r="G2784" s="38"/>
      <c r="H2784" s="23">
        <f>ROUND((D2774*G2774)+(D2775*G2775)+(D2776*G2776)+(D2777*G2777)+(D2778*G2778)+(D2779*G2779)+(D2780*G2780)+(D2781*G2781)+(D2782*G2782),0)</f>
        <v>0</v>
      </c>
      <c r="I2784" s="220"/>
    </row>
    <row r="2785" spans="1:9" x14ac:dyDescent="0.25">
      <c r="A2785" s="291"/>
      <c r="B2785" s="228"/>
      <c r="C2785" s="228"/>
      <c r="D2785" s="228"/>
      <c r="E2785" s="36"/>
      <c r="F2785" s="20" t="s">
        <v>104</v>
      </c>
      <c r="G2785" s="40"/>
      <c r="H2785" s="23">
        <f>SUM(H2783:H2784)</f>
        <v>335200</v>
      </c>
      <c r="I2785" s="220"/>
    </row>
    <row r="2786" spans="1:9" x14ac:dyDescent="0.25">
      <c r="A2786" s="291" t="s">
        <v>105</v>
      </c>
      <c r="B2786" s="228"/>
      <c r="C2786" s="228"/>
      <c r="D2786" s="228"/>
      <c r="E2786" s="47"/>
      <c r="F2786" s="47"/>
      <c r="G2786" s="47"/>
      <c r="H2786" s="233"/>
      <c r="I2786" s="47"/>
    </row>
    <row r="2787" spans="1:9" x14ac:dyDescent="0.25">
      <c r="A2787" s="24" t="s">
        <v>0</v>
      </c>
      <c r="B2787" s="24"/>
      <c r="C2787" s="8" t="s">
        <v>106</v>
      </c>
      <c r="D2787" s="8" t="s">
        <v>107</v>
      </c>
      <c r="E2787" s="9" t="s">
        <v>108</v>
      </c>
      <c r="F2787" s="9" t="s">
        <v>109</v>
      </c>
      <c r="G2787" s="41" t="s">
        <v>96</v>
      </c>
      <c r="H2787" s="10"/>
      <c r="I2787" s="47"/>
    </row>
    <row r="2788" spans="1:9" x14ac:dyDescent="0.25">
      <c r="A2788" s="18" t="s">
        <v>110</v>
      </c>
      <c r="B2788" s="42"/>
      <c r="C2788" s="13">
        <f>104000+26000</f>
        <v>130000</v>
      </c>
      <c r="D2788" s="13">
        <f>+C2788*0.16</f>
        <v>20800</v>
      </c>
      <c r="E2788" s="14">
        <f>C2788+D2788</f>
        <v>150800</v>
      </c>
      <c r="F2788" s="30">
        <v>0.4</v>
      </c>
      <c r="G2788" s="14">
        <f>ROUND(E2788*F2788,0)</f>
        <v>60320</v>
      </c>
      <c r="H2788" s="15"/>
      <c r="I2788" s="47"/>
    </row>
    <row r="2789" spans="1:9" x14ac:dyDescent="0.25">
      <c r="A2789" s="18" t="s">
        <v>111</v>
      </c>
      <c r="B2789" s="42"/>
      <c r="C2789" s="13">
        <f>60400+25850</f>
        <v>86250</v>
      </c>
      <c r="D2789" s="13">
        <f>+C2789*0.16</f>
        <v>13800</v>
      </c>
      <c r="E2789" s="14">
        <f>C2789+D2789</f>
        <v>100050</v>
      </c>
      <c r="F2789" s="30">
        <v>0.36</v>
      </c>
      <c r="G2789" s="14">
        <f>ROUND(E2789*F2789,0)</f>
        <v>36018</v>
      </c>
      <c r="H2789" s="15"/>
      <c r="I2789" s="47"/>
    </row>
    <row r="2790" spans="1:9" x14ac:dyDescent="0.25">
      <c r="A2790" s="18"/>
      <c r="B2790" s="42"/>
      <c r="C2790" s="43"/>
      <c r="D2790" s="43"/>
      <c r="E2790" s="44">
        <f>C2790+D2790</f>
        <v>0</v>
      </c>
      <c r="F2790" s="45"/>
      <c r="G2790" s="14">
        <f>ROUND(E2790*F2790,0)</f>
        <v>0</v>
      </c>
      <c r="H2790" s="15"/>
      <c r="I2790" s="47"/>
    </row>
    <row r="2791" spans="1:9" x14ac:dyDescent="0.25">
      <c r="A2791" s="291"/>
      <c r="B2791" s="228"/>
      <c r="C2791" s="228"/>
      <c r="D2791" s="228"/>
      <c r="E2791" s="277" t="s">
        <v>112</v>
      </c>
      <c r="F2791" s="277"/>
      <c r="G2791" s="277"/>
      <c r="H2791" s="23">
        <f>SUM(G2788:G2790)</f>
        <v>96338</v>
      </c>
      <c r="I2791" s="220"/>
    </row>
    <row r="2792" spans="1:9" x14ac:dyDescent="0.25">
      <c r="A2792" s="291"/>
      <c r="B2792" s="228"/>
      <c r="C2792" s="228"/>
      <c r="D2792" s="228"/>
      <c r="E2792" s="47"/>
      <c r="F2792" s="47"/>
      <c r="G2792" s="47"/>
      <c r="H2792" s="233"/>
      <c r="I2792" s="47"/>
    </row>
    <row r="2793" spans="1:9" x14ac:dyDescent="0.25">
      <c r="A2793" s="18"/>
      <c r="B2793" s="19"/>
      <c r="C2793" s="19"/>
      <c r="D2793" s="19"/>
      <c r="E2793" s="48" t="s">
        <v>113</v>
      </c>
      <c r="F2793" s="48"/>
      <c r="G2793" s="48"/>
      <c r="H2793" s="25">
        <f>H2791+H2785+H2771</f>
        <v>463847</v>
      </c>
      <c r="I2793" s="222"/>
    </row>
    <row r="2794" spans="1:9" x14ac:dyDescent="0.25">
      <c r="A2794" s="291"/>
      <c r="B2794" s="228"/>
      <c r="C2794" s="228"/>
      <c r="D2794" s="228"/>
      <c r="E2794" s="47"/>
      <c r="F2794" s="47"/>
      <c r="G2794" s="47"/>
      <c r="H2794" s="233"/>
      <c r="I2794" s="47"/>
    </row>
    <row r="2795" spans="1:9" x14ac:dyDescent="0.25">
      <c r="A2795" s="291" t="s">
        <v>114</v>
      </c>
      <c r="B2795" s="228"/>
      <c r="C2795" s="228"/>
      <c r="D2795" s="228"/>
      <c r="E2795" s="47"/>
      <c r="F2795" s="47"/>
      <c r="G2795" s="47"/>
      <c r="H2795" s="233"/>
      <c r="I2795" s="47"/>
    </row>
    <row r="2796" spans="1:9" x14ac:dyDescent="0.25">
      <c r="A2796" s="6" t="s">
        <v>0</v>
      </c>
      <c r="B2796" s="49"/>
      <c r="C2796" s="49"/>
      <c r="D2796" s="49"/>
      <c r="E2796" s="50"/>
      <c r="F2796" s="9" t="s">
        <v>115</v>
      </c>
      <c r="G2796" s="41" t="s">
        <v>116</v>
      </c>
      <c r="H2796" s="10"/>
      <c r="I2796" s="47"/>
    </row>
    <row r="2797" spans="1:9" x14ac:dyDescent="0.25">
      <c r="A2797" s="11" t="s">
        <v>117</v>
      </c>
      <c r="B2797" s="51"/>
      <c r="C2797" s="51"/>
      <c r="D2797" s="51"/>
      <c r="E2797" s="52"/>
      <c r="F2797" s="53"/>
      <c r="G2797" s="14">
        <f>F2797*H2793</f>
        <v>0</v>
      </c>
      <c r="H2797" s="15"/>
      <c r="I2797" s="47"/>
    </row>
    <row r="2798" spans="1:9" hidden="1" x14ac:dyDescent="0.25">
      <c r="A2798" s="11"/>
      <c r="B2798" s="51"/>
      <c r="C2798" s="51"/>
      <c r="D2798" s="51"/>
      <c r="E2798" s="52"/>
      <c r="F2798" s="53"/>
      <c r="G2798" s="14">
        <f>F2798*H2793</f>
        <v>0</v>
      </c>
      <c r="H2798" s="15"/>
      <c r="I2798" s="47"/>
    </row>
    <row r="2799" spans="1:9" x14ac:dyDescent="0.25">
      <c r="A2799" s="11"/>
      <c r="B2799" s="51"/>
      <c r="C2799" s="51"/>
      <c r="D2799" s="51"/>
      <c r="E2799" s="52"/>
      <c r="F2799" s="53"/>
      <c r="G2799" s="14">
        <f>F2799*H2793</f>
        <v>0</v>
      </c>
      <c r="H2799" s="17"/>
      <c r="I2799" s="47"/>
    </row>
    <row r="2800" spans="1:9" ht="15.75" thickBot="1" x14ac:dyDescent="0.3">
      <c r="A2800" s="4"/>
      <c r="B2800" s="4"/>
      <c r="C2800" s="4"/>
      <c r="D2800" s="4"/>
      <c r="E2800" s="46" t="s">
        <v>118</v>
      </c>
      <c r="F2800" s="46"/>
      <c r="G2800" s="46"/>
      <c r="H2800" s="36">
        <f>SUM(G2797:G2799)</f>
        <v>0</v>
      </c>
      <c r="I2800" s="220"/>
    </row>
    <row r="2801" spans="1:9" ht="15.75" hidden="1" thickBot="1" x14ac:dyDescent="0.3">
      <c r="A2801" s="4"/>
      <c r="B2801" s="4"/>
      <c r="C2801" s="4"/>
      <c r="D2801" s="4"/>
      <c r="E2801" s="5"/>
      <c r="F2801" s="5"/>
      <c r="G2801" s="5"/>
      <c r="H2801" s="5"/>
      <c r="I2801" s="47"/>
    </row>
    <row r="2802" spans="1:9" ht="15.75" thickBot="1" x14ac:dyDescent="0.3">
      <c r="A2802" s="4"/>
      <c r="B2802" s="4"/>
      <c r="C2802" s="4"/>
      <c r="D2802" s="4"/>
      <c r="E2802" s="54"/>
      <c r="F2802" s="54" t="s">
        <v>119</v>
      </c>
      <c r="G2802" s="54"/>
      <c r="H2802" s="240">
        <f>SUM(H2800+H2793)</f>
        <v>463847</v>
      </c>
      <c r="I2802" s="112"/>
    </row>
    <row r="2803" spans="1:9" x14ac:dyDescent="0.25">
      <c r="A2803" s="4"/>
      <c r="B2803" s="4"/>
      <c r="C2803" s="4"/>
      <c r="D2803" s="4"/>
      <c r="E2803" s="54"/>
      <c r="F2803" s="54"/>
      <c r="G2803" s="54"/>
      <c r="H2803" s="112"/>
      <c r="I2803" s="112"/>
    </row>
    <row r="2804" spans="1:9" x14ac:dyDescent="0.25">
      <c r="A2804" s="4"/>
      <c r="B2804" s="4"/>
      <c r="C2804" s="4"/>
      <c r="D2804" s="4"/>
      <c r="E2804" s="54"/>
      <c r="F2804" s="54"/>
      <c r="G2804" s="54"/>
      <c r="H2804" s="112"/>
      <c r="I2804" s="112"/>
    </row>
    <row r="2805" spans="1:9" x14ac:dyDescent="0.25">
      <c r="A2805" s="4"/>
      <c r="B2805" s="4"/>
      <c r="C2805" s="4"/>
      <c r="D2805" s="4"/>
      <c r="E2805" s="54"/>
      <c r="F2805" s="54"/>
      <c r="G2805" s="54"/>
      <c r="H2805" s="112"/>
      <c r="I2805" s="112"/>
    </row>
    <row r="2806" spans="1:9" x14ac:dyDescent="0.25">
      <c r="A2806" s="4"/>
      <c r="B2806" s="4"/>
      <c r="C2806" s="4"/>
      <c r="D2806" s="4"/>
      <c r="E2806" s="54"/>
      <c r="F2806" s="54"/>
      <c r="G2806" s="54"/>
      <c r="H2806" s="112"/>
      <c r="I2806" s="112"/>
    </row>
    <row r="2807" spans="1:9" x14ac:dyDescent="0.25">
      <c r="A2807" s="4"/>
      <c r="B2807" s="4"/>
      <c r="C2807" s="4"/>
      <c r="D2807" s="4"/>
      <c r="E2807" s="54"/>
      <c r="F2807" s="54"/>
      <c r="G2807" s="54"/>
      <c r="H2807" s="112"/>
      <c r="I2807" s="112"/>
    </row>
    <row r="2808" spans="1:9" x14ac:dyDescent="0.25">
      <c r="A2808" s="4"/>
      <c r="B2808" s="4"/>
      <c r="C2808" s="4"/>
      <c r="D2808" s="4"/>
      <c r="E2808" s="54"/>
      <c r="F2808" s="54"/>
      <c r="G2808" s="54"/>
      <c r="H2808" s="112"/>
      <c r="I2808" s="112"/>
    </row>
    <row r="2809" spans="1:9" x14ac:dyDescent="0.25">
      <c r="A2809" s="4"/>
      <c r="B2809" s="4"/>
      <c r="C2809" s="4"/>
      <c r="D2809" s="4"/>
      <c r="E2809" s="54"/>
      <c r="F2809" s="54"/>
      <c r="G2809" s="54"/>
      <c r="H2809" s="112"/>
      <c r="I2809" s="112"/>
    </row>
    <row r="2810" spans="1:9" x14ac:dyDescent="0.25">
      <c r="A2810" s="4"/>
      <c r="B2810" s="4"/>
      <c r="C2810" s="4"/>
      <c r="D2810" s="4"/>
      <c r="E2810" s="54"/>
      <c r="F2810" s="54"/>
      <c r="G2810" s="54"/>
      <c r="H2810" s="112"/>
      <c r="I2810" s="112"/>
    </row>
    <row r="2811" spans="1:9" x14ac:dyDescent="0.25">
      <c r="A2811" s="4"/>
      <c r="B2811" s="4"/>
      <c r="C2811" s="4"/>
      <c r="D2811" s="4"/>
      <c r="E2811" s="54"/>
      <c r="F2811" s="54"/>
      <c r="G2811" s="54"/>
      <c r="H2811" s="112"/>
      <c r="I2811" s="112"/>
    </row>
    <row r="2812" spans="1:9" x14ac:dyDescent="0.25">
      <c r="A2812" s="4"/>
      <c r="B2812" s="4"/>
      <c r="C2812" s="4"/>
      <c r="D2812" s="4"/>
      <c r="E2812" s="54"/>
      <c r="F2812" s="54"/>
      <c r="G2812" s="54"/>
      <c r="H2812" s="112"/>
      <c r="I2812" s="112"/>
    </row>
    <row r="2813" spans="1:9" x14ac:dyDescent="0.25">
      <c r="A2813" s="4"/>
      <c r="B2813" s="4"/>
      <c r="C2813" s="4"/>
      <c r="D2813" s="4"/>
      <c r="E2813" s="54"/>
      <c r="F2813" s="54"/>
      <c r="G2813" s="54"/>
      <c r="H2813" s="112"/>
      <c r="I2813" s="112"/>
    </row>
    <row r="2814" spans="1:9" x14ac:dyDescent="0.25">
      <c r="A2814" s="4"/>
      <c r="B2814" s="4"/>
      <c r="C2814" s="4"/>
      <c r="D2814" s="4"/>
      <c r="E2814" s="54"/>
      <c r="F2814" s="54"/>
      <c r="G2814" s="54"/>
      <c r="H2814" s="112"/>
      <c r="I2814" s="112"/>
    </row>
    <row r="2815" spans="1:9" x14ac:dyDescent="0.25">
      <c r="A2815" s="4"/>
      <c r="B2815" s="4"/>
      <c r="C2815" s="4"/>
      <c r="D2815" s="4"/>
      <c r="E2815" s="54"/>
      <c r="F2815" s="54"/>
      <c r="G2815" s="54"/>
      <c r="H2815" s="112"/>
      <c r="I2815" s="112"/>
    </row>
    <row r="2816" spans="1:9" x14ac:dyDescent="0.25">
      <c r="A2816" s="4"/>
      <c r="B2816" s="4"/>
      <c r="C2816" s="4"/>
      <c r="D2816" s="4"/>
      <c r="E2816" s="54"/>
      <c r="F2816" s="54"/>
      <c r="G2816" s="54"/>
      <c r="H2816" s="112"/>
      <c r="I2816" s="112"/>
    </row>
    <row r="2817" spans="1:9" x14ac:dyDescent="0.25">
      <c r="A2817" s="4"/>
      <c r="B2817" s="4"/>
      <c r="C2817" s="4"/>
      <c r="D2817" s="4"/>
      <c r="E2817" s="54"/>
      <c r="F2817" s="54"/>
      <c r="G2817" s="54"/>
      <c r="H2817" s="112"/>
      <c r="I2817" s="112"/>
    </row>
    <row r="2818" spans="1:9" x14ac:dyDescent="0.25">
      <c r="A2818" s="4"/>
      <c r="B2818" s="4"/>
      <c r="C2818" s="4"/>
      <c r="D2818" s="4"/>
      <c r="E2818" s="54"/>
      <c r="F2818" s="54"/>
      <c r="G2818" s="54"/>
      <c r="H2818" s="112"/>
      <c r="I2818" s="112"/>
    </row>
    <row r="2819" spans="1:9" x14ac:dyDescent="0.25">
      <c r="A2819" s="4"/>
      <c r="B2819" s="4"/>
      <c r="C2819" s="4"/>
      <c r="D2819" s="4"/>
      <c r="E2819" s="54"/>
      <c r="F2819" s="54"/>
      <c r="G2819" s="54"/>
      <c r="H2819" s="112"/>
      <c r="I2819" s="112"/>
    </row>
    <row r="2820" spans="1:9" x14ac:dyDescent="0.25">
      <c r="A2820" s="4"/>
      <c r="B2820" s="4"/>
      <c r="C2820" s="4"/>
      <c r="D2820" s="4"/>
      <c r="E2820" s="54"/>
      <c r="F2820" s="54"/>
      <c r="G2820" s="54"/>
      <c r="H2820" s="112"/>
      <c r="I2820" s="112"/>
    </row>
    <row r="2824" spans="1:9" x14ac:dyDescent="0.25">
      <c r="A2824" s="412" t="s">
        <v>79</v>
      </c>
      <c r="B2824" s="412"/>
      <c r="C2824" s="412"/>
      <c r="D2824" s="412"/>
      <c r="E2824" s="412"/>
      <c r="F2824" s="412"/>
      <c r="G2824" s="412"/>
      <c r="H2824" s="412"/>
      <c r="I2824" s="250"/>
    </row>
    <row r="2825" spans="1:9" x14ac:dyDescent="0.25">
      <c r="A2825" s="4"/>
      <c r="B2825" s="4"/>
      <c r="C2825" s="4"/>
      <c r="D2825" s="4"/>
      <c r="E2825" s="5"/>
      <c r="F2825" s="5"/>
      <c r="G2825" s="411" t="s">
        <v>326</v>
      </c>
      <c r="H2825" s="411"/>
      <c r="I2825" s="251"/>
    </row>
    <row r="2826" spans="1:9" ht="29.45" customHeight="1" x14ac:dyDescent="0.25">
      <c r="A2826" s="410" t="s">
        <v>401</v>
      </c>
      <c r="B2826" s="410"/>
      <c r="C2826" s="410"/>
      <c r="D2826" s="410"/>
      <c r="E2826" s="410"/>
      <c r="F2826" s="410"/>
      <c r="G2826" s="410"/>
      <c r="H2826" s="410"/>
      <c r="I2826" s="254"/>
    </row>
    <row r="2827" spans="1:9" x14ac:dyDescent="0.25">
      <c r="A2827" s="4"/>
      <c r="B2827" s="4"/>
      <c r="C2827" s="4"/>
      <c r="D2827" s="4"/>
      <c r="E2827" s="5"/>
      <c r="F2827" s="5"/>
      <c r="G2827" s="414" t="s">
        <v>160</v>
      </c>
      <c r="H2827" s="414"/>
      <c r="I2827" s="253"/>
    </row>
    <row r="2828" spans="1:9" x14ac:dyDescent="0.25">
      <c r="A2828" s="4" t="s">
        <v>82</v>
      </c>
      <c r="B2828" s="4"/>
      <c r="C2828" s="4"/>
      <c r="D2828" s="4"/>
      <c r="E2828" s="5"/>
      <c r="F2828" s="5"/>
      <c r="G2828" s="5"/>
      <c r="H2828" s="5"/>
      <c r="I2828" s="47"/>
    </row>
    <row r="2829" spans="1:9" x14ac:dyDescent="0.25">
      <c r="A2829" s="6" t="s">
        <v>0</v>
      </c>
      <c r="B2829" s="7"/>
      <c r="C2829" s="8" t="s">
        <v>83</v>
      </c>
      <c r="D2829" s="8" t="s">
        <v>84</v>
      </c>
      <c r="E2829" s="9" t="s">
        <v>85</v>
      </c>
      <c r="F2829" s="9" t="s">
        <v>86</v>
      </c>
      <c r="G2829" s="9" t="s">
        <v>87</v>
      </c>
      <c r="H2829" s="10"/>
      <c r="I2829" s="47"/>
    </row>
    <row r="2830" spans="1:9" x14ac:dyDescent="0.25">
      <c r="A2830" s="11" t="s">
        <v>88</v>
      </c>
      <c r="B2830" s="12"/>
      <c r="C2830" s="13"/>
      <c r="D2830" s="13"/>
      <c r="E2830" s="14"/>
      <c r="F2830" s="14"/>
      <c r="G2830" s="14">
        <f>ROUND(H2854*0.05,0)+8-16</f>
        <v>2451</v>
      </c>
      <c r="H2830" s="15"/>
      <c r="I2830" s="47"/>
    </row>
    <row r="2831" spans="1:9" x14ac:dyDescent="0.25">
      <c r="A2831" s="11" t="s">
        <v>327</v>
      </c>
      <c r="B2831" s="12"/>
      <c r="C2831" s="13"/>
      <c r="D2831" s="13"/>
      <c r="E2831" s="14">
        <v>350000</v>
      </c>
      <c r="F2831" s="14">
        <v>0.3</v>
      </c>
      <c r="G2831" s="14">
        <f>ROUND(E2831*F2831,0)</f>
        <v>105000</v>
      </c>
      <c r="H2831" s="15"/>
      <c r="I2831" s="47"/>
    </row>
    <row r="2832" spans="1:9" x14ac:dyDescent="0.25">
      <c r="A2832" s="11" t="s">
        <v>328</v>
      </c>
      <c r="B2832" s="11"/>
      <c r="C2832" s="13"/>
      <c r="D2832" s="13"/>
      <c r="E2832" s="14">
        <v>50000</v>
      </c>
      <c r="F2832" s="14">
        <v>1</v>
      </c>
      <c r="G2832" s="14">
        <f t="shared" ref="G2832:G2833" si="73">ROUND(E2832*F2832,0)</f>
        <v>50000</v>
      </c>
      <c r="H2832" s="15"/>
      <c r="I2832" s="47"/>
    </row>
    <row r="2833" spans="1:16" x14ac:dyDescent="0.25">
      <c r="A2833" s="415"/>
      <c r="B2833" s="416"/>
      <c r="C2833" s="13"/>
      <c r="D2833" s="13"/>
      <c r="E2833" s="14"/>
      <c r="F2833" s="14"/>
      <c r="G2833" s="14">
        <f t="shared" si="73"/>
        <v>0</v>
      </c>
      <c r="H2833" s="58"/>
      <c r="I2833" s="224"/>
    </row>
    <row r="2834" spans="1:16" x14ac:dyDescent="0.25">
      <c r="A2834" s="18"/>
      <c r="B2834" s="19"/>
      <c r="C2834" s="19"/>
      <c r="D2834" s="19"/>
      <c r="E2834" s="20"/>
      <c r="F2834" s="21" t="s">
        <v>90</v>
      </c>
      <c r="G2834" s="22"/>
      <c r="H2834" s="23">
        <f>SUM(G2830:G2833)</f>
        <v>157451</v>
      </c>
      <c r="I2834" s="220"/>
    </row>
    <row r="2835" spans="1:16" x14ac:dyDescent="0.25">
      <c r="A2835" s="291" t="s">
        <v>91</v>
      </c>
      <c r="B2835" s="228"/>
      <c r="C2835" s="228"/>
      <c r="D2835" s="228"/>
      <c r="E2835" s="47"/>
      <c r="F2835" s="47"/>
      <c r="G2835" s="47"/>
      <c r="H2835" s="233"/>
      <c r="I2835" s="47"/>
    </row>
    <row r="2836" spans="1:16" x14ac:dyDescent="0.25">
      <c r="A2836" s="24" t="s">
        <v>0</v>
      </c>
      <c r="B2836" s="24"/>
      <c r="C2836" s="8" t="s">
        <v>92</v>
      </c>
      <c r="D2836" s="8" t="s">
        <v>93</v>
      </c>
      <c r="E2836" s="9" t="s">
        <v>94</v>
      </c>
      <c r="F2836" s="9" t="s">
        <v>95</v>
      </c>
      <c r="G2836" s="25" t="s">
        <v>96</v>
      </c>
      <c r="H2836" s="10"/>
      <c r="I2836" s="47"/>
    </row>
    <row r="2837" spans="1:16" ht="11.45" customHeight="1" x14ac:dyDescent="0.25">
      <c r="A2837" s="504"/>
      <c r="B2837" s="505"/>
      <c r="C2837" s="59"/>
      <c r="D2837" s="60"/>
      <c r="E2837" s="61"/>
      <c r="F2837" s="62"/>
      <c r="G2837" s="62">
        <f t="shared" ref="G2837:G2845" si="74">ROUND(E2837*F2837,0)</f>
        <v>0</v>
      </c>
      <c r="H2837" s="15"/>
      <c r="I2837" s="47"/>
      <c r="L2837" s="63"/>
      <c r="M2837" s="63"/>
      <c r="N2837" s="63"/>
      <c r="O2837" s="63"/>
      <c r="P2837" s="63"/>
    </row>
    <row r="2838" spans="1:16" ht="28.9" customHeight="1" x14ac:dyDescent="0.25">
      <c r="A2838" s="496" t="s">
        <v>346</v>
      </c>
      <c r="B2838" s="496"/>
      <c r="C2838" s="183" t="s">
        <v>154</v>
      </c>
      <c r="D2838" s="65">
        <v>0.05</v>
      </c>
      <c r="E2838" s="61">
        <v>0.15</v>
      </c>
      <c r="F2838" s="62">
        <f>ROUND(146000/3,0)</f>
        <v>48667</v>
      </c>
      <c r="G2838" s="62">
        <f t="shared" si="74"/>
        <v>7300</v>
      </c>
      <c r="H2838" s="15"/>
      <c r="I2838" s="47"/>
    </row>
    <row r="2839" spans="1:16" s="158" customFormat="1" ht="11.25" hidden="1" x14ac:dyDescent="0.2">
      <c r="A2839" s="496"/>
      <c r="B2839" s="496"/>
      <c r="C2839" s="59"/>
      <c r="D2839" s="60"/>
      <c r="E2839" s="66"/>
      <c r="F2839" s="67"/>
      <c r="G2839" s="67">
        <f t="shared" si="74"/>
        <v>0</v>
      </c>
      <c r="H2839" s="157"/>
      <c r="I2839" s="232"/>
    </row>
    <row r="2840" spans="1:16" x14ac:dyDescent="0.25">
      <c r="A2840" s="419" t="s">
        <v>347</v>
      </c>
      <c r="B2840" s="419"/>
      <c r="C2840" s="28" t="s">
        <v>140</v>
      </c>
      <c r="D2840" s="31"/>
      <c r="E2840" s="30">
        <v>0.15</v>
      </c>
      <c r="F2840" s="14">
        <v>58000</v>
      </c>
      <c r="G2840" s="14">
        <f t="shared" si="74"/>
        <v>8700</v>
      </c>
      <c r="H2840" s="15"/>
      <c r="I2840" s="47"/>
    </row>
    <row r="2841" spans="1:16" x14ac:dyDescent="0.25">
      <c r="A2841" s="419" t="s">
        <v>197</v>
      </c>
      <c r="B2841" s="419"/>
      <c r="C2841" s="28" t="s">
        <v>18</v>
      </c>
      <c r="D2841" s="34"/>
      <c r="E2841" s="30">
        <v>2</v>
      </c>
      <c r="F2841" s="14">
        <v>1900</v>
      </c>
      <c r="G2841" s="14">
        <f t="shared" si="74"/>
        <v>3800</v>
      </c>
      <c r="H2841" s="15"/>
      <c r="I2841" s="47"/>
    </row>
    <row r="2842" spans="1:16" x14ac:dyDescent="0.25">
      <c r="A2842" s="419" t="s">
        <v>196</v>
      </c>
      <c r="B2842" s="419"/>
      <c r="C2842" s="28" t="s">
        <v>18</v>
      </c>
      <c r="D2842" s="31"/>
      <c r="E2842" s="30">
        <v>0.5</v>
      </c>
      <c r="F2842" s="14">
        <v>8500</v>
      </c>
      <c r="G2842" s="14">
        <f t="shared" si="74"/>
        <v>4250</v>
      </c>
      <c r="H2842" s="15"/>
      <c r="I2842" s="47"/>
    </row>
    <row r="2843" spans="1:16" ht="36.6" customHeight="1" x14ac:dyDescent="0.25">
      <c r="A2843" s="417" t="s">
        <v>348</v>
      </c>
      <c r="B2843" s="418"/>
      <c r="C2843" s="183" t="s">
        <v>140</v>
      </c>
      <c r="D2843" s="70">
        <v>0.05</v>
      </c>
      <c r="E2843" s="61">
        <v>0.15</v>
      </c>
      <c r="F2843" s="62">
        <v>205000</v>
      </c>
      <c r="G2843" s="62">
        <f t="shared" si="74"/>
        <v>30750</v>
      </c>
      <c r="H2843" s="71"/>
      <c r="I2843" s="226"/>
    </row>
    <row r="2844" spans="1:16" x14ac:dyDescent="0.25">
      <c r="A2844" s="417" t="s">
        <v>345</v>
      </c>
      <c r="B2844" s="418"/>
      <c r="C2844" s="84" t="s">
        <v>158</v>
      </c>
      <c r="D2844" s="65"/>
      <c r="E2844" s="61">
        <v>1</v>
      </c>
      <c r="F2844" s="62">
        <v>50000</v>
      </c>
      <c r="G2844" s="62">
        <f t="shared" si="74"/>
        <v>50000</v>
      </c>
      <c r="H2844" s="15"/>
      <c r="I2844" s="47"/>
    </row>
    <row r="2845" spans="1:16" x14ac:dyDescent="0.25">
      <c r="A2845" s="11"/>
      <c r="B2845" s="12"/>
      <c r="C2845" s="35"/>
      <c r="D2845" s="31"/>
      <c r="E2845" s="30"/>
      <c r="F2845" s="14"/>
      <c r="G2845" s="14">
        <f t="shared" si="74"/>
        <v>0</v>
      </c>
      <c r="H2845" s="17"/>
      <c r="I2845" s="47"/>
    </row>
    <row r="2846" spans="1:16" x14ac:dyDescent="0.25">
      <c r="A2846" s="291"/>
      <c r="B2846" s="228"/>
      <c r="C2846" s="228"/>
      <c r="D2846" s="228"/>
      <c r="E2846" s="36"/>
      <c r="F2846" s="37" t="s">
        <v>102</v>
      </c>
      <c r="G2846" s="38"/>
      <c r="H2846" s="23">
        <f>SUM(G2837:G2845)</f>
        <v>104800</v>
      </c>
      <c r="I2846" s="220"/>
    </row>
    <row r="2847" spans="1:16" x14ac:dyDescent="0.25">
      <c r="A2847" s="291"/>
      <c r="B2847" s="228"/>
      <c r="C2847" s="228"/>
      <c r="D2847" s="228"/>
      <c r="E2847" s="36"/>
      <c r="F2847" s="39" t="s">
        <v>103</v>
      </c>
      <c r="G2847" s="38"/>
      <c r="H2847" s="23">
        <f>ROUND((D2837*G2837)+(D2838*G2838)+(D2839*G2839)+(D2840*G2840)+(D2841*G2841)+(D2842*G2842)+(D2843*G2843)+(D2844*G2844)+(D2845*G2845),0)</f>
        <v>1903</v>
      </c>
      <c r="I2847" s="220"/>
    </row>
    <row r="2848" spans="1:16" x14ac:dyDescent="0.25">
      <c r="A2848" s="291"/>
      <c r="B2848" s="228"/>
      <c r="C2848" s="228"/>
      <c r="D2848" s="228"/>
      <c r="E2848" s="36"/>
      <c r="F2848" s="20" t="s">
        <v>104</v>
      </c>
      <c r="G2848" s="40"/>
      <c r="H2848" s="23">
        <f>SUM(H2846:H2847)</f>
        <v>106703</v>
      </c>
      <c r="I2848" s="220"/>
    </row>
    <row r="2849" spans="1:9" x14ac:dyDescent="0.25">
      <c r="A2849" s="291" t="s">
        <v>105</v>
      </c>
      <c r="B2849" s="228"/>
      <c r="C2849" s="228"/>
      <c r="D2849" s="228"/>
      <c r="E2849" s="47"/>
      <c r="F2849" s="47"/>
      <c r="G2849" s="47"/>
      <c r="H2849" s="233"/>
      <c r="I2849" s="47"/>
    </row>
    <row r="2850" spans="1:9" x14ac:dyDescent="0.25">
      <c r="A2850" s="24" t="s">
        <v>0</v>
      </c>
      <c r="B2850" s="24"/>
      <c r="C2850" s="8" t="s">
        <v>106</v>
      </c>
      <c r="D2850" s="8" t="s">
        <v>107</v>
      </c>
      <c r="E2850" s="9" t="s">
        <v>108</v>
      </c>
      <c r="F2850" s="9" t="s">
        <v>109</v>
      </c>
      <c r="G2850" s="41" t="s">
        <v>96</v>
      </c>
      <c r="H2850" s="10"/>
      <c r="I2850" s="47"/>
    </row>
    <row r="2851" spans="1:9" x14ac:dyDescent="0.25">
      <c r="A2851" s="18" t="s">
        <v>110</v>
      </c>
      <c r="B2851" s="42"/>
      <c r="C2851" s="13">
        <f>104000+26000</f>
        <v>130000</v>
      </c>
      <c r="D2851" s="13">
        <f>+C2851*0.16</f>
        <v>20800</v>
      </c>
      <c r="E2851" s="14">
        <f>C2851+D2851</f>
        <v>150800</v>
      </c>
      <c r="F2851" s="30">
        <v>0.2</v>
      </c>
      <c r="G2851" s="14">
        <f>ROUND(E2851*F2851,0)</f>
        <v>30160</v>
      </c>
      <c r="H2851" s="15"/>
      <c r="I2851" s="47"/>
    </row>
    <row r="2852" spans="1:9" x14ac:dyDescent="0.25">
      <c r="A2852" s="18" t="s">
        <v>111</v>
      </c>
      <c r="B2852" s="42"/>
      <c r="C2852" s="13">
        <f>60400+25850</f>
        <v>86250</v>
      </c>
      <c r="D2852" s="13">
        <f>+C2852*0.16</f>
        <v>13800</v>
      </c>
      <c r="E2852" s="14">
        <f>C2852+D2852</f>
        <v>100050</v>
      </c>
      <c r="F2852" s="30">
        <v>0.19</v>
      </c>
      <c r="G2852" s="14">
        <f>ROUND(E2852*F2852,0)</f>
        <v>19010</v>
      </c>
      <c r="H2852" s="15"/>
      <c r="I2852" s="47"/>
    </row>
    <row r="2853" spans="1:9" x14ac:dyDescent="0.25">
      <c r="A2853" s="18"/>
      <c r="B2853" s="42"/>
      <c r="C2853" s="43"/>
      <c r="D2853" s="43"/>
      <c r="E2853" s="44">
        <f>C2853+D2853</f>
        <v>0</v>
      </c>
      <c r="F2853" s="45"/>
      <c r="G2853" s="14">
        <f>ROUND(E2853*F2853,0)</f>
        <v>0</v>
      </c>
      <c r="H2853" s="15"/>
      <c r="I2853" s="47"/>
    </row>
    <row r="2854" spans="1:9" x14ac:dyDescent="0.25">
      <c r="A2854" s="291"/>
      <c r="B2854" s="228"/>
      <c r="C2854" s="228"/>
      <c r="D2854" s="228"/>
      <c r="E2854" s="277" t="s">
        <v>112</v>
      </c>
      <c r="F2854" s="277"/>
      <c r="G2854" s="277"/>
      <c r="H2854" s="82">
        <f>SUM(G2851:G2853)</f>
        <v>49170</v>
      </c>
      <c r="I2854" s="221"/>
    </row>
    <row r="2855" spans="1:9" x14ac:dyDescent="0.25">
      <c r="A2855" s="291"/>
      <c r="B2855" s="228"/>
      <c r="C2855" s="228"/>
      <c r="D2855" s="228"/>
      <c r="E2855" s="47"/>
      <c r="F2855" s="47"/>
      <c r="G2855" s="47"/>
      <c r="H2855" s="233"/>
      <c r="I2855" s="47"/>
    </row>
    <row r="2856" spans="1:9" x14ac:dyDescent="0.25">
      <c r="A2856" s="18"/>
      <c r="B2856" s="19"/>
      <c r="C2856" s="19"/>
      <c r="D2856" s="19"/>
      <c r="E2856" s="48" t="s">
        <v>113</v>
      </c>
      <c r="F2856" s="48"/>
      <c r="G2856" s="48"/>
      <c r="H2856" s="25">
        <f>H2854+H2848+H2834</f>
        <v>313324</v>
      </c>
      <c r="I2856" s="222"/>
    </row>
    <row r="2857" spans="1:9" x14ac:dyDescent="0.25">
      <c r="A2857" s="291"/>
      <c r="B2857" s="228"/>
      <c r="C2857" s="228"/>
      <c r="D2857" s="228"/>
      <c r="E2857" s="47"/>
      <c r="F2857" s="47"/>
      <c r="G2857" s="47"/>
      <c r="H2857" s="233"/>
      <c r="I2857" s="47"/>
    </row>
    <row r="2858" spans="1:9" x14ac:dyDescent="0.25">
      <c r="A2858" s="291" t="s">
        <v>114</v>
      </c>
      <c r="B2858" s="228"/>
      <c r="C2858" s="228"/>
      <c r="D2858" s="228"/>
      <c r="E2858" s="47"/>
      <c r="F2858" s="47"/>
      <c r="G2858" s="47"/>
      <c r="H2858" s="233"/>
      <c r="I2858" s="47"/>
    </row>
    <row r="2859" spans="1:9" x14ac:dyDescent="0.25">
      <c r="A2859" s="6" t="s">
        <v>0</v>
      </c>
      <c r="B2859" s="49"/>
      <c r="C2859" s="49"/>
      <c r="D2859" s="49"/>
      <c r="E2859" s="50"/>
      <c r="F2859" s="9" t="s">
        <v>115</v>
      </c>
      <c r="G2859" s="41" t="s">
        <v>116</v>
      </c>
      <c r="H2859" s="10"/>
      <c r="I2859" s="47"/>
    </row>
    <row r="2860" spans="1:9" x14ac:dyDescent="0.25">
      <c r="A2860" s="11" t="s">
        <v>117</v>
      </c>
      <c r="B2860" s="51"/>
      <c r="C2860" s="51"/>
      <c r="D2860" s="51"/>
      <c r="E2860" s="52"/>
      <c r="F2860" s="53"/>
      <c r="G2860" s="14">
        <f>F2860*H2856</f>
        <v>0</v>
      </c>
      <c r="H2860" s="15"/>
      <c r="I2860" s="47"/>
    </row>
    <row r="2861" spans="1:9" x14ac:dyDescent="0.25">
      <c r="A2861" s="11"/>
      <c r="B2861" s="51"/>
      <c r="C2861" s="51"/>
      <c r="D2861" s="51"/>
      <c r="E2861" s="52"/>
      <c r="F2861" s="53"/>
      <c r="G2861" s="14">
        <f>F2861*H2856</f>
        <v>0</v>
      </c>
      <c r="H2861" s="15"/>
      <c r="I2861" s="47"/>
    </row>
    <row r="2862" spans="1:9" x14ac:dyDescent="0.25">
      <c r="A2862" s="11"/>
      <c r="B2862" s="51"/>
      <c r="C2862" s="51"/>
      <c r="D2862" s="51"/>
      <c r="E2862" s="52"/>
      <c r="F2862" s="53"/>
      <c r="G2862" s="14">
        <f>F2862*H2856</f>
        <v>0</v>
      </c>
      <c r="H2862" s="17"/>
      <c r="I2862" s="47"/>
    </row>
    <row r="2863" spans="1:9" x14ac:dyDescent="0.25">
      <c r="A2863" s="4"/>
      <c r="B2863" s="4"/>
      <c r="C2863" s="4"/>
      <c r="D2863" s="4"/>
      <c r="E2863" s="46" t="s">
        <v>118</v>
      </c>
      <c r="F2863" s="46"/>
      <c r="G2863" s="46"/>
      <c r="H2863" s="36">
        <f>SUM(G2860:G2862)</f>
        <v>0</v>
      </c>
      <c r="I2863" s="220"/>
    </row>
    <row r="2864" spans="1:9" ht="15.75" thickBot="1" x14ac:dyDescent="0.3">
      <c r="A2864" s="4"/>
      <c r="B2864" s="4"/>
      <c r="C2864" s="4"/>
      <c r="D2864" s="4"/>
      <c r="E2864" s="5"/>
      <c r="F2864" s="5"/>
      <c r="G2864" s="5"/>
      <c r="H2864" s="5"/>
      <c r="I2864" s="47"/>
    </row>
    <row r="2865" spans="1:9" ht="15.75" thickBot="1" x14ac:dyDescent="0.3">
      <c r="A2865" s="4"/>
      <c r="B2865" s="4"/>
      <c r="C2865" s="4"/>
      <c r="D2865" s="4"/>
      <c r="E2865" s="54"/>
      <c r="F2865" s="54" t="s">
        <v>119</v>
      </c>
      <c r="G2865" s="54"/>
      <c r="H2865" s="240">
        <f>SUM(H2863+H2856)</f>
        <v>313324</v>
      </c>
      <c r="I2865" s="112"/>
    </row>
    <row r="2872" spans="1:9" x14ac:dyDescent="0.25">
      <c r="A2872" s="412" t="s">
        <v>79</v>
      </c>
      <c r="B2872" s="412"/>
      <c r="C2872" s="412"/>
      <c r="D2872" s="412"/>
      <c r="E2872" s="412"/>
      <c r="F2872" s="412"/>
      <c r="G2872" s="412"/>
      <c r="H2872" s="412"/>
      <c r="I2872" s="250"/>
    </row>
    <row r="2873" spans="1:9" x14ac:dyDescent="0.25">
      <c r="A2873" s="4"/>
      <c r="B2873" s="4"/>
      <c r="C2873" s="4"/>
      <c r="D2873" s="4"/>
      <c r="E2873" s="5"/>
      <c r="F2873" s="5"/>
      <c r="G2873" s="411" t="s">
        <v>326</v>
      </c>
      <c r="H2873" s="411"/>
      <c r="I2873" s="251"/>
    </row>
    <row r="2874" spans="1:9" ht="43.15" customHeight="1" x14ac:dyDescent="0.25">
      <c r="A2874" s="410" t="s">
        <v>402</v>
      </c>
      <c r="B2874" s="410"/>
      <c r="C2874" s="410"/>
      <c r="D2874" s="410"/>
      <c r="E2874" s="410"/>
      <c r="F2874" s="410"/>
      <c r="G2874" s="410"/>
      <c r="H2874" s="410"/>
      <c r="I2874" s="254"/>
    </row>
    <row r="2875" spans="1:9" x14ac:dyDescent="0.25">
      <c r="A2875" s="4"/>
      <c r="B2875" s="4"/>
      <c r="C2875" s="4"/>
      <c r="D2875" s="4"/>
      <c r="E2875" s="5"/>
      <c r="F2875" s="5"/>
      <c r="G2875" s="414" t="s">
        <v>215</v>
      </c>
      <c r="H2875" s="414"/>
      <c r="I2875" s="253"/>
    </row>
    <row r="2876" spans="1:9" x14ac:dyDescent="0.25">
      <c r="A2876" s="4" t="s">
        <v>82</v>
      </c>
      <c r="B2876" s="4"/>
      <c r="C2876" s="4"/>
      <c r="D2876" s="4"/>
      <c r="E2876" s="5"/>
      <c r="F2876" s="5"/>
      <c r="G2876" s="5"/>
      <c r="H2876" s="5"/>
      <c r="I2876" s="47"/>
    </row>
    <row r="2877" spans="1:9" x14ac:dyDescent="0.25">
      <c r="A2877" s="6" t="s">
        <v>0</v>
      </c>
      <c r="B2877" s="7"/>
      <c r="C2877" s="8" t="s">
        <v>83</v>
      </c>
      <c r="D2877" s="8" t="s">
        <v>84</v>
      </c>
      <c r="E2877" s="9" t="s">
        <v>85</v>
      </c>
      <c r="F2877" s="9" t="s">
        <v>86</v>
      </c>
      <c r="G2877" s="9" t="s">
        <v>87</v>
      </c>
      <c r="H2877" s="235"/>
      <c r="I2877" s="47"/>
    </row>
    <row r="2878" spans="1:9" x14ac:dyDescent="0.25">
      <c r="A2878" s="11" t="s">
        <v>88</v>
      </c>
      <c r="B2878" s="12"/>
      <c r="C2878" s="13"/>
      <c r="D2878" s="13"/>
      <c r="E2878" s="14"/>
      <c r="F2878" s="14"/>
      <c r="G2878" s="14">
        <f>ROUND(H2902*0.05,0)+8-16</f>
        <v>3782</v>
      </c>
      <c r="H2878" s="236"/>
      <c r="I2878" s="47"/>
    </row>
    <row r="2879" spans="1:9" x14ac:dyDescent="0.25">
      <c r="A2879" s="11" t="s">
        <v>327</v>
      </c>
      <c r="B2879" s="12"/>
      <c r="C2879" s="13"/>
      <c r="D2879" s="13"/>
      <c r="E2879" s="14">
        <v>350000</v>
      </c>
      <c r="F2879" s="14">
        <v>0.3</v>
      </c>
      <c r="G2879" s="14">
        <f>ROUND(E2879*F2879,0)</f>
        <v>105000</v>
      </c>
      <c r="H2879" s="236"/>
      <c r="I2879" s="47"/>
    </row>
    <row r="2880" spans="1:9" x14ac:dyDescent="0.25">
      <c r="A2880" s="11" t="s">
        <v>328</v>
      </c>
      <c r="B2880" s="11"/>
      <c r="C2880" s="13"/>
      <c r="D2880" s="13"/>
      <c r="E2880" s="14">
        <v>50000</v>
      </c>
      <c r="F2880" s="14">
        <v>1</v>
      </c>
      <c r="G2880" s="14">
        <f t="shared" ref="G2880:G2881" si="75">ROUND(E2880*F2880,0)</f>
        <v>50000</v>
      </c>
      <c r="H2880" s="236"/>
      <c r="I2880" s="47"/>
    </row>
    <row r="2881" spans="1:16" hidden="1" x14ac:dyDescent="0.25">
      <c r="A2881" s="415"/>
      <c r="B2881" s="416"/>
      <c r="C2881" s="13"/>
      <c r="D2881" s="13"/>
      <c r="E2881" s="14"/>
      <c r="F2881" s="14"/>
      <c r="G2881" s="14">
        <f t="shared" si="75"/>
        <v>0</v>
      </c>
      <c r="H2881" s="242"/>
      <c r="I2881" s="224"/>
    </row>
    <row r="2882" spans="1:16" x14ac:dyDescent="0.25">
      <c r="A2882" s="18"/>
      <c r="B2882" s="19"/>
      <c r="C2882" s="19"/>
      <c r="D2882" s="19"/>
      <c r="E2882" s="20"/>
      <c r="F2882" s="21" t="s">
        <v>90</v>
      </c>
      <c r="G2882" s="22"/>
      <c r="H2882" s="36">
        <f>SUM(G2878:G2881)</f>
        <v>158782</v>
      </c>
      <c r="I2882" s="220"/>
    </row>
    <row r="2883" spans="1:16" x14ac:dyDescent="0.25">
      <c r="A2883" s="4" t="s">
        <v>91</v>
      </c>
      <c r="B2883" s="4"/>
      <c r="C2883" s="4"/>
      <c r="D2883" s="4"/>
      <c r="E2883" s="5"/>
      <c r="F2883" s="5"/>
      <c r="G2883" s="5"/>
      <c r="H2883" s="5"/>
      <c r="I2883" s="47"/>
    </row>
    <row r="2884" spans="1:16" x14ac:dyDescent="0.25">
      <c r="A2884" s="24" t="s">
        <v>0</v>
      </c>
      <c r="B2884" s="24"/>
      <c r="C2884" s="8" t="s">
        <v>92</v>
      </c>
      <c r="D2884" s="8" t="s">
        <v>93</v>
      </c>
      <c r="E2884" s="9" t="s">
        <v>94</v>
      </c>
      <c r="F2884" s="9" t="s">
        <v>95</v>
      </c>
      <c r="G2884" s="25" t="s">
        <v>96</v>
      </c>
      <c r="H2884" s="235"/>
      <c r="I2884" s="47"/>
    </row>
    <row r="2885" spans="1:16" ht="132" customHeight="1" x14ac:dyDescent="0.25">
      <c r="A2885" s="419" t="s">
        <v>363</v>
      </c>
      <c r="B2885" s="419"/>
      <c r="C2885" s="59" t="s">
        <v>18</v>
      </c>
      <c r="D2885" s="60"/>
      <c r="E2885" s="61">
        <v>1</v>
      </c>
      <c r="F2885" s="62">
        <v>1550000</v>
      </c>
      <c r="G2885" s="62">
        <f t="shared" ref="G2885:G2893" si="76">ROUND(E2885*F2885,0)</f>
        <v>1550000</v>
      </c>
      <c r="H2885" s="236"/>
      <c r="I2885" s="47"/>
      <c r="L2885" s="63"/>
      <c r="M2885" s="63"/>
      <c r="N2885" s="63"/>
      <c r="O2885" s="63"/>
      <c r="P2885" s="63"/>
    </row>
    <row r="2886" spans="1:16" ht="48.6" hidden="1" customHeight="1" x14ac:dyDescent="0.25">
      <c r="A2886" s="419"/>
      <c r="B2886" s="419"/>
      <c r="C2886" s="59"/>
      <c r="D2886" s="65"/>
      <c r="E2886" s="61"/>
      <c r="F2886" s="62"/>
      <c r="G2886" s="62">
        <f t="shared" si="76"/>
        <v>0</v>
      </c>
      <c r="H2886" s="236"/>
      <c r="I2886" s="47"/>
    </row>
    <row r="2887" spans="1:16" hidden="1" x14ac:dyDescent="0.25">
      <c r="A2887" s="419"/>
      <c r="B2887" s="419"/>
      <c r="C2887" s="59"/>
      <c r="D2887" s="60"/>
      <c r="E2887" s="66"/>
      <c r="F2887" s="67"/>
      <c r="G2887" s="67">
        <f t="shared" si="76"/>
        <v>0</v>
      </c>
      <c r="H2887" s="243"/>
      <c r="I2887" s="225"/>
    </row>
    <row r="2888" spans="1:16" hidden="1" x14ac:dyDescent="0.25">
      <c r="A2888" s="419"/>
      <c r="B2888" s="419"/>
      <c r="C2888" s="28"/>
      <c r="D2888" s="31"/>
      <c r="E2888" s="30"/>
      <c r="F2888" s="14"/>
      <c r="G2888" s="14"/>
      <c r="H2888" s="236"/>
      <c r="I2888" s="47"/>
    </row>
    <row r="2889" spans="1:16" hidden="1" x14ac:dyDescent="0.25">
      <c r="A2889" s="419"/>
      <c r="B2889" s="419"/>
      <c r="C2889" s="28"/>
      <c r="D2889" s="34"/>
      <c r="E2889" s="30"/>
      <c r="F2889" s="14"/>
      <c r="G2889" s="14"/>
      <c r="H2889" s="236"/>
      <c r="I2889" s="47"/>
    </row>
    <row r="2890" spans="1:16" hidden="1" x14ac:dyDescent="0.25">
      <c r="A2890" s="419"/>
      <c r="B2890" s="419"/>
      <c r="C2890" s="28"/>
      <c r="D2890" s="31"/>
      <c r="E2890" s="30"/>
      <c r="F2890" s="14"/>
      <c r="G2890" s="14"/>
      <c r="H2890" s="236"/>
      <c r="I2890" s="47"/>
    </row>
    <row r="2891" spans="1:16" ht="36.6" hidden="1" customHeight="1" x14ac:dyDescent="0.25">
      <c r="A2891" s="417"/>
      <c r="B2891" s="418"/>
      <c r="C2891" s="59"/>
      <c r="D2891" s="70"/>
      <c r="E2891" s="61"/>
      <c r="F2891" s="62"/>
      <c r="G2891" s="62"/>
      <c r="H2891" s="244"/>
      <c r="I2891" s="226"/>
    </row>
    <row r="2892" spans="1:16" hidden="1" x14ac:dyDescent="0.25">
      <c r="A2892" s="417"/>
      <c r="B2892" s="418"/>
      <c r="C2892" s="84"/>
      <c r="D2892" s="65"/>
      <c r="E2892" s="61"/>
      <c r="F2892" s="62"/>
      <c r="G2892" s="62"/>
      <c r="H2892" s="236"/>
      <c r="I2892" s="47"/>
    </row>
    <row r="2893" spans="1:16" hidden="1" x14ac:dyDescent="0.25">
      <c r="A2893" s="11"/>
      <c r="B2893" s="12"/>
      <c r="C2893" s="35"/>
      <c r="D2893" s="31"/>
      <c r="E2893" s="30"/>
      <c r="F2893" s="14"/>
      <c r="G2893" s="14">
        <f t="shared" si="76"/>
        <v>0</v>
      </c>
      <c r="H2893" s="237"/>
      <c r="I2893" s="47"/>
    </row>
    <row r="2894" spans="1:16" x14ac:dyDescent="0.25">
      <c r="A2894" s="4"/>
      <c r="B2894" s="4"/>
      <c r="C2894" s="4"/>
      <c r="D2894" s="4"/>
      <c r="E2894" s="36"/>
      <c r="F2894" s="37" t="s">
        <v>102</v>
      </c>
      <c r="G2894" s="38"/>
      <c r="H2894" s="36">
        <f>SUM(G2885:G2893)</f>
        <v>1550000</v>
      </c>
      <c r="I2894" s="220"/>
    </row>
    <row r="2895" spans="1:16" x14ac:dyDescent="0.25">
      <c r="A2895" s="4"/>
      <c r="B2895" s="4"/>
      <c r="C2895" s="4"/>
      <c r="D2895" s="4"/>
      <c r="E2895" s="36"/>
      <c r="F2895" s="39" t="s">
        <v>103</v>
      </c>
      <c r="G2895" s="38"/>
      <c r="H2895" s="36">
        <f>ROUND((D2885*G2885)+(D2886*G2886)+(D2887*G2887)+(D2888*G2888)+(D2889*G2889)+(D2890*G2890)+(D2891*G2891)+(D2892*G2892)+(D2893*G2893),0)</f>
        <v>0</v>
      </c>
      <c r="I2895" s="220"/>
    </row>
    <row r="2896" spans="1:16" x14ac:dyDescent="0.25">
      <c r="A2896" s="4"/>
      <c r="B2896" s="4"/>
      <c r="C2896" s="4"/>
      <c r="D2896" s="4"/>
      <c r="E2896" s="36"/>
      <c r="F2896" s="20" t="s">
        <v>104</v>
      </c>
      <c r="G2896" s="40"/>
      <c r="H2896" s="36">
        <f>SUM(H2894:H2895)</f>
        <v>1550000</v>
      </c>
      <c r="I2896" s="220"/>
    </row>
    <row r="2897" spans="1:9" x14ac:dyDescent="0.25">
      <c r="A2897" s="4" t="s">
        <v>105</v>
      </c>
      <c r="B2897" s="4"/>
      <c r="C2897" s="4"/>
      <c r="D2897" s="4"/>
      <c r="E2897" s="5"/>
      <c r="F2897" s="5"/>
      <c r="G2897" s="5"/>
      <c r="H2897" s="5"/>
      <c r="I2897" s="47"/>
    </row>
    <row r="2898" spans="1:9" x14ac:dyDescent="0.25">
      <c r="A2898" s="24" t="s">
        <v>0</v>
      </c>
      <c r="B2898" s="24"/>
      <c r="C2898" s="8" t="s">
        <v>106</v>
      </c>
      <c r="D2898" s="8" t="s">
        <v>107</v>
      </c>
      <c r="E2898" s="9" t="s">
        <v>108</v>
      </c>
      <c r="F2898" s="9" t="s">
        <v>109</v>
      </c>
      <c r="G2898" s="41" t="s">
        <v>96</v>
      </c>
      <c r="H2898" s="235"/>
      <c r="I2898" s="47"/>
    </row>
    <row r="2899" spans="1:9" x14ac:dyDescent="0.25">
      <c r="A2899" s="18" t="s">
        <v>110</v>
      </c>
      <c r="B2899" s="42"/>
      <c r="C2899" s="13">
        <f>104000+26000</f>
        <v>130000</v>
      </c>
      <c r="D2899" s="13">
        <f>+C2899*0.16</f>
        <v>20800</v>
      </c>
      <c r="E2899" s="14">
        <f>C2899+D2899</f>
        <v>150800</v>
      </c>
      <c r="F2899" s="30">
        <v>0.37</v>
      </c>
      <c r="G2899" s="14">
        <f>ROUND(E2899*F2899,0)</f>
        <v>55796</v>
      </c>
      <c r="H2899" s="236"/>
      <c r="I2899" s="47"/>
    </row>
    <row r="2900" spans="1:9" x14ac:dyDescent="0.25">
      <c r="A2900" s="18" t="s">
        <v>111</v>
      </c>
      <c r="B2900" s="42"/>
      <c r="C2900" s="13">
        <f>60400+25850</f>
        <v>86250</v>
      </c>
      <c r="D2900" s="13">
        <f>+C2900*0.16</f>
        <v>13800</v>
      </c>
      <c r="E2900" s="14">
        <f>C2900+D2900</f>
        <v>100050</v>
      </c>
      <c r="F2900" s="30">
        <v>0.2</v>
      </c>
      <c r="G2900" s="14">
        <f>ROUND(E2900*F2900,0)</f>
        <v>20010</v>
      </c>
      <c r="H2900" s="236"/>
      <c r="I2900" s="47"/>
    </row>
    <row r="2901" spans="1:9" hidden="1" x14ac:dyDescent="0.25">
      <c r="A2901" s="18"/>
      <c r="B2901" s="42"/>
      <c r="C2901" s="43"/>
      <c r="D2901" s="43"/>
      <c r="E2901" s="44">
        <f>C2901+D2901</f>
        <v>0</v>
      </c>
      <c r="F2901" s="45"/>
      <c r="G2901" s="14">
        <f>ROUND(E2901*F2901,0)</f>
        <v>0</v>
      </c>
      <c r="H2901" s="236"/>
      <c r="I2901" s="47"/>
    </row>
    <row r="2902" spans="1:9" x14ac:dyDescent="0.25">
      <c r="A2902" s="4"/>
      <c r="B2902" s="4"/>
      <c r="C2902" s="4"/>
      <c r="D2902" s="4"/>
      <c r="E2902" s="46" t="s">
        <v>112</v>
      </c>
      <c r="F2902" s="46"/>
      <c r="G2902" s="46"/>
      <c r="H2902" s="238">
        <f>SUM(G2899:G2901)</f>
        <v>75806</v>
      </c>
      <c r="I2902" s="221"/>
    </row>
    <row r="2903" spans="1:9" x14ac:dyDescent="0.25">
      <c r="A2903" s="4"/>
      <c r="B2903" s="4"/>
      <c r="C2903" s="4"/>
      <c r="D2903" s="4"/>
      <c r="E2903" s="5"/>
      <c r="F2903" s="5"/>
      <c r="G2903" s="5"/>
      <c r="H2903" s="47"/>
      <c r="I2903" s="47"/>
    </row>
    <row r="2904" spans="1:9" x14ac:dyDescent="0.25">
      <c r="A2904" s="18"/>
      <c r="B2904" s="19"/>
      <c r="C2904" s="19"/>
      <c r="D2904" s="19"/>
      <c r="E2904" s="48" t="s">
        <v>113</v>
      </c>
      <c r="F2904" s="48"/>
      <c r="G2904" s="48"/>
      <c r="H2904" s="239">
        <f>H2902+H2896+H2882</f>
        <v>1784588</v>
      </c>
      <c r="I2904" s="222"/>
    </row>
    <row r="2905" spans="1:9" x14ac:dyDescent="0.25">
      <c r="A2905" s="4"/>
      <c r="B2905" s="4"/>
      <c r="C2905" s="4"/>
      <c r="D2905" s="4"/>
      <c r="E2905" s="5"/>
      <c r="F2905" s="5"/>
      <c r="G2905" s="5"/>
      <c r="H2905" s="5"/>
      <c r="I2905" s="47"/>
    </row>
    <row r="2906" spans="1:9" x14ac:dyDescent="0.25">
      <c r="A2906" s="4" t="s">
        <v>114</v>
      </c>
      <c r="B2906" s="4"/>
      <c r="C2906" s="4"/>
      <c r="D2906" s="4"/>
      <c r="E2906" s="5"/>
      <c r="F2906" s="5"/>
      <c r="G2906" s="5"/>
      <c r="H2906" s="5"/>
      <c r="I2906" s="47"/>
    </row>
    <row r="2907" spans="1:9" x14ac:dyDescent="0.25">
      <c r="A2907" s="6" t="s">
        <v>0</v>
      </c>
      <c r="B2907" s="49"/>
      <c r="C2907" s="49"/>
      <c r="D2907" s="49"/>
      <c r="E2907" s="50"/>
      <c r="F2907" s="9" t="s">
        <v>115</v>
      </c>
      <c r="G2907" s="41" t="s">
        <v>116</v>
      </c>
      <c r="H2907" s="235"/>
      <c r="I2907" s="47"/>
    </row>
    <row r="2908" spans="1:9" x14ac:dyDescent="0.25">
      <c r="A2908" s="11" t="s">
        <v>117</v>
      </c>
      <c r="B2908" s="51"/>
      <c r="C2908" s="51"/>
      <c r="D2908" s="51"/>
      <c r="E2908" s="52"/>
      <c r="F2908" s="53"/>
      <c r="G2908" s="14">
        <f>F2908*H2904</f>
        <v>0</v>
      </c>
      <c r="H2908" s="236"/>
      <c r="I2908" s="47"/>
    </row>
    <row r="2909" spans="1:9" hidden="1" x14ac:dyDescent="0.25">
      <c r="A2909" s="11"/>
      <c r="B2909" s="51"/>
      <c r="C2909" s="51"/>
      <c r="D2909" s="51"/>
      <c r="E2909" s="52"/>
      <c r="F2909" s="53"/>
      <c r="G2909" s="14">
        <f>F2909*H2904</f>
        <v>0</v>
      </c>
      <c r="H2909" s="236"/>
      <c r="I2909" s="47"/>
    </row>
    <row r="2910" spans="1:9" hidden="1" x14ac:dyDescent="0.25">
      <c r="A2910" s="11"/>
      <c r="B2910" s="51"/>
      <c r="C2910" s="51"/>
      <c r="D2910" s="51"/>
      <c r="E2910" s="52"/>
      <c r="F2910" s="53"/>
      <c r="G2910" s="14">
        <f>F2910*H2904</f>
        <v>0</v>
      </c>
      <c r="H2910" s="237"/>
      <c r="I2910" s="47"/>
    </row>
    <row r="2911" spans="1:9" ht="15.75" thickBot="1" x14ac:dyDescent="0.3">
      <c r="A2911" s="4"/>
      <c r="B2911" s="4"/>
      <c r="C2911" s="4"/>
      <c r="D2911" s="4"/>
      <c r="E2911" s="46" t="s">
        <v>118</v>
      </c>
      <c r="F2911" s="46"/>
      <c r="G2911" s="46"/>
      <c r="H2911" s="36">
        <f>SUM(G2908:G2910)</f>
        <v>0</v>
      </c>
      <c r="I2911" s="220"/>
    </row>
    <row r="2912" spans="1:9" ht="15.75" hidden="1" thickBot="1" x14ac:dyDescent="0.3">
      <c r="A2912" s="4"/>
      <c r="B2912" s="4"/>
      <c r="C2912" s="4"/>
      <c r="D2912" s="4"/>
      <c r="E2912" s="5"/>
      <c r="F2912" s="5"/>
      <c r="G2912" s="5"/>
      <c r="H2912" s="5"/>
      <c r="I2912" s="47"/>
    </row>
    <row r="2913" spans="1:9" ht="15.75" thickBot="1" x14ac:dyDescent="0.3">
      <c r="A2913" s="4"/>
      <c r="B2913" s="4"/>
      <c r="C2913" s="4"/>
      <c r="D2913" s="4"/>
      <c r="E2913" s="54"/>
      <c r="F2913" s="54" t="s">
        <v>119</v>
      </c>
      <c r="G2913" s="54"/>
      <c r="H2913" s="240">
        <f>SUM(H2911+H2904)</f>
        <v>1784588</v>
      </c>
      <c r="I2913" s="112"/>
    </row>
    <row r="2914" spans="1:9" x14ac:dyDescent="0.25">
      <c r="A2914" s="4"/>
      <c r="B2914" s="4"/>
      <c r="C2914" s="4"/>
      <c r="D2914" s="4"/>
      <c r="E2914" s="54"/>
      <c r="F2914" s="54"/>
      <c r="G2914" s="54"/>
      <c r="H2914" s="112"/>
      <c r="I2914" s="112"/>
    </row>
    <row r="2915" spans="1:9" x14ac:dyDescent="0.25">
      <c r="A2915" s="4"/>
      <c r="B2915" s="4"/>
      <c r="C2915" s="4"/>
      <c r="D2915" s="4"/>
      <c r="E2915" s="54"/>
      <c r="F2915" s="54"/>
      <c r="G2915" s="54"/>
      <c r="H2915" s="112"/>
      <c r="I2915" s="112"/>
    </row>
    <row r="2916" spans="1:9" x14ac:dyDescent="0.25">
      <c r="A2916" s="4"/>
      <c r="B2916" s="4"/>
      <c r="C2916" s="4"/>
      <c r="D2916" s="4"/>
      <c r="E2916" s="54"/>
      <c r="F2916" s="54"/>
      <c r="G2916" s="54"/>
      <c r="H2916" s="112"/>
      <c r="I2916" s="112"/>
    </row>
    <row r="2917" spans="1:9" x14ac:dyDescent="0.25">
      <c r="A2917" s="4"/>
      <c r="B2917" s="4"/>
      <c r="C2917" s="4"/>
      <c r="D2917" s="4"/>
      <c r="E2917" s="54"/>
      <c r="F2917" s="54"/>
      <c r="G2917" s="54"/>
      <c r="H2917" s="112"/>
      <c r="I2917" s="112"/>
    </row>
    <row r="2918" spans="1:9" x14ac:dyDescent="0.25">
      <c r="A2918" s="4"/>
      <c r="B2918" s="4"/>
      <c r="C2918" s="4"/>
      <c r="D2918" s="4"/>
      <c r="E2918" s="54"/>
      <c r="F2918" s="54"/>
      <c r="G2918" s="54"/>
      <c r="H2918" s="112"/>
      <c r="I2918" s="112"/>
    </row>
    <row r="2919" spans="1:9" x14ac:dyDescent="0.25">
      <c r="A2919" s="4"/>
      <c r="B2919" s="4"/>
      <c r="C2919" s="4"/>
      <c r="D2919" s="4"/>
      <c r="E2919" s="54"/>
      <c r="F2919" s="54"/>
      <c r="G2919" s="54"/>
      <c r="H2919" s="112"/>
      <c r="I2919" s="112"/>
    </row>
    <row r="2923" spans="1:9" x14ac:dyDescent="0.25">
      <c r="A2923" s="412" t="s">
        <v>79</v>
      </c>
      <c r="B2923" s="412"/>
      <c r="C2923" s="412"/>
      <c r="D2923" s="412"/>
      <c r="E2923" s="412"/>
      <c r="F2923" s="412"/>
      <c r="G2923" s="412"/>
      <c r="H2923" s="412"/>
      <c r="I2923" s="250"/>
    </row>
    <row r="2924" spans="1:9" x14ac:dyDescent="0.25">
      <c r="A2924" s="4"/>
      <c r="B2924" s="4"/>
      <c r="C2924" s="4"/>
      <c r="D2924" s="4"/>
      <c r="E2924" s="5"/>
      <c r="F2924" s="5"/>
      <c r="G2924" s="411" t="s">
        <v>326</v>
      </c>
      <c r="H2924" s="411"/>
      <c r="I2924" s="251"/>
    </row>
    <row r="2925" spans="1:9" ht="43.15" customHeight="1" x14ac:dyDescent="0.25">
      <c r="A2925" s="410" t="s">
        <v>414</v>
      </c>
      <c r="B2925" s="410"/>
      <c r="C2925" s="410"/>
      <c r="D2925" s="410"/>
      <c r="E2925" s="410"/>
      <c r="F2925" s="410"/>
      <c r="G2925" s="410"/>
      <c r="H2925" s="410"/>
      <c r="I2925" s="254"/>
    </row>
    <row r="2926" spans="1:9" x14ac:dyDescent="0.25">
      <c r="A2926" s="4"/>
      <c r="B2926" s="4"/>
      <c r="C2926" s="4"/>
      <c r="D2926" s="4"/>
      <c r="E2926" s="5"/>
      <c r="F2926" s="5"/>
      <c r="G2926" s="414" t="s">
        <v>215</v>
      </c>
      <c r="H2926" s="414"/>
      <c r="I2926" s="253"/>
    </row>
    <row r="2927" spans="1:9" x14ac:dyDescent="0.25">
      <c r="A2927" s="4" t="s">
        <v>82</v>
      </c>
      <c r="B2927" s="4"/>
      <c r="C2927" s="4"/>
      <c r="D2927" s="4"/>
      <c r="E2927" s="5"/>
      <c r="F2927" s="5"/>
      <c r="G2927" s="5"/>
      <c r="H2927" s="5"/>
      <c r="I2927" s="47"/>
    </row>
    <row r="2928" spans="1:9" x14ac:dyDescent="0.25">
      <c r="A2928" s="6" t="s">
        <v>0</v>
      </c>
      <c r="B2928" s="7"/>
      <c r="C2928" s="8" t="s">
        <v>83</v>
      </c>
      <c r="D2928" s="8" t="s">
        <v>84</v>
      </c>
      <c r="E2928" s="9" t="s">
        <v>85</v>
      </c>
      <c r="F2928" s="9" t="s">
        <v>86</v>
      </c>
      <c r="G2928" s="9" t="s">
        <v>87</v>
      </c>
      <c r="H2928" s="10"/>
      <c r="I2928" s="47"/>
    </row>
    <row r="2929" spans="1:16" x14ac:dyDescent="0.25">
      <c r="A2929" s="11" t="s">
        <v>88</v>
      </c>
      <c r="B2929" s="12"/>
      <c r="C2929" s="13"/>
      <c r="D2929" s="13"/>
      <c r="E2929" s="14"/>
      <c r="F2929" s="14"/>
      <c r="G2929" s="14">
        <f>ROUND(H2953*0.05,0)+8-16</f>
        <v>3755</v>
      </c>
      <c r="H2929" s="15"/>
      <c r="I2929" s="47"/>
    </row>
    <row r="2930" spans="1:16" x14ac:dyDescent="0.25">
      <c r="A2930" s="11" t="s">
        <v>327</v>
      </c>
      <c r="B2930" s="12"/>
      <c r="C2930" s="13"/>
      <c r="D2930" s="13"/>
      <c r="E2930" s="14">
        <v>350000</v>
      </c>
      <c r="F2930" s="14">
        <v>0.3</v>
      </c>
      <c r="G2930" s="14">
        <f>ROUND(E2930*F2930,0)</f>
        <v>105000</v>
      </c>
      <c r="H2930" s="15"/>
      <c r="I2930" s="47"/>
    </row>
    <row r="2931" spans="1:16" x14ac:dyDescent="0.25">
      <c r="A2931" s="11" t="s">
        <v>328</v>
      </c>
      <c r="B2931" s="11"/>
      <c r="C2931" s="13"/>
      <c r="D2931" s="13"/>
      <c r="E2931" s="14">
        <v>50000</v>
      </c>
      <c r="F2931" s="14">
        <v>1</v>
      </c>
      <c r="G2931" s="14">
        <f t="shared" ref="G2931:G2932" si="77">ROUND(E2931*F2931,0)</f>
        <v>50000</v>
      </c>
      <c r="H2931" s="15"/>
      <c r="I2931" s="47"/>
    </row>
    <row r="2932" spans="1:16" x14ac:dyDescent="0.25">
      <c r="A2932" s="415"/>
      <c r="B2932" s="416"/>
      <c r="C2932" s="13"/>
      <c r="D2932" s="13"/>
      <c r="E2932" s="14"/>
      <c r="F2932" s="14"/>
      <c r="G2932" s="14">
        <f t="shared" si="77"/>
        <v>0</v>
      </c>
      <c r="H2932" s="58"/>
      <c r="I2932" s="224"/>
    </row>
    <row r="2933" spans="1:16" x14ac:dyDescent="0.25">
      <c r="A2933" s="18"/>
      <c r="B2933" s="19"/>
      <c r="C2933" s="19"/>
      <c r="D2933" s="19"/>
      <c r="E2933" s="20"/>
      <c r="F2933" s="21" t="s">
        <v>90</v>
      </c>
      <c r="G2933" s="22"/>
      <c r="H2933" s="23">
        <f>SUM(G2929:G2932)</f>
        <v>158755</v>
      </c>
      <c r="I2933" s="220"/>
    </row>
    <row r="2934" spans="1:16" x14ac:dyDescent="0.25">
      <c r="A2934" s="291" t="s">
        <v>91</v>
      </c>
      <c r="B2934" s="228"/>
      <c r="C2934" s="228"/>
      <c r="D2934" s="228"/>
      <c r="E2934" s="47"/>
      <c r="F2934" s="47"/>
      <c r="G2934" s="47"/>
      <c r="H2934" s="233"/>
      <c r="I2934" s="47"/>
    </row>
    <row r="2935" spans="1:16" x14ac:dyDescent="0.25">
      <c r="A2935" s="24" t="s">
        <v>0</v>
      </c>
      <c r="B2935" s="24"/>
      <c r="C2935" s="8" t="s">
        <v>92</v>
      </c>
      <c r="D2935" s="8" t="s">
        <v>93</v>
      </c>
      <c r="E2935" s="9" t="s">
        <v>94</v>
      </c>
      <c r="F2935" s="9" t="s">
        <v>95</v>
      </c>
      <c r="G2935" s="25" t="s">
        <v>96</v>
      </c>
      <c r="H2935" s="10"/>
      <c r="I2935" s="47"/>
    </row>
    <row r="2936" spans="1:16" ht="69" customHeight="1" x14ac:dyDescent="0.25">
      <c r="A2936" s="497" t="s">
        <v>329</v>
      </c>
      <c r="B2936" s="497"/>
      <c r="C2936" s="183" t="s">
        <v>18</v>
      </c>
      <c r="D2936" s="332"/>
      <c r="E2936" s="86">
        <v>1</v>
      </c>
      <c r="F2936" s="87">
        <v>666000</v>
      </c>
      <c r="G2936" s="87">
        <f t="shared" ref="G2936:G2944" si="78">ROUND(E2936*F2936,0)</f>
        <v>666000</v>
      </c>
      <c r="H2936" s="333"/>
      <c r="I2936" s="260"/>
      <c r="L2936" s="63"/>
      <c r="M2936" s="63"/>
      <c r="N2936" s="63"/>
      <c r="O2936" s="63"/>
      <c r="P2936" s="63"/>
    </row>
    <row r="2937" spans="1:16" x14ac:dyDescent="0.25">
      <c r="A2937" s="497"/>
      <c r="B2937" s="497"/>
      <c r="C2937" s="183"/>
      <c r="D2937" s="85"/>
      <c r="E2937" s="86"/>
      <c r="F2937" s="87"/>
      <c r="G2937" s="87">
        <f t="shared" si="78"/>
        <v>0</v>
      </c>
      <c r="H2937" s="333"/>
      <c r="I2937" s="260"/>
    </row>
    <row r="2938" spans="1:16" x14ac:dyDescent="0.25">
      <c r="A2938" s="497"/>
      <c r="B2938" s="497"/>
      <c r="C2938" s="183"/>
      <c r="D2938" s="332"/>
      <c r="E2938" s="334"/>
      <c r="F2938" s="335"/>
      <c r="G2938" s="335">
        <f t="shared" si="78"/>
        <v>0</v>
      </c>
      <c r="H2938" s="336"/>
      <c r="I2938" s="305"/>
    </row>
    <row r="2939" spans="1:16" ht="14.45" customHeight="1" x14ac:dyDescent="0.25">
      <c r="A2939" s="497"/>
      <c r="B2939" s="497"/>
      <c r="C2939" s="183"/>
      <c r="D2939" s="332"/>
      <c r="E2939" s="334"/>
      <c r="F2939" s="87"/>
      <c r="G2939" s="335">
        <f t="shared" si="78"/>
        <v>0</v>
      </c>
      <c r="H2939" s="333"/>
      <c r="I2939" s="260"/>
      <c r="L2939" s="63"/>
      <c r="M2939" s="63"/>
      <c r="N2939" s="63"/>
      <c r="O2939" s="63"/>
      <c r="P2939" s="63"/>
    </row>
    <row r="2940" spans="1:16" ht="24" customHeight="1" x14ac:dyDescent="0.25">
      <c r="A2940" s="497"/>
      <c r="B2940" s="497"/>
      <c r="C2940" s="183"/>
      <c r="D2940" s="332"/>
      <c r="E2940" s="334"/>
      <c r="F2940" s="87"/>
      <c r="G2940" s="335">
        <f t="shared" si="78"/>
        <v>0</v>
      </c>
      <c r="H2940" s="333"/>
      <c r="I2940" s="260"/>
      <c r="L2940" s="63"/>
      <c r="M2940" s="63"/>
      <c r="N2940" s="63"/>
      <c r="O2940" s="63"/>
      <c r="P2940" s="63"/>
    </row>
    <row r="2941" spans="1:16" x14ac:dyDescent="0.25">
      <c r="A2941" s="497"/>
      <c r="B2941" s="497"/>
      <c r="C2941" s="337"/>
      <c r="D2941" s="80"/>
      <c r="E2941" s="77"/>
      <c r="F2941" s="74"/>
      <c r="G2941" s="335">
        <f t="shared" si="78"/>
        <v>0</v>
      </c>
      <c r="H2941" s="333"/>
      <c r="I2941" s="260"/>
    </row>
    <row r="2942" spans="1:16" ht="36.6" hidden="1" customHeight="1" x14ac:dyDescent="0.25">
      <c r="A2942" s="417"/>
      <c r="B2942" s="418"/>
      <c r="C2942" s="59"/>
      <c r="D2942" s="70"/>
      <c r="E2942" s="61"/>
      <c r="F2942" s="62"/>
      <c r="G2942" s="67">
        <f t="shared" si="78"/>
        <v>0</v>
      </c>
      <c r="H2942" s="71"/>
      <c r="I2942" s="226"/>
    </row>
    <row r="2943" spans="1:16" hidden="1" x14ac:dyDescent="0.25">
      <c r="A2943" s="417"/>
      <c r="B2943" s="418"/>
      <c r="C2943" s="84"/>
      <c r="D2943" s="65"/>
      <c r="E2943" s="61"/>
      <c r="F2943" s="62"/>
      <c r="G2943" s="67">
        <f t="shared" si="78"/>
        <v>0</v>
      </c>
      <c r="H2943" s="15"/>
      <c r="I2943" s="47"/>
    </row>
    <row r="2944" spans="1:16" hidden="1" x14ac:dyDescent="0.25">
      <c r="A2944" s="11"/>
      <c r="B2944" s="12"/>
      <c r="C2944" s="35"/>
      <c r="D2944" s="31"/>
      <c r="E2944" s="30"/>
      <c r="F2944" s="14"/>
      <c r="G2944" s="67">
        <f t="shared" si="78"/>
        <v>0</v>
      </c>
      <c r="H2944" s="17"/>
      <c r="I2944" s="47"/>
    </row>
    <row r="2945" spans="1:9" x14ac:dyDescent="0.25">
      <c r="A2945" s="291"/>
      <c r="B2945" s="228"/>
      <c r="C2945" s="228"/>
      <c r="D2945" s="228"/>
      <c r="E2945" s="36"/>
      <c r="F2945" s="37" t="s">
        <v>102</v>
      </c>
      <c r="G2945" s="38"/>
      <c r="H2945" s="23">
        <f>SUM(G2936:G2944)</f>
        <v>666000</v>
      </c>
      <c r="I2945" s="220"/>
    </row>
    <row r="2946" spans="1:9" x14ac:dyDescent="0.25">
      <c r="A2946" s="291"/>
      <c r="B2946" s="228"/>
      <c r="C2946" s="228"/>
      <c r="D2946" s="228"/>
      <c r="E2946" s="36"/>
      <c r="F2946" s="39" t="s">
        <v>103</v>
      </c>
      <c r="G2946" s="38"/>
      <c r="H2946" s="23">
        <f>ROUND((D2936*G2936)+(D2937*G2937)+(D2938*G2938)+(D2939*G2939)+(D2940*G2940)+(D2941*G2941)+(D2942*G2942)+(D2943*G2943)+(D2944*G2944),0)</f>
        <v>0</v>
      </c>
      <c r="I2946" s="220"/>
    </row>
    <row r="2947" spans="1:9" x14ac:dyDescent="0.25">
      <c r="A2947" s="291"/>
      <c r="B2947" s="228"/>
      <c r="C2947" s="228"/>
      <c r="D2947" s="228"/>
      <c r="E2947" s="36"/>
      <c r="F2947" s="20" t="s">
        <v>104</v>
      </c>
      <c r="G2947" s="40"/>
      <c r="H2947" s="23">
        <f>SUM(H2945:H2946)</f>
        <v>666000</v>
      </c>
      <c r="I2947" s="220"/>
    </row>
    <row r="2948" spans="1:9" x14ac:dyDescent="0.25">
      <c r="A2948" s="291" t="s">
        <v>105</v>
      </c>
      <c r="B2948" s="228"/>
      <c r="C2948" s="228"/>
      <c r="D2948" s="228"/>
      <c r="E2948" s="47"/>
      <c r="F2948" s="47"/>
      <c r="G2948" s="47"/>
      <c r="H2948" s="233"/>
      <c r="I2948" s="47"/>
    </row>
    <row r="2949" spans="1:9" x14ac:dyDescent="0.25">
      <c r="A2949" s="24" t="s">
        <v>0</v>
      </c>
      <c r="B2949" s="24"/>
      <c r="C2949" s="8" t="s">
        <v>106</v>
      </c>
      <c r="D2949" s="8" t="s">
        <v>107</v>
      </c>
      <c r="E2949" s="9" t="s">
        <v>108</v>
      </c>
      <c r="F2949" s="9" t="s">
        <v>109</v>
      </c>
      <c r="G2949" s="41" t="s">
        <v>96</v>
      </c>
      <c r="H2949" s="10"/>
      <c r="I2949" s="47"/>
    </row>
    <row r="2950" spans="1:9" x14ac:dyDescent="0.25">
      <c r="A2950" s="18" t="s">
        <v>110</v>
      </c>
      <c r="B2950" s="42"/>
      <c r="C2950" s="13">
        <f>104000+26000</f>
        <v>130000</v>
      </c>
      <c r="D2950" s="13">
        <f>+C2950*0.16</f>
        <v>20800</v>
      </c>
      <c r="E2950" s="14">
        <f>C2950+D2950</f>
        <v>150800</v>
      </c>
      <c r="F2950" s="30">
        <v>0.3</v>
      </c>
      <c r="G2950" s="14">
        <f>ROUND(E2950*F2950,0)</f>
        <v>45240</v>
      </c>
      <c r="H2950" s="15"/>
      <c r="I2950" s="47"/>
    </row>
    <row r="2951" spans="1:9" x14ac:dyDescent="0.25">
      <c r="A2951" s="18" t="s">
        <v>111</v>
      </c>
      <c r="B2951" s="42"/>
      <c r="C2951" s="13">
        <f>60400+25850</f>
        <v>86250</v>
      </c>
      <c r="D2951" s="13">
        <f>+C2951*0.16</f>
        <v>13800</v>
      </c>
      <c r="E2951" s="14">
        <f>C2951+D2951</f>
        <v>100050</v>
      </c>
      <c r="F2951" s="30">
        <v>0.3</v>
      </c>
      <c r="G2951" s="14">
        <f>ROUND(E2951*F2951,0)</f>
        <v>30015</v>
      </c>
      <c r="H2951" s="15"/>
      <c r="I2951" s="47"/>
    </row>
    <row r="2952" spans="1:9" x14ac:dyDescent="0.25">
      <c r="A2952" s="18"/>
      <c r="B2952" s="42"/>
      <c r="C2952" s="43"/>
      <c r="D2952" s="43"/>
      <c r="E2952" s="44">
        <f>C2952+D2952</f>
        <v>0</v>
      </c>
      <c r="F2952" s="45"/>
      <c r="G2952" s="14">
        <f>ROUND(E2952*F2952,0)</f>
        <v>0</v>
      </c>
      <c r="H2952" s="15"/>
      <c r="I2952" s="47"/>
    </row>
    <row r="2953" spans="1:9" x14ac:dyDescent="0.25">
      <c r="A2953" s="291"/>
      <c r="B2953" s="228"/>
      <c r="C2953" s="228"/>
      <c r="D2953" s="228"/>
      <c r="E2953" s="277" t="s">
        <v>112</v>
      </c>
      <c r="F2953" s="277"/>
      <c r="G2953" s="277"/>
      <c r="H2953" s="82">
        <f>SUM(G2950:G2952)</f>
        <v>75255</v>
      </c>
      <c r="I2953" s="221"/>
    </row>
    <row r="2954" spans="1:9" x14ac:dyDescent="0.25">
      <c r="A2954" s="291"/>
      <c r="B2954" s="228"/>
      <c r="C2954" s="228"/>
      <c r="D2954" s="228"/>
      <c r="E2954" s="47"/>
      <c r="F2954" s="47"/>
      <c r="G2954" s="47"/>
      <c r="H2954" s="233"/>
      <c r="I2954" s="47"/>
    </row>
    <row r="2955" spans="1:9" x14ac:dyDescent="0.25">
      <c r="A2955" s="18"/>
      <c r="B2955" s="19"/>
      <c r="C2955" s="19"/>
      <c r="D2955" s="19"/>
      <c r="E2955" s="48" t="s">
        <v>113</v>
      </c>
      <c r="F2955" s="48"/>
      <c r="G2955" s="48"/>
      <c r="H2955" s="25">
        <f>H2953+H2947+H2933</f>
        <v>900010</v>
      </c>
      <c r="I2955" s="222"/>
    </row>
    <row r="2956" spans="1:9" x14ac:dyDescent="0.25">
      <c r="A2956" s="4"/>
      <c r="B2956" s="4"/>
      <c r="C2956" s="4"/>
      <c r="D2956" s="4"/>
      <c r="E2956" s="5"/>
      <c r="F2956" s="5"/>
      <c r="G2956" s="5"/>
      <c r="H2956" s="5"/>
      <c r="I2956" s="47"/>
    </row>
    <row r="2957" spans="1:9" hidden="1" x14ac:dyDescent="0.25">
      <c r="A2957" s="4" t="s">
        <v>114</v>
      </c>
      <c r="B2957" s="4"/>
      <c r="C2957" s="4"/>
      <c r="D2957" s="4"/>
      <c r="E2957" s="5"/>
      <c r="F2957" s="5"/>
      <c r="G2957" s="5"/>
      <c r="H2957" s="5"/>
      <c r="I2957" s="47"/>
    </row>
    <row r="2958" spans="1:9" hidden="1" x14ac:dyDescent="0.25">
      <c r="A2958" s="6" t="s">
        <v>0</v>
      </c>
      <c r="B2958" s="49"/>
      <c r="C2958" s="49"/>
      <c r="D2958" s="49"/>
      <c r="E2958" s="50"/>
      <c r="F2958" s="9" t="s">
        <v>115</v>
      </c>
      <c r="G2958" s="41" t="s">
        <v>116</v>
      </c>
      <c r="H2958" s="235"/>
      <c r="I2958" s="47"/>
    </row>
    <row r="2959" spans="1:9" hidden="1" x14ac:dyDescent="0.25">
      <c r="A2959" s="11" t="s">
        <v>117</v>
      </c>
      <c r="B2959" s="51"/>
      <c r="C2959" s="51"/>
      <c r="D2959" s="51"/>
      <c r="E2959" s="52"/>
      <c r="F2959" s="53"/>
      <c r="G2959" s="14">
        <f>F2959*H2955</f>
        <v>0</v>
      </c>
      <c r="H2959" s="236"/>
      <c r="I2959" s="47"/>
    </row>
    <row r="2960" spans="1:9" hidden="1" x14ac:dyDescent="0.25">
      <c r="A2960" s="11"/>
      <c r="B2960" s="51"/>
      <c r="C2960" s="51"/>
      <c r="D2960" s="51"/>
      <c r="E2960" s="52"/>
      <c r="F2960" s="53"/>
      <c r="G2960" s="14">
        <f>F2960*H2955</f>
        <v>0</v>
      </c>
      <c r="H2960" s="236"/>
      <c r="I2960" s="47"/>
    </row>
    <row r="2961" spans="1:9" hidden="1" x14ac:dyDescent="0.25">
      <c r="A2961" s="11"/>
      <c r="B2961" s="51"/>
      <c r="C2961" s="51"/>
      <c r="D2961" s="51"/>
      <c r="E2961" s="52"/>
      <c r="F2961" s="53"/>
      <c r="G2961" s="14">
        <f>F2961*H2955</f>
        <v>0</v>
      </c>
      <c r="H2961" s="237"/>
      <c r="I2961" s="47"/>
    </row>
    <row r="2962" spans="1:9" hidden="1" x14ac:dyDescent="0.25">
      <c r="A2962" s="4"/>
      <c r="B2962" s="4"/>
      <c r="C2962" s="4"/>
      <c r="D2962" s="4"/>
      <c r="E2962" s="46" t="s">
        <v>118</v>
      </c>
      <c r="F2962" s="46"/>
      <c r="G2962" s="46"/>
      <c r="H2962" s="36">
        <f>SUM(G2959:G2961)</f>
        <v>0</v>
      </c>
      <c r="I2962" s="220"/>
    </row>
    <row r="2963" spans="1:9" ht="15.75" thickBot="1" x14ac:dyDescent="0.3">
      <c r="A2963" s="4"/>
      <c r="B2963" s="4"/>
      <c r="C2963" s="4"/>
      <c r="D2963" s="4"/>
      <c r="E2963" s="5"/>
      <c r="F2963" s="5"/>
      <c r="G2963" s="5"/>
      <c r="H2963" s="5"/>
      <c r="I2963" s="47"/>
    </row>
    <row r="2964" spans="1:9" ht="15.75" thickBot="1" x14ac:dyDescent="0.3">
      <c r="A2964" s="4"/>
      <c r="B2964" s="4"/>
      <c r="C2964" s="4"/>
      <c r="D2964" s="4"/>
      <c r="E2964" s="54"/>
      <c r="F2964" s="54" t="s">
        <v>119</v>
      </c>
      <c r="G2964" s="54"/>
      <c r="H2964" s="240">
        <f>SUM(H2962+H2955)</f>
        <v>900010</v>
      </c>
      <c r="I2964" s="112"/>
    </row>
    <row r="2965" spans="1:9" x14ac:dyDescent="0.25">
      <c r="A2965" s="4"/>
      <c r="B2965" s="4"/>
      <c r="C2965" s="4"/>
      <c r="D2965" s="4"/>
      <c r="E2965" s="54"/>
      <c r="F2965" s="54"/>
      <c r="G2965" s="54"/>
      <c r="H2965" s="112"/>
      <c r="I2965" s="112"/>
    </row>
    <row r="2966" spans="1:9" x14ac:dyDescent="0.25">
      <c r="A2966" s="4"/>
      <c r="B2966" s="4"/>
      <c r="C2966" s="4"/>
      <c r="D2966" s="4"/>
      <c r="E2966" s="54"/>
      <c r="F2966" s="54"/>
      <c r="G2966" s="54"/>
      <c r="H2966" s="112"/>
      <c r="I2966" s="112"/>
    </row>
    <row r="2967" spans="1:9" x14ac:dyDescent="0.25">
      <c r="A2967" s="4"/>
      <c r="B2967" s="4"/>
      <c r="C2967" s="4"/>
      <c r="D2967" s="4"/>
      <c r="E2967" s="54"/>
      <c r="F2967" s="54"/>
      <c r="G2967" s="54"/>
      <c r="H2967" s="112"/>
      <c r="I2967" s="112"/>
    </row>
    <row r="2968" spans="1:9" x14ac:dyDescent="0.25">
      <c r="A2968" s="4"/>
      <c r="B2968" s="4"/>
      <c r="C2968" s="4"/>
      <c r="D2968" s="4"/>
      <c r="E2968" s="54"/>
      <c r="F2968" s="54"/>
      <c r="G2968" s="54"/>
      <c r="H2968" s="112"/>
      <c r="I2968" s="112"/>
    </row>
    <row r="2969" spans="1:9" x14ac:dyDescent="0.25">
      <c r="A2969" s="4"/>
      <c r="B2969" s="4"/>
      <c r="C2969" s="4"/>
      <c r="D2969" s="4"/>
      <c r="E2969" s="54"/>
      <c r="F2969" s="54"/>
      <c r="G2969" s="54"/>
      <c r="H2969" s="112"/>
      <c r="I2969" s="112"/>
    </row>
    <row r="2970" spans="1:9" x14ac:dyDescent="0.25">
      <c r="A2970" s="4"/>
      <c r="B2970" s="4"/>
      <c r="C2970" s="4"/>
      <c r="D2970" s="4"/>
      <c r="E2970" s="54"/>
      <c r="F2970" s="54"/>
      <c r="G2970" s="54"/>
      <c r="H2970" s="112"/>
      <c r="I2970" s="112"/>
    </row>
    <row r="2971" spans="1:9" x14ac:dyDescent="0.25">
      <c r="A2971" s="412" t="s">
        <v>79</v>
      </c>
      <c r="B2971" s="412"/>
      <c r="C2971" s="412"/>
      <c r="D2971" s="412"/>
      <c r="E2971" s="412"/>
      <c r="F2971" s="412"/>
      <c r="G2971" s="412"/>
      <c r="H2971" s="412"/>
      <c r="I2971" s="250"/>
    </row>
    <row r="2972" spans="1:9" x14ac:dyDescent="0.25">
      <c r="A2972" s="4"/>
      <c r="B2972" s="4"/>
      <c r="C2972" s="4"/>
      <c r="D2972" s="4"/>
      <c r="E2972" s="5"/>
      <c r="F2972" s="5"/>
      <c r="G2972" s="411" t="s">
        <v>326</v>
      </c>
      <c r="H2972" s="411"/>
      <c r="I2972" s="251"/>
    </row>
    <row r="2973" spans="1:9" ht="67.150000000000006" customHeight="1" x14ac:dyDescent="0.25">
      <c r="A2973" s="410" t="s">
        <v>421</v>
      </c>
      <c r="B2973" s="410"/>
      <c r="C2973" s="410"/>
      <c r="D2973" s="410"/>
      <c r="E2973" s="410"/>
      <c r="F2973" s="410"/>
      <c r="G2973" s="410"/>
      <c r="H2973" s="410"/>
      <c r="I2973" s="254"/>
    </row>
    <row r="2974" spans="1:9" x14ac:dyDescent="0.25">
      <c r="A2974" s="4"/>
      <c r="B2974" s="4"/>
      <c r="C2974" s="4"/>
      <c r="D2974" s="4"/>
      <c r="E2974" s="5"/>
      <c r="F2974" s="5"/>
      <c r="G2974" s="414" t="s">
        <v>215</v>
      </c>
      <c r="H2974" s="414"/>
      <c r="I2974" s="253"/>
    </row>
    <row r="2975" spans="1:9" x14ac:dyDescent="0.25">
      <c r="A2975" s="4" t="s">
        <v>82</v>
      </c>
      <c r="B2975" s="4"/>
      <c r="C2975" s="4"/>
      <c r="D2975" s="4"/>
      <c r="E2975" s="5"/>
      <c r="F2975" s="5"/>
      <c r="G2975" s="5"/>
      <c r="H2975" s="5"/>
      <c r="I2975" s="47"/>
    </row>
    <row r="2976" spans="1:9" x14ac:dyDescent="0.25">
      <c r="A2976" s="6" t="s">
        <v>0</v>
      </c>
      <c r="B2976" s="7"/>
      <c r="C2976" s="8" t="s">
        <v>83</v>
      </c>
      <c r="D2976" s="8" t="s">
        <v>84</v>
      </c>
      <c r="E2976" s="9" t="s">
        <v>85</v>
      </c>
      <c r="F2976" s="9" t="s">
        <v>86</v>
      </c>
      <c r="G2976" s="9" t="s">
        <v>87</v>
      </c>
      <c r="H2976" s="10"/>
      <c r="I2976" s="47"/>
    </row>
    <row r="2977" spans="1:16" x14ac:dyDescent="0.25">
      <c r="A2977" s="11" t="s">
        <v>88</v>
      </c>
      <c r="B2977" s="12"/>
      <c r="C2977" s="13"/>
      <c r="D2977" s="13"/>
      <c r="E2977" s="14"/>
      <c r="F2977" s="14"/>
      <c r="G2977" s="14">
        <f>ROUND(H3002*0.05,0)+8-16</f>
        <v>65242</v>
      </c>
      <c r="H2977" s="15"/>
      <c r="I2977" s="47"/>
    </row>
    <row r="2978" spans="1:16" x14ac:dyDescent="0.25">
      <c r="A2978" s="11" t="s">
        <v>327</v>
      </c>
      <c r="B2978" s="12"/>
      <c r="C2978" s="13"/>
      <c r="D2978" s="13"/>
      <c r="E2978" s="14">
        <v>350000</v>
      </c>
      <c r="F2978" s="14">
        <v>1</v>
      </c>
      <c r="G2978" s="14">
        <f>ROUND(E2978*F2978,0)</f>
        <v>350000</v>
      </c>
      <c r="H2978" s="15"/>
      <c r="I2978" s="47"/>
    </row>
    <row r="2979" spans="1:16" x14ac:dyDescent="0.25">
      <c r="A2979" s="11" t="s">
        <v>328</v>
      </c>
      <c r="B2979" s="11"/>
      <c r="C2979" s="13"/>
      <c r="D2979" s="13"/>
      <c r="E2979" s="14">
        <v>50000</v>
      </c>
      <c r="F2979" s="14">
        <v>2</v>
      </c>
      <c r="G2979" s="14">
        <f t="shared" ref="G2979:G2980" si="79">ROUND(E2979*F2979,0)</f>
        <v>100000</v>
      </c>
      <c r="H2979" s="15"/>
      <c r="I2979" s="47"/>
    </row>
    <row r="2980" spans="1:16" hidden="1" x14ac:dyDescent="0.25">
      <c r="A2980" s="415"/>
      <c r="B2980" s="416"/>
      <c r="C2980" s="13"/>
      <c r="D2980" s="13"/>
      <c r="E2980" s="14"/>
      <c r="F2980" s="14"/>
      <c r="G2980" s="14">
        <f t="shared" si="79"/>
        <v>0</v>
      </c>
      <c r="H2980" s="58"/>
      <c r="I2980" s="224"/>
    </row>
    <row r="2981" spans="1:16" x14ac:dyDescent="0.25">
      <c r="A2981" s="18"/>
      <c r="B2981" s="19"/>
      <c r="C2981" s="19"/>
      <c r="D2981" s="19"/>
      <c r="E2981" s="20"/>
      <c r="F2981" s="21" t="s">
        <v>90</v>
      </c>
      <c r="G2981" s="22"/>
      <c r="H2981" s="23">
        <f>SUM(G2977:G2980)</f>
        <v>515242</v>
      </c>
      <c r="I2981" s="220"/>
    </row>
    <row r="2982" spans="1:16" x14ac:dyDescent="0.25">
      <c r="A2982" s="291" t="s">
        <v>91</v>
      </c>
      <c r="B2982" s="228"/>
      <c r="C2982" s="228"/>
      <c r="D2982" s="228"/>
      <c r="E2982" s="47"/>
      <c r="F2982" s="47"/>
      <c r="G2982" s="47"/>
      <c r="H2982" s="233"/>
      <c r="I2982" s="47"/>
    </row>
    <row r="2983" spans="1:16" x14ac:dyDescent="0.25">
      <c r="A2983" s="24" t="s">
        <v>0</v>
      </c>
      <c r="B2983" s="24"/>
      <c r="C2983" s="8" t="s">
        <v>92</v>
      </c>
      <c r="D2983" s="8" t="s">
        <v>93</v>
      </c>
      <c r="E2983" s="9" t="s">
        <v>94</v>
      </c>
      <c r="F2983" s="9" t="s">
        <v>95</v>
      </c>
      <c r="G2983" s="25" t="s">
        <v>96</v>
      </c>
      <c r="H2983" s="10"/>
      <c r="I2983" s="47"/>
      <c r="K2983">
        <f>187000/3</f>
        <v>62333.333333333336</v>
      </c>
    </row>
    <row r="2984" spans="1:16" x14ac:dyDescent="0.25">
      <c r="A2984" s="419" t="s">
        <v>283</v>
      </c>
      <c r="B2984" s="419"/>
      <c r="C2984" s="59" t="s">
        <v>9</v>
      </c>
      <c r="D2984" s="60">
        <v>0.05</v>
      </c>
      <c r="E2984" s="61">
        <f>5.2*2+2</f>
        <v>12.4</v>
      </c>
      <c r="F2984" s="62">
        <f>ROUND(187000/3,0)</f>
        <v>62333</v>
      </c>
      <c r="G2984" s="62">
        <f t="shared" ref="G2984:G2993" si="80">ROUND(E2984*F2984,0)</f>
        <v>772929</v>
      </c>
      <c r="H2984" s="15"/>
      <c r="I2984" s="47"/>
      <c r="L2984" s="63"/>
      <c r="M2984" s="63"/>
      <c r="N2984" s="63"/>
      <c r="O2984" s="63"/>
      <c r="P2984" s="63"/>
    </row>
    <row r="2985" spans="1:16" x14ac:dyDescent="0.25">
      <c r="A2985" s="419" t="s">
        <v>284</v>
      </c>
      <c r="B2985" s="419"/>
      <c r="C2985" s="59" t="s">
        <v>9</v>
      </c>
      <c r="D2985" s="65">
        <v>0.05</v>
      </c>
      <c r="E2985" s="61">
        <f>5.2*2</f>
        <v>10.4</v>
      </c>
      <c r="F2985" s="62">
        <v>10500</v>
      </c>
      <c r="G2985" s="62">
        <f t="shared" si="80"/>
        <v>109200</v>
      </c>
      <c r="H2985" s="15"/>
      <c r="I2985" s="47"/>
    </row>
    <row r="2986" spans="1:16" ht="21.6" customHeight="1" x14ac:dyDescent="0.25">
      <c r="A2986" s="417" t="s">
        <v>358</v>
      </c>
      <c r="B2986" s="418"/>
      <c r="C2986" s="59" t="s">
        <v>7</v>
      </c>
      <c r="D2986" s="65">
        <v>0.05</v>
      </c>
      <c r="E2986" s="61">
        <v>1.5</v>
      </c>
      <c r="F2986" s="87">
        <f>+$F$445</f>
        <v>101451</v>
      </c>
      <c r="G2986" s="62">
        <f t="shared" si="80"/>
        <v>152177</v>
      </c>
      <c r="H2986" s="15"/>
      <c r="I2986" s="47"/>
    </row>
    <row r="2987" spans="1:16" x14ac:dyDescent="0.25">
      <c r="A2987" s="419" t="s">
        <v>285</v>
      </c>
      <c r="B2987" s="419"/>
      <c r="C2987" s="59" t="s">
        <v>140</v>
      </c>
      <c r="D2987" s="60">
        <v>0.05</v>
      </c>
      <c r="E2987" s="66">
        <v>0.25</v>
      </c>
      <c r="F2987" s="67">
        <v>205000</v>
      </c>
      <c r="G2987" s="62">
        <f t="shared" si="80"/>
        <v>51250</v>
      </c>
      <c r="H2987" s="68"/>
      <c r="I2987" s="225"/>
    </row>
    <row r="2988" spans="1:16" x14ac:dyDescent="0.25">
      <c r="A2988" s="419" t="s">
        <v>286</v>
      </c>
      <c r="B2988" s="419"/>
      <c r="C2988" s="59" t="s">
        <v>281</v>
      </c>
      <c r="D2988" s="60">
        <v>0.05</v>
      </c>
      <c r="E2988" s="66">
        <v>0.1</v>
      </c>
      <c r="F2988" s="87">
        <v>45000</v>
      </c>
      <c r="G2988" s="67">
        <f t="shared" si="80"/>
        <v>4500</v>
      </c>
      <c r="H2988" s="15"/>
      <c r="I2988" s="47"/>
      <c r="L2988" s="63"/>
      <c r="M2988" s="63"/>
      <c r="N2988" s="63"/>
      <c r="O2988" s="63"/>
      <c r="P2988" s="63"/>
    </row>
    <row r="2989" spans="1:16" ht="24" customHeight="1" x14ac:dyDescent="0.25">
      <c r="A2989" s="419" t="s">
        <v>282</v>
      </c>
      <c r="B2989" s="419"/>
      <c r="C2989" s="59" t="s">
        <v>158</v>
      </c>
      <c r="D2989" s="60"/>
      <c r="E2989" s="66">
        <v>1</v>
      </c>
      <c r="F2989" s="62">
        <v>30000</v>
      </c>
      <c r="G2989" s="67">
        <f t="shared" si="80"/>
        <v>30000</v>
      </c>
      <c r="H2989" s="15"/>
      <c r="I2989" s="47"/>
      <c r="L2989" s="63">
        <v>7</v>
      </c>
      <c r="M2989" s="63"/>
      <c r="N2989" s="63"/>
      <c r="O2989" s="63"/>
      <c r="P2989" s="63"/>
    </row>
    <row r="2990" spans="1:16" x14ac:dyDescent="0.25">
      <c r="A2990" s="419" t="s">
        <v>287</v>
      </c>
      <c r="B2990" s="419"/>
      <c r="C2990" s="59" t="s">
        <v>158</v>
      </c>
      <c r="D2990" s="31"/>
      <c r="E2990" s="30">
        <v>4</v>
      </c>
      <c r="F2990" s="14">
        <v>1900</v>
      </c>
      <c r="G2990" s="67">
        <f t="shared" si="80"/>
        <v>7600</v>
      </c>
      <c r="H2990" s="15"/>
      <c r="I2990" s="47"/>
    </row>
    <row r="2991" spans="1:16" ht="42.6" customHeight="1" x14ac:dyDescent="0.25">
      <c r="A2991" s="417" t="s">
        <v>288</v>
      </c>
      <c r="B2991" s="418"/>
      <c r="C2991" s="59" t="s">
        <v>289</v>
      </c>
      <c r="D2991" s="70"/>
      <c r="E2991" s="61">
        <v>12</v>
      </c>
      <c r="F2991" s="62">
        <v>10500</v>
      </c>
      <c r="G2991" s="67">
        <f t="shared" si="80"/>
        <v>126000</v>
      </c>
      <c r="H2991" s="71"/>
      <c r="I2991" s="226"/>
    </row>
    <row r="2992" spans="1:16" x14ac:dyDescent="0.25">
      <c r="A2992" s="417" t="s">
        <v>290</v>
      </c>
      <c r="B2992" s="418"/>
      <c r="C2992" s="84" t="s">
        <v>281</v>
      </c>
      <c r="D2992" s="65">
        <v>0.05</v>
      </c>
      <c r="E2992" s="61">
        <v>0.3</v>
      </c>
      <c r="F2992" s="62">
        <f>+$F$2728</f>
        <v>58000</v>
      </c>
      <c r="G2992" s="67">
        <f t="shared" si="80"/>
        <v>17400</v>
      </c>
      <c r="H2992" s="15"/>
      <c r="I2992" s="47"/>
    </row>
    <row r="2993" spans="1:9" x14ac:dyDescent="0.25">
      <c r="A2993" s="11" t="s">
        <v>139</v>
      </c>
      <c r="B2993" s="12"/>
      <c r="C2993" s="35" t="s">
        <v>158</v>
      </c>
      <c r="D2993" s="31"/>
      <c r="E2993" s="30">
        <v>1</v>
      </c>
      <c r="F2993" s="14">
        <v>8500</v>
      </c>
      <c r="G2993" s="67">
        <f t="shared" si="80"/>
        <v>8500</v>
      </c>
      <c r="H2993" s="17"/>
      <c r="I2993" s="47"/>
    </row>
    <row r="2994" spans="1:9" x14ac:dyDescent="0.25">
      <c r="A2994" s="291"/>
      <c r="B2994" s="228"/>
      <c r="C2994" s="228"/>
      <c r="D2994" s="228"/>
      <c r="E2994" s="36"/>
      <c r="F2994" s="37" t="s">
        <v>102</v>
      </c>
      <c r="G2994" s="38"/>
      <c r="H2994" s="23">
        <f>SUM(G2984:G2993)</f>
        <v>1279556</v>
      </c>
      <c r="I2994" s="220"/>
    </row>
    <row r="2995" spans="1:9" x14ac:dyDescent="0.25">
      <c r="A2995" s="291"/>
      <c r="B2995" s="228"/>
      <c r="C2995" s="228"/>
      <c r="D2995" s="228"/>
      <c r="E2995" s="36"/>
      <c r="F2995" s="39" t="s">
        <v>103</v>
      </c>
      <c r="G2995" s="38"/>
      <c r="H2995" s="23">
        <f>ROUND((D2984*G2984)+(D2985*G2985)+(D2986*G2986)+(D2987*G2987)+(D2988*G2988)+(D2989*G2989)+(D2990*G2990)+(D2991*G2991)+(D2992*G2992)+(D2993*G2993),0)</f>
        <v>55373</v>
      </c>
      <c r="I2995" s="220"/>
    </row>
    <row r="2996" spans="1:9" x14ac:dyDescent="0.25">
      <c r="A2996" s="291"/>
      <c r="B2996" s="228"/>
      <c r="C2996" s="228"/>
      <c r="D2996" s="228"/>
      <c r="E2996" s="36"/>
      <c r="F2996" s="20" t="s">
        <v>104</v>
      </c>
      <c r="G2996" s="40"/>
      <c r="H2996" s="23">
        <f>SUM(H2994:H2995)</f>
        <v>1334929</v>
      </c>
      <c r="I2996" s="220"/>
    </row>
    <row r="2997" spans="1:9" x14ac:dyDescent="0.25">
      <c r="A2997" s="291" t="s">
        <v>105</v>
      </c>
      <c r="B2997" s="228"/>
      <c r="C2997" s="228"/>
      <c r="D2997" s="228"/>
      <c r="E2997" s="47"/>
      <c r="F2997" s="47"/>
      <c r="G2997" s="47"/>
      <c r="H2997" s="233"/>
      <c r="I2997" s="47"/>
    </row>
    <row r="2998" spans="1:9" x14ac:dyDescent="0.25">
      <c r="A2998" s="24" t="s">
        <v>0</v>
      </c>
      <c r="B2998" s="24"/>
      <c r="C2998" s="8" t="s">
        <v>106</v>
      </c>
      <c r="D2998" s="8" t="s">
        <v>107</v>
      </c>
      <c r="E2998" s="9" t="s">
        <v>108</v>
      </c>
      <c r="F2998" s="9" t="s">
        <v>109</v>
      </c>
      <c r="G2998" s="41" t="s">
        <v>96</v>
      </c>
      <c r="H2998" s="10"/>
      <c r="I2998" s="47"/>
    </row>
    <row r="2999" spans="1:9" x14ac:dyDescent="0.25">
      <c r="A2999" s="18" t="s">
        <v>110</v>
      </c>
      <c r="B2999" s="42"/>
      <c r="C2999" s="13">
        <f>104000+26000</f>
        <v>130000</v>
      </c>
      <c r="D2999" s="13">
        <f>+C2999*0.16</f>
        <v>20800</v>
      </c>
      <c r="E2999" s="14">
        <f>C2999+D2999</f>
        <v>150800</v>
      </c>
      <c r="F2999" s="30">
        <v>6</v>
      </c>
      <c r="G2999" s="14">
        <f>ROUND(E2999*F2999,0)</f>
        <v>904800</v>
      </c>
      <c r="H2999" s="15"/>
      <c r="I2999" s="47"/>
    </row>
    <row r="3000" spans="1:9" x14ac:dyDescent="0.25">
      <c r="A3000" s="18" t="s">
        <v>111</v>
      </c>
      <c r="B3000" s="42"/>
      <c r="C3000" s="13">
        <f>60400+25850</f>
        <v>86250</v>
      </c>
      <c r="D3000" s="13">
        <f>+C3000*0.16</f>
        <v>13800</v>
      </c>
      <c r="E3000" s="14">
        <f>C3000+D3000</f>
        <v>100050</v>
      </c>
      <c r="F3000" s="30">
        <v>4</v>
      </c>
      <c r="G3000" s="14">
        <f>ROUND(E3000*F3000,0)</f>
        <v>400200</v>
      </c>
      <c r="H3000" s="15"/>
      <c r="I3000" s="47"/>
    </row>
    <row r="3001" spans="1:9" x14ac:dyDescent="0.25">
      <c r="A3001" s="18"/>
      <c r="B3001" s="42"/>
      <c r="C3001" s="43"/>
      <c r="D3001" s="43"/>
      <c r="E3001" s="44">
        <f>C3001+D3001</f>
        <v>0</v>
      </c>
      <c r="F3001" s="45"/>
      <c r="G3001" s="14">
        <f>ROUND(E3001*F3001,0)</f>
        <v>0</v>
      </c>
      <c r="H3001" s="15"/>
      <c r="I3001" s="47"/>
    </row>
    <row r="3002" spans="1:9" x14ac:dyDescent="0.25">
      <c r="A3002" s="291"/>
      <c r="B3002" s="228"/>
      <c r="C3002" s="228"/>
      <c r="D3002" s="228"/>
      <c r="E3002" s="277" t="s">
        <v>112</v>
      </c>
      <c r="F3002" s="277"/>
      <c r="G3002" s="277"/>
      <c r="H3002" s="82">
        <f>SUM(G2999:G3001)</f>
        <v>1305000</v>
      </c>
      <c r="I3002" s="221"/>
    </row>
    <row r="3003" spans="1:9" x14ac:dyDescent="0.25">
      <c r="A3003" s="291"/>
      <c r="B3003" s="228"/>
      <c r="C3003" s="228"/>
      <c r="D3003" s="228"/>
      <c r="E3003" s="47"/>
      <c r="F3003" s="47"/>
      <c r="G3003" s="47"/>
      <c r="H3003" s="233"/>
      <c r="I3003" s="47"/>
    </row>
    <row r="3004" spans="1:9" x14ac:dyDescent="0.25">
      <c r="A3004" s="18"/>
      <c r="B3004" s="19"/>
      <c r="C3004" s="19"/>
      <c r="D3004" s="19"/>
      <c r="E3004" s="48" t="s">
        <v>113</v>
      </c>
      <c r="F3004" s="48"/>
      <c r="G3004" s="48"/>
      <c r="H3004" s="25">
        <f>H3002+H2996+H2981</f>
        <v>3155171</v>
      </c>
      <c r="I3004" s="222"/>
    </row>
    <row r="3005" spans="1:9" x14ac:dyDescent="0.25">
      <c r="A3005" s="291"/>
      <c r="B3005" s="228"/>
      <c r="C3005" s="228"/>
      <c r="D3005" s="228"/>
      <c r="E3005" s="47"/>
      <c r="F3005" s="47"/>
      <c r="G3005" s="47"/>
      <c r="H3005" s="233"/>
      <c r="I3005" s="47"/>
    </row>
    <row r="3006" spans="1:9" x14ac:dyDescent="0.25">
      <c r="A3006" s="291" t="s">
        <v>114</v>
      </c>
      <c r="B3006" s="228"/>
      <c r="C3006" s="228"/>
      <c r="D3006" s="228"/>
      <c r="E3006" s="47"/>
      <c r="F3006" s="47"/>
      <c r="G3006" s="47"/>
      <c r="H3006" s="233"/>
      <c r="I3006" s="47"/>
    </row>
    <row r="3007" spans="1:9" x14ac:dyDescent="0.25">
      <c r="A3007" s="6" t="s">
        <v>0</v>
      </c>
      <c r="B3007" s="49"/>
      <c r="C3007" s="49"/>
      <c r="D3007" s="49"/>
      <c r="E3007" s="50"/>
      <c r="F3007" s="9" t="s">
        <v>115</v>
      </c>
      <c r="G3007" s="41" t="s">
        <v>116</v>
      </c>
      <c r="H3007" s="10"/>
      <c r="I3007" s="47"/>
    </row>
    <row r="3008" spans="1:9" x14ac:dyDescent="0.25">
      <c r="A3008" s="11" t="s">
        <v>117</v>
      </c>
      <c r="B3008" s="51"/>
      <c r="C3008" s="51"/>
      <c r="D3008" s="51"/>
      <c r="E3008" s="52"/>
      <c r="F3008" s="53"/>
      <c r="G3008" s="14">
        <f>F3008*H3004</f>
        <v>0</v>
      </c>
      <c r="H3008" s="15"/>
      <c r="I3008" s="47"/>
    </row>
    <row r="3009" spans="1:9" hidden="1" x14ac:dyDescent="0.25">
      <c r="A3009" s="11"/>
      <c r="B3009" s="51"/>
      <c r="C3009" s="51"/>
      <c r="D3009" s="51"/>
      <c r="E3009" s="52"/>
      <c r="F3009" s="53"/>
      <c r="G3009" s="14">
        <f>F3009*H3004</f>
        <v>0</v>
      </c>
      <c r="H3009" s="15"/>
      <c r="I3009" s="47"/>
    </row>
    <row r="3010" spans="1:9" hidden="1" x14ac:dyDescent="0.25">
      <c r="A3010" s="11"/>
      <c r="B3010" s="51"/>
      <c r="C3010" s="51"/>
      <c r="D3010" s="51"/>
      <c r="E3010" s="52"/>
      <c r="F3010" s="53"/>
      <c r="G3010" s="14">
        <f>F3010*H3004</f>
        <v>0</v>
      </c>
      <c r="H3010" s="17"/>
      <c r="I3010" s="47"/>
    </row>
    <row r="3011" spans="1:9" x14ac:dyDescent="0.25">
      <c r="A3011" s="291"/>
      <c r="B3011" s="228"/>
      <c r="C3011" s="228"/>
      <c r="D3011" s="228"/>
      <c r="E3011" s="277" t="s">
        <v>118</v>
      </c>
      <c r="F3011" s="277"/>
      <c r="G3011" s="277"/>
      <c r="H3011" s="23">
        <f>SUM(G3008:G3010)</f>
        <v>0</v>
      </c>
      <c r="I3011" s="220"/>
    </row>
    <row r="3012" spans="1:9" ht="15.75" thickBot="1" x14ac:dyDescent="0.3">
      <c r="A3012" s="291"/>
      <c r="B3012" s="228"/>
      <c r="C3012" s="228"/>
      <c r="D3012" s="228"/>
      <c r="E3012" s="47"/>
      <c r="F3012" s="47"/>
      <c r="G3012" s="47"/>
      <c r="H3012" s="233"/>
      <c r="I3012" s="47"/>
    </row>
    <row r="3013" spans="1:9" ht="15.75" thickBot="1" x14ac:dyDescent="0.3">
      <c r="A3013" s="291"/>
      <c r="B3013" s="228"/>
      <c r="C3013" s="228"/>
      <c r="D3013" s="228"/>
      <c r="E3013" s="279"/>
      <c r="F3013" s="279" t="s">
        <v>119</v>
      </c>
      <c r="G3013" s="279"/>
      <c r="H3013" s="292">
        <f>SUM(H3011+H3004)</f>
        <v>3155171</v>
      </c>
      <c r="I3013" s="112"/>
    </row>
    <row r="3014" spans="1:9" x14ac:dyDescent="0.25">
      <c r="A3014" s="291"/>
      <c r="B3014" s="228"/>
      <c r="C3014" s="228"/>
      <c r="D3014" s="228"/>
      <c r="E3014" s="279"/>
      <c r="F3014" s="279"/>
      <c r="G3014" s="279"/>
      <c r="H3014" s="293"/>
      <c r="I3014" s="112"/>
    </row>
    <row r="3015" spans="1:9" x14ac:dyDescent="0.25">
      <c r="A3015" s="291"/>
      <c r="B3015" s="228"/>
      <c r="C3015" s="228"/>
      <c r="D3015" s="228"/>
      <c r="E3015" s="279"/>
      <c r="F3015" s="279"/>
      <c r="G3015" s="279"/>
      <c r="H3015" s="293"/>
      <c r="I3015" s="112"/>
    </row>
    <row r="3016" spans="1:9" x14ac:dyDescent="0.25">
      <c r="A3016" s="297"/>
      <c r="B3016" s="255"/>
      <c r="C3016" s="255"/>
      <c r="D3016" s="255"/>
      <c r="E3016" s="255"/>
      <c r="F3016" s="255"/>
      <c r="G3016" s="255"/>
      <c r="H3016" s="298"/>
    </row>
    <row r="3017" spans="1:9" x14ac:dyDescent="0.25">
      <c r="A3017" s="297"/>
      <c r="B3017" s="255"/>
      <c r="C3017" s="255"/>
      <c r="D3017" s="255"/>
      <c r="E3017" s="255"/>
      <c r="F3017" s="255"/>
      <c r="G3017" s="255"/>
      <c r="H3017" s="298"/>
    </row>
    <row r="3018" spans="1:9" x14ac:dyDescent="0.25">
      <c r="A3018" s="297"/>
      <c r="B3018" s="255"/>
      <c r="C3018" s="255"/>
      <c r="D3018" s="255"/>
      <c r="E3018" s="255"/>
      <c r="F3018" s="255"/>
      <c r="G3018" s="255"/>
      <c r="H3018" s="298"/>
    </row>
    <row r="3019" spans="1:9" x14ac:dyDescent="0.25">
      <c r="A3019" s="439" t="s">
        <v>79</v>
      </c>
      <c r="B3019" s="440"/>
      <c r="C3019" s="440"/>
      <c r="D3019" s="440"/>
      <c r="E3019" s="440"/>
      <c r="F3019" s="440"/>
      <c r="G3019" s="440"/>
      <c r="H3019" s="441"/>
      <c r="I3019" s="250"/>
    </row>
    <row r="3020" spans="1:9" x14ac:dyDescent="0.25">
      <c r="A3020" s="291"/>
      <c r="B3020" s="228"/>
      <c r="C3020" s="228"/>
      <c r="D3020" s="228"/>
      <c r="E3020" s="47"/>
      <c r="F3020" s="47"/>
      <c r="G3020" s="438" t="s">
        <v>326</v>
      </c>
      <c r="H3020" s="442"/>
      <c r="I3020" s="251"/>
    </row>
    <row r="3021" spans="1:9" ht="43.15" customHeight="1" x14ac:dyDescent="0.25">
      <c r="A3021" s="465" t="s">
        <v>403</v>
      </c>
      <c r="B3021" s="466"/>
      <c r="C3021" s="466"/>
      <c r="D3021" s="466"/>
      <c r="E3021" s="466"/>
      <c r="F3021" s="466"/>
      <c r="G3021" s="466"/>
      <c r="H3021" s="467"/>
      <c r="I3021" s="254"/>
    </row>
    <row r="3022" spans="1:9" x14ac:dyDescent="0.25">
      <c r="A3022" s="291"/>
      <c r="B3022" s="228"/>
      <c r="C3022" s="228"/>
      <c r="D3022" s="228"/>
      <c r="E3022" s="47"/>
      <c r="F3022" s="47"/>
      <c r="G3022" s="446" t="s">
        <v>215</v>
      </c>
      <c r="H3022" s="447"/>
      <c r="I3022" s="253"/>
    </row>
    <row r="3023" spans="1:9" x14ac:dyDescent="0.25">
      <c r="A3023" s="291" t="s">
        <v>82</v>
      </c>
      <c r="B3023" s="228"/>
      <c r="C3023" s="228"/>
      <c r="D3023" s="228"/>
      <c r="E3023" s="47"/>
      <c r="F3023" s="47"/>
      <c r="G3023" s="47"/>
      <c r="H3023" s="233"/>
      <c r="I3023" s="47"/>
    </row>
    <row r="3024" spans="1:9" x14ac:dyDescent="0.25">
      <c r="A3024" s="6" t="s">
        <v>0</v>
      </c>
      <c r="B3024" s="7"/>
      <c r="C3024" s="8" t="s">
        <v>83</v>
      </c>
      <c r="D3024" s="8" t="s">
        <v>84</v>
      </c>
      <c r="E3024" s="9" t="s">
        <v>85</v>
      </c>
      <c r="F3024" s="9" t="s">
        <v>86</v>
      </c>
      <c r="G3024" s="9" t="s">
        <v>87</v>
      </c>
      <c r="H3024" s="10"/>
      <c r="I3024" s="47"/>
    </row>
    <row r="3025" spans="1:16" x14ac:dyDescent="0.25">
      <c r="A3025" s="11" t="s">
        <v>88</v>
      </c>
      <c r="B3025" s="12"/>
      <c r="C3025" s="13"/>
      <c r="D3025" s="13"/>
      <c r="E3025" s="14"/>
      <c r="F3025" s="14"/>
      <c r="G3025" s="14">
        <f>ROUND(H3049*0.05,0)+8-16</f>
        <v>28340</v>
      </c>
      <c r="H3025" s="15"/>
      <c r="I3025" s="47"/>
    </row>
    <row r="3026" spans="1:16" x14ac:dyDescent="0.25">
      <c r="A3026" s="11" t="s">
        <v>327</v>
      </c>
      <c r="B3026" s="12"/>
      <c r="C3026" s="13"/>
      <c r="D3026" s="13"/>
      <c r="E3026" s="14">
        <v>350000</v>
      </c>
      <c r="F3026" s="14">
        <v>0.7</v>
      </c>
      <c r="G3026" s="14">
        <f>ROUND(E3026*F3026,0)</f>
        <v>245000</v>
      </c>
      <c r="H3026" s="15"/>
      <c r="I3026" s="47"/>
    </row>
    <row r="3027" spans="1:16" x14ac:dyDescent="0.25">
      <c r="A3027" s="11" t="s">
        <v>328</v>
      </c>
      <c r="B3027" s="11"/>
      <c r="C3027" s="13"/>
      <c r="D3027" s="13"/>
      <c r="E3027" s="14">
        <v>50000</v>
      </c>
      <c r="F3027" s="14">
        <v>1</v>
      </c>
      <c r="G3027" s="14">
        <f t="shared" ref="G3027:G3028" si="81">ROUND(E3027*F3027,0)</f>
        <v>50000</v>
      </c>
      <c r="H3027" s="15"/>
      <c r="I3027" s="47"/>
    </row>
    <row r="3028" spans="1:16" hidden="1" x14ac:dyDescent="0.25">
      <c r="A3028" s="415"/>
      <c r="B3028" s="416"/>
      <c r="C3028" s="13"/>
      <c r="D3028" s="13"/>
      <c r="E3028" s="14"/>
      <c r="F3028" s="14"/>
      <c r="G3028" s="14">
        <f t="shared" si="81"/>
        <v>0</v>
      </c>
      <c r="H3028" s="58"/>
      <c r="I3028" s="224"/>
    </row>
    <row r="3029" spans="1:16" x14ac:dyDescent="0.25">
      <c r="A3029" s="18"/>
      <c r="B3029" s="19"/>
      <c r="C3029" s="19"/>
      <c r="D3029" s="19"/>
      <c r="E3029" s="20"/>
      <c r="F3029" s="21" t="s">
        <v>90</v>
      </c>
      <c r="G3029" s="22"/>
      <c r="H3029" s="23">
        <f>SUM(G3025:G3028)</f>
        <v>323340</v>
      </c>
      <c r="I3029" s="220"/>
    </row>
    <row r="3030" spans="1:16" x14ac:dyDescent="0.25">
      <c r="A3030" s="291" t="s">
        <v>91</v>
      </c>
      <c r="B3030" s="228"/>
      <c r="C3030" s="228"/>
      <c r="D3030" s="228"/>
      <c r="E3030" s="47"/>
      <c r="F3030" s="47"/>
      <c r="G3030" s="47"/>
      <c r="H3030" s="233"/>
      <c r="I3030" s="47"/>
    </row>
    <row r="3031" spans="1:16" x14ac:dyDescent="0.25">
      <c r="A3031" s="24" t="s">
        <v>0</v>
      </c>
      <c r="B3031" s="24"/>
      <c r="C3031" s="8" t="s">
        <v>92</v>
      </c>
      <c r="D3031" s="8" t="s">
        <v>93</v>
      </c>
      <c r="E3031" s="9" t="s">
        <v>94</v>
      </c>
      <c r="F3031" s="9" t="s">
        <v>95</v>
      </c>
      <c r="G3031" s="25" t="s">
        <v>96</v>
      </c>
      <c r="H3031" s="10"/>
      <c r="I3031" s="47"/>
    </row>
    <row r="3032" spans="1:16" x14ac:dyDescent="0.25">
      <c r="A3032" s="419" t="s">
        <v>283</v>
      </c>
      <c r="B3032" s="419"/>
      <c r="C3032" s="59" t="s">
        <v>9</v>
      </c>
      <c r="D3032" s="60">
        <v>0.05</v>
      </c>
      <c r="E3032" s="61">
        <v>6</v>
      </c>
      <c r="F3032" s="62">
        <f>ROUND(187000/3,0)</f>
        <v>62333</v>
      </c>
      <c r="G3032" s="62">
        <f t="shared" ref="G3032:G3040" si="82">ROUND(E3032*F3032,0)</f>
        <v>373998</v>
      </c>
      <c r="H3032" s="15"/>
      <c r="I3032" s="47"/>
      <c r="L3032" s="63"/>
      <c r="M3032" s="63"/>
      <c r="N3032" s="63"/>
      <c r="O3032" s="63"/>
      <c r="P3032" s="63"/>
    </row>
    <row r="3033" spans="1:16" x14ac:dyDescent="0.25">
      <c r="A3033" s="419" t="s">
        <v>284</v>
      </c>
      <c r="B3033" s="419"/>
      <c r="C3033" s="59" t="s">
        <v>9</v>
      </c>
      <c r="D3033" s="65">
        <v>0.05</v>
      </c>
      <c r="E3033" s="61">
        <v>4.5</v>
      </c>
      <c r="F3033" s="62">
        <v>10500</v>
      </c>
      <c r="G3033" s="62">
        <f t="shared" si="82"/>
        <v>47250</v>
      </c>
      <c r="H3033" s="15"/>
      <c r="I3033" s="47"/>
    </row>
    <row r="3034" spans="1:16" x14ac:dyDescent="0.25">
      <c r="A3034" s="419" t="s">
        <v>285</v>
      </c>
      <c r="B3034" s="419"/>
      <c r="C3034" s="59" t="s">
        <v>140</v>
      </c>
      <c r="D3034" s="60">
        <v>0.05</v>
      </c>
      <c r="E3034" s="66">
        <v>0.2</v>
      </c>
      <c r="F3034" s="67">
        <v>205000</v>
      </c>
      <c r="G3034" s="67">
        <f t="shared" si="82"/>
        <v>41000</v>
      </c>
      <c r="H3034" s="68"/>
      <c r="I3034" s="225"/>
    </row>
    <row r="3035" spans="1:16" x14ac:dyDescent="0.25">
      <c r="A3035" s="419" t="s">
        <v>286</v>
      </c>
      <c r="B3035" s="419"/>
      <c r="C3035" s="59" t="s">
        <v>281</v>
      </c>
      <c r="D3035" s="60">
        <v>0.05</v>
      </c>
      <c r="E3035" s="66">
        <v>0.1</v>
      </c>
      <c r="F3035" s="87">
        <v>45000</v>
      </c>
      <c r="G3035" s="67">
        <f t="shared" si="82"/>
        <v>4500</v>
      </c>
      <c r="H3035" s="15"/>
      <c r="I3035" s="47"/>
      <c r="L3035" s="63"/>
      <c r="M3035" s="63"/>
      <c r="N3035" s="63"/>
      <c r="O3035" s="63"/>
      <c r="P3035" s="63"/>
    </row>
    <row r="3036" spans="1:16" ht="24" customHeight="1" x14ac:dyDescent="0.25">
      <c r="A3036" s="419" t="s">
        <v>282</v>
      </c>
      <c r="B3036" s="419"/>
      <c r="C3036" s="59" t="s">
        <v>158</v>
      </c>
      <c r="D3036" s="60"/>
      <c r="E3036" s="66">
        <v>1</v>
      </c>
      <c r="F3036" s="62">
        <v>30000</v>
      </c>
      <c r="G3036" s="67">
        <f t="shared" si="82"/>
        <v>30000</v>
      </c>
      <c r="H3036" s="15"/>
      <c r="I3036" s="47"/>
      <c r="L3036" s="63"/>
      <c r="M3036" s="63"/>
      <c r="N3036" s="63"/>
      <c r="O3036" s="63"/>
      <c r="P3036" s="63"/>
    </row>
    <row r="3037" spans="1:16" x14ac:dyDescent="0.25">
      <c r="A3037" s="419" t="s">
        <v>287</v>
      </c>
      <c r="B3037" s="419"/>
      <c r="C3037" s="59" t="s">
        <v>158</v>
      </c>
      <c r="D3037" s="31"/>
      <c r="E3037" s="30">
        <v>4</v>
      </c>
      <c r="F3037" s="14">
        <v>1900</v>
      </c>
      <c r="G3037" s="67">
        <f t="shared" si="82"/>
        <v>7600</v>
      </c>
      <c r="H3037" s="15"/>
      <c r="I3037" s="47"/>
    </row>
    <row r="3038" spans="1:16" ht="42.6" customHeight="1" x14ac:dyDescent="0.25">
      <c r="A3038" s="417" t="s">
        <v>288</v>
      </c>
      <c r="B3038" s="418"/>
      <c r="C3038" s="59" t="s">
        <v>289</v>
      </c>
      <c r="D3038" s="70"/>
      <c r="E3038" s="61">
        <v>6</v>
      </c>
      <c r="F3038" s="62">
        <v>10500</v>
      </c>
      <c r="G3038" s="67">
        <f t="shared" si="82"/>
        <v>63000</v>
      </c>
      <c r="H3038" s="71"/>
      <c r="I3038" s="226"/>
    </row>
    <row r="3039" spans="1:16" x14ac:dyDescent="0.25">
      <c r="A3039" s="417" t="s">
        <v>290</v>
      </c>
      <c r="B3039" s="418"/>
      <c r="C3039" s="84" t="s">
        <v>281</v>
      </c>
      <c r="D3039" s="65">
        <v>0.05</v>
      </c>
      <c r="E3039" s="61">
        <v>0.3</v>
      </c>
      <c r="F3039" s="62">
        <f>+$F$2728</f>
        <v>58000</v>
      </c>
      <c r="G3039" s="67">
        <f t="shared" si="82"/>
        <v>17400</v>
      </c>
      <c r="H3039" s="15"/>
      <c r="I3039" s="47"/>
    </row>
    <row r="3040" spans="1:16" x14ac:dyDescent="0.25">
      <c r="A3040" s="11" t="s">
        <v>139</v>
      </c>
      <c r="B3040" s="12"/>
      <c r="C3040" s="35" t="s">
        <v>158</v>
      </c>
      <c r="D3040" s="31"/>
      <c r="E3040" s="30">
        <v>1</v>
      </c>
      <c r="F3040" s="14">
        <v>8500</v>
      </c>
      <c r="G3040" s="67">
        <f t="shared" si="82"/>
        <v>8500</v>
      </c>
      <c r="H3040" s="17"/>
      <c r="I3040" s="47"/>
    </row>
    <row r="3041" spans="1:9" x14ac:dyDescent="0.25">
      <c r="A3041" s="291"/>
      <c r="B3041" s="228"/>
      <c r="C3041" s="228"/>
      <c r="D3041" s="228"/>
      <c r="E3041" s="36"/>
      <c r="F3041" s="37" t="s">
        <v>102</v>
      </c>
      <c r="G3041" s="38"/>
      <c r="H3041" s="23">
        <f>SUM(G3032:G3040)</f>
        <v>593248</v>
      </c>
      <c r="I3041" s="220"/>
    </row>
    <row r="3042" spans="1:9" x14ac:dyDescent="0.25">
      <c r="A3042" s="291"/>
      <c r="B3042" s="228"/>
      <c r="C3042" s="228"/>
      <c r="D3042" s="228"/>
      <c r="E3042" s="36"/>
      <c r="F3042" s="39" t="s">
        <v>103</v>
      </c>
      <c r="G3042" s="38"/>
      <c r="H3042" s="23">
        <f>ROUND((D3032*G3032)+(D3033*G3033)+(D3034*G3034)+(D3035*G3035)+(D3036*G3036)+(D3037*G3037)+(D3038*G3038)+(D3039*G3039)+(D3040*G3040),0)</f>
        <v>24207</v>
      </c>
      <c r="I3042" s="220"/>
    </row>
    <row r="3043" spans="1:9" x14ac:dyDescent="0.25">
      <c r="A3043" s="291"/>
      <c r="B3043" s="228"/>
      <c r="C3043" s="228"/>
      <c r="D3043" s="228"/>
      <c r="E3043" s="36"/>
      <c r="F3043" s="20" t="s">
        <v>104</v>
      </c>
      <c r="G3043" s="40"/>
      <c r="H3043" s="23">
        <f>SUM(H3041:H3042)</f>
        <v>617455</v>
      </c>
      <c r="I3043" s="220"/>
    </row>
    <row r="3044" spans="1:9" x14ac:dyDescent="0.25">
      <c r="A3044" s="291" t="s">
        <v>105</v>
      </c>
      <c r="B3044" s="228"/>
      <c r="C3044" s="228"/>
      <c r="D3044" s="228"/>
      <c r="E3044" s="47"/>
      <c r="F3044" s="47"/>
      <c r="G3044" s="47"/>
      <c r="H3044" s="233"/>
      <c r="I3044" s="47"/>
    </row>
    <row r="3045" spans="1:9" x14ac:dyDescent="0.25">
      <c r="A3045" s="24" t="s">
        <v>0</v>
      </c>
      <c r="B3045" s="24"/>
      <c r="C3045" s="8" t="s">
        <v>106</v>
      </c>
      <c r="D3045" s="8" t="s">
        <v>107</v>
      </c>
      <c r="E3045" s="9" t="s">
        <v>108</v>
      </c>
      <c r="F3045" s="9" t="s">
        <v>109</v>
      </c>
      <c r="G3045" s="41" t="s">
        <v>96</v>
      </c>
      <c r="H3045" s="10"/>
      <c r="I3045" s="47"/>
    </row>
    <row r="3046" spans="1:9" x14ac:dyDescent="0.25">
      <c r="A3046" s="18" t="s">
        <v>110</v>
      </c>
      <c r="B3046" s="42"/>
      <c r="C3046" s="13">
        <f>104000+26000</f>
        <v>130000</v>
      </c>
      <c r="D3046" s="13">
        <f>+C3046*0.16</f>
        <v>20800</v>
      </c>
      <c r="E3046" s="14">
        <f>C3046+D3046</f>
        <v>150800</v>
      </c>
      <c r="F3046" s="30">
        <v>2.2999999999999998</v>
      </c>
      <c r="G3046" s="14">
        <f>ROUND(E3046*F3046,0)</f>
        <v>346840</v>
      </c>
      <c r="H3046" s="15"/>
      <c r="I3046" s="47"/>
    </row>
    <row r="3047" spans="1:9" x14ac:dyDescent="0.25">
      <c r="A3047" s="18" t="s">
        <v>111</v>
      </c>
      <c r="B3047" s="42"/>
      <c r="C3047" s="13">
        <f>60400+25850</f>
        <v>86250</v>
      </c>
      <c r="D3047" s="13">
        <f>+C3047*0.16</f>
        <v>13800</v>
      </c>
      <c r="E3047" s="14">
        <f>C3047+D3047</f>
        <v>100050</v>
      </c>
      <c r="F3047" s="30">
        <v>2.2000000000000002</v>
      </c>
      <c r="G3047" s="14">
        <f>ROUND(E3047*F3047,0)</f>
        <v>220110</v>
      </c>
      <c r="H3047" s="15"/>
      <c r="I3047" s="47"/>
    </row>
    <row r="3048" spans="1:9" hidden="1" x14ac:dyDescent="0.25">
      <c r="A3048" s="18"/>
      <c r="B3048" s="42"/>
      <c r="C3048" s="43"/>
      <c r="D3048" s="43"/>
      <c r="E3048" s="44">
        <f>C3048+D3048</f>
        <v>0</v>
      </c>
      <c r="F3048" s="45"/>
      <c r="G3048" s="14">
        <f>ROUND(E3048*F3048,0)</f>
        <v>0</v>
      </c>
      <c r="H3048" s="15"/>
      <c r="I3048" s="47"/>
    </row>
    <row r="3049" spans="1:9" x14ac:dyDescent="0.25">
      <c r="A3049" s="291"/>
      <c r="B3049" s="228"/>
      <c r="C3049" s="228"/>
      <c r="D3049" s="228"/>
      <c r="E3049" s="277" t="s">
        <v>112</v>
      </c>
      <c r="F3049" s="277"/>
      <c r="G3049" s="277"/>
      <c r="H3049" s="82">
        <f>SUM(G3046:G3048)</f>
        <v>566950</v>
      </c>
      <c r="I3049" s="221"/>
    </row>
    <row r="3050" spans="1:9" x14ac:dyDescent="0.25">
      <c r="A3050" s="291"/>
      <c r="B3050" s="228"/>
      <c r="C3050" s="228"/>
      <c r="D3050" s="228"/>
      <c r="E3050" s="47"/>
      <c r="F3050" s="47"/>
      <c r="G3050" s="47"/>
      <c r="H3050" s="233"/>
      <c r="I3050" s="47"/>
    </row>
    <row r="3051" spans="1:9" x14ac:dyDescent="0.25">
      <c r="A3051" s="18"/>
      <c r="B3051" s="19"/>
      <c r="C3051" s="19"/>
      <c r="D3051" s="19"/>
      <c r="E3051" s="48" t="s">
        <v>113</v>
      </c>
      <c r="F3051" s="48"/>
      <c r="G3051" s="48"/>
      <c r="H3051" s="25">
        <f>H3049+H3043+H3029</f>
        <v>1507745</v>
      </c>
      <c r="I3051" s="222"/>
    </row>
    <row r="3052" spans="1:9" x14ac:dyDescent="0.25">
      <c r="A3052" s="291"/>
      <c r="B3052" s="228"/>
      <c r="C3052" s="228"/>
      <c r="D3052" s="228"/>
      <c r="E3052" s="47"/>
      <c r="F3052" s="47"/>
      <c r="G3052" s="47"/>
      <c r="H3052" s="233"/>
      <c r="I3052" s="47"/>
    </row>
    <row r="3053" spans="1:9" x14ac:dyDescent="0.25">
      <c r="A3053" s="291" t="s">
        <v>114</v>
      </c>
      <c r="B3053" s="228"/>
      <c r="C3053" s="228"/>
      <c r="D3053" s="228"/>
      <c r="E3053" s="47"/>
      <c r="F3053" s="47"/>
      <c r="G3053" s="47"/>
      <c r="H3053" s="233"/>
      <c r="I3053" s="47"/>
    </row>
    <row r="3054" spans="1:9" x14ac:dyDescent="0.25">
      <c r="A3054" s="6" t="s">
        <v>0</v>
      </c>
      <c r="B3054" s="49"/>
      <c r="C3054" s="49"/>
      <c r="D3054" s="49"/>
      <c r="E3054" s="50"/>
      <c r="F3054" s="9" t="s">
        <v>115</v>
      </c>
      <c r="G3054" s="41" t="s">
        <v>116</v>
      </c>
      <c r="H3054" s="10"/>
      <c r="I3054" s="47"/>
    </row>
    <row r="3055" spans="1:9" x14ac:dyDescent="0.25">
      <c r="A3055" s="11" t="s">
        <v>117</v>
      </c>
      <c r="B3055" s="51"/>
      <c r="C3055" s="51"/>
      <c r="D3055" s="51"/>
      <c r="E3055" s="52"/>
      <c r="F3055" s="53"/>
      <c r="G3055" s="14">
        <f>F3055*H3051</f>
        <v>0</v>
      </c>
      <c r="H3055" s="17"/>
      <c r="I3055" s="47"/>
    </row>
    <row r="3056" spans="1:9" hidden="1" x14ac:dyDescent="0.25">
      <c r="A3056" s="81"/>
      <c r="B3056" s="301"/>
      <c r="C3056" s="301"/>
      <c r="D3056" s="301"/>
      <c r="E3056" s="302"/>
      <c r="F3056" s="303"/>
      <c r="G3056" s="304">
        <f>F3056*H3051</f>
        <v>0</v>
      </c>
      <c r="H3056" s="236"/>
      <c r="I3056" s="47"/>
    </row>
    <row r="3057" spans="1:9" hidden="1" x14ac:dyDescent="0.25">
      <c r="A3057" s="11"/>
      <c r="B3057" s="51"/>
      <c r="C3057" s="51"/>
      <c r="D3057" s="51"/>
      <c r="E3057" s="52"/>
      <c r="F3057" s="53"/>
      <c r="G3057" s="14">
        <f>F3057*H3051</f>
        <v>0</v>
      </c>
      <c r="H3057" s="237"/>
      <c r="I3057" s="47"/>
    </row>
    <row r="3058" spans="1:9" x14ac:dyDescent="0.25">
      <c r="A3058" s="4"/>
      <c r="B3058" s="4"/>
      <c r="C3058" s="4"/>
      <c r="D3058" s="4"/>
      <c r="E3058" s="46" t="s">
        <v>118</v>
      </c>
      <c r="F3058" s="46"/>
      <c r="G3058" s="46"/>
      <c r="H3058" s="36">
        <f>SUM(G3055:G3057)</f>
        <v>0</v>
      </c>
      <c r="I3058" s="220"/>
    </row>
    <row r="3059" spans="1:9" ht="15.75" thickBot="1" x14ac:dyDescent="0.3">
      <c r="A3059" s="4"/>
      <c r="B3059" s="4"/>
      <c r="C3059" s="4"/>
      <c r="D3059" s="4"/>
      <c r="E3059" s="5"/>
      <c r="F3059" s="5"/>
      <c r="G3059" s="5"/>
      <c r="H3059" s="5"/>
      <c r="I3059" s="47"/>
    </row>
    <row r="3060" spans="1:9" ht="15.75" thickBot="1" x14ac:dyDescent="0.3">
      <c r="A3060" s="4"/>
      <c r="B3060" s="4"/>
      <c r="C3060" s="4"/>
      <c r="D3060" s="4"/>
      <c r="E3060" s="54"/>
      <c r="F3060" s="54" t="s">
        <v>119</v>
      </c>
      <c r="G3060" s="54"/>
      <c r="H3060" s="240">
        <f>SUM(H3058+H3051)</f>
        <v>1507745</v>
      </c>
      <c r="I3060" s="112"/>
    </row>
    <row r="3061" spans="1:9" x14ac:dyDescent="0.25">
      <c r="A3061" s="4"/>
      <c r="B3061" s="4"/>
      <c r="C3061" s="4"/>
      <c r="D3061" s="4"/>
      <c r="E3061" s="54"/>
      <c r="F3061" s="54"/>
      <c r="G3061" s="54"/>
      <c r="H3061" s="112"/>
      <c r="I3061" s="112"/>
    </row>
    <row r="3062" spans="1:9" x14ac:dyDescent="0.25">
      <c r="A3062" s="4"/>
      <c r="B3062" s="4"/>
      <c r="C3062" s="4"/>
      <c r="D3062" s="4"/>
      <c r="E3062" s="54"/>
      <c r="F3062" s="54"/>
      <c r="G3062" s="54"/>
      <c r="H3062" s="112"/>
      <c r="I3062" s="112"/>
    </row>
    <row r="3063" spans="1:9" x14ac:dyDescent="0.25">
      <c r="A3063" s="4"/>
      <c r="B3063" s="4"/>
      <c r="C3063" s="4"/>
      <c r="D3063" s="4"/>
      <c r="E3063" s="54"/>
      <c r="F3063" s="54"/>
      <c r="G3063" s="54"/>
      <c r="H3063" s="112"/>
      <c r="I3063" s="112"/>
    </row>
    <row r="3066" spans="1:9" x14ac:dyDescent="0.25">
      <c r="A3066" s="412" t="s">
        <v>79</v>
      </c>
      <c r="B3066" s="412"/>
      <c r="C3066" s="412"/>
      <c r="D3066" s="412"/>
      <c r="E3066" s="412"/>
      <c r="F3066" s="412"/>
      <c r="G3066" s="412"/>
      <c r="H3066" s="412"/>
      <c r="I3066" s="250"/>
    </row>
    <row r="3067" spans="1:9" x14ac:dyDescent="0.25">
      <c r="A3067" s="4"/>
      <c r="B3067" s="4"/>
      <c r="C3067" s="4"/>
      <c r="D3067" s="4"/>
      <c r="E3067" s="5"/>
      <c r="F3067" s="5"/>
      <c r="G3067" s="411" t="s">
        <v>326</v>
      </c>
      <c r="H3067" s="411"/>
      <c r="I3067" s="251"/>
    </row>
    <row r="3068" spans="1:9" ht="34.9" customHeight="1" x14ac:dyDescent="0.25">
      <c r="A3068" s="410" t="s">
        <v>418</v>
      </c>
      <c r="B3068" s="410"/>
      <c r="C3068" s="410"/>
      <c r="D3068" s="410"/>
      <c r="E3068" s="410"/>
      <c r="F3068" s="410"/>
      <c r="G3068" s="410"/>
      <c r="H3068" s="410"/>
      <c r="I3068" s="254"/>
    </row>
    <row r="3069" spans="1:9" x14ac:dyDescent="0.25">
      <c r="A3069" s="4"/>
      <c r="B3069" s="4"/>
      <c r="C3069" s="4"/>
      <c r="D3069" s="4"/>
      <c r="E3069" s="5"/>
      <c r="F3069" s="5"/>
      <c r="G3069" s="414" t="s">
        <v>215</v>
      </c>
      <c r="H3069" s="414"/>
      <c r="I3069" s="253"/>
    </row>
    <row r="3070" spans="1:9" x14ac:dyDescent="0.25">
      <c r="A3070" s="4" t="s">
        <v>82</v>
      </c>
      <c r="B3070" s="4"/>
      <c r="C3070" s="4"/>
      <c r="D3070" s="4"/>
      <c r="E3070" s="5"/>
      <c r="F3070" s="5"/>
      <c r="G3070" s="5"/>
      <c r="H3070" s="5"/>
      <c r="I3070" s="47"/>
    </row>
    <row r="3071" spans="1:9" x14ac:dyDescent="0.25">
      <c r="A3071" s="6" t="s">
        <v>0</v>
      </c>
      <c r="B3071" s="7"/>
      <c r="C3071" s="8" t="s">
        <v>83</v>
      </c>
      <c r="D3071" s="8" t="s">
        <v>84</v>
      </c>
      <c r="E3071" s="9" t="s">
        <v>85</v>
      </c>
      <c r="F3071" s="9" t="s">
        <v>86</v>
      </c>
      <c r="G3071" s="9" t="s">
        <v>87</v>
      </c>
      <c r="H3071" s="10"/>
      <c r="I3071" s="47"/>
    </row>
    <row r="3072" spans="1:9" x14ac:dyDescent="0.25">
      <c r="A3072" s="11" t="s">
        <v>88</v>
      </c>
      <c r="B3072" s="12"/>
      <c r="C3072" s="13"/>
      <c r="D3072" s="13"/>
      <c r="E3072" s="14"/>
      <c r="F3072" s="14"/>
      <c r="G3072" s="14">
        <f>ROUND(H3096*0.05,0)</f>
        <v>3513</v>
      </c>
      <c r="H3072" s="15"/>
      <c r="I3072" s="47"/>
    </row>
    <row r="3073" spans="1:16" x14ac:dyDescent="0.25">
      <c r="A3073" s="11" t="s">
        <v>327</v>
      </c>
      <c r="B3073" s="12"/>
      <c r="C3073" s="13"/>
      <c r="D3073" s="13"/>
      <c r="E3073" s="14">
        <v>350000</v>
      </c>
      <c r="F3073" s="14">
        <v>0.1</v>
      </c>
      <c r="G3073" s="14">
        <f>ROUND(E3073*F3073,0)</f>
        <v>35000</v>
      </c>
      <c r="H3073" s="15"/>
      <c r="I3073" s="47"/>
    </row>
    <row r="3074" spans="1:16" x14ac:dyDescent="0.25">
      <c r="A3074" s="11" t="s">
        <v>328</v>
      </c>
      <c r="B3074" s="11"/>
      <c r="C3074" s="13"/>
      <c r="D3074" s="13"/>
      <c r="E3074" s="14">
        <v>50000</v>
      </c>
      <c r="F3074" s="14">
        <v>0.1</v>
      </c>
      <c r="G3074" s="14">
        <f t="shared" ref="G3074:G3075" si="83">ROUND(E3074*F3074,0)</f>
        <v>5000</v>
      </c>
      <c r="H3074" s="15"/>
      <c r="I3074" s="47"/>
    </row>
    <row r="3075" spans="1:16" x14ac:dyDescent="0.25">
      <c r="A3075" s="415"/>
      <c r="B3075" s="416"/>
      <c r="C3075" s="13"/>
      <c r="D3075" s="13"/>
      <c r="E3075" s="14"/>
      <c r="F3075" s="14"/>
      <c r="G3075" s="14">
        <f t="shared" si="83"/>
        <v>0</v>
      </c>
      <c r="H3075" s="58"/>
      <c r="I3075" s="224"/>
    </row>
    <row r="3076" spans="1:16" x14ac:dyDescent="0.25">
      <c r="A3076" s="18"/>
      <c r="B3076" s="19"/>
      <c r="C3076" s="19"/>
      <c r="D3076" s="19"/>
      <c r="E3076" s="20"/>
      <c r="F3076" s="21" t="s">
        <v>90</v>
      </c>
      <c r="G3076" s="22"/>
      <c r="H3076" s="23">
        <f>SUM(G3072:G3075)</f>
        <v>43513</v>
      </c>
      <c r="I3076" s="220"/>
    </row>
    <row r="3077" spans="1:16" x14ac:dyDescent="0.25">
      <c r="A3077" s="291" t="s">
        <v>91</v>
      </c>
      <c r="B3077" s="228"/>
      <c r="C3077" s="228"/>
      <c r="D3077" s="228"/>
      <c r="E3077" s="47"/>
      <c r="F3077" s="47"/>
      <c r="G3077" s="47"/>
      <c r="H3077" s="233"/>
      <c r="I3077" s="47"/>
    </row>
    <row r="3078" spans="1:16" x14ac:dyDescent="0.25">
      <c r="A3078" s="24" t="s">
        <v>0</v>
      </c>
      <c r="B3078" s="24"/>
      <c r="C3078" s="8" t="s">
        <v>92</v>
      </c>
      <c r="D3078" s="8" t="s">
        <v>93</v>
      </c>
      <c r="E3078" s="9" t="s">
        <v>94</v>
      </c>
      <c r="F3078" s="9" t="s">
        <v>95</v>
      </c>
      <c r="G3078" s="25" t="s">
        <v>96</v>
      </c>
      <c r="H3078" s="10"/>
      <c r="I3078" s="47"/>
    </row>
    <row r="3079" spans="1:16" ht="28.9" customHeight="1" x14ac:dyDescent="0.25">
      <c r="A3079" s="424" t="s">
        <v>419</v>
      </c>
      <c r="B3079" s="425"/>
      <c r="C3079" s="59" t="s">
        <v>18</v>
      </c>
      <c r="D3079" s="60"/>
      <c r="E3079" s="86">
        <v>1</v>
      </c>
      <c r="F3079" s="87">
        <v>325000</v>
      </c>
      <c r="G3079" s="62">
        <f t="shared" ref="G3079:G3087" si="84">ROUND(E3079*F3079,0)</f>
        <v>325000</v>
      </c>
      <c r="H3079" s="15"/>
      <c r="I3079" s="47"/>
      <c r="L3079" s="63"/>
      <c r="M3079" s="63"/>
      <c r="N3079" s="63"/>
      <c r="O3079" s="63"/>
      <c r="P3079" s="63"/>
    </row>
    <row r="3080" spans="1:16" ht="78" customHeight="1" x14ac:dyDescent="0.25">
      <c r="A3080" s="426"/>
      <c r="B3080" s="427"/>
      <c r="C3080" s="59"/>
      <c r="D3080" s="65"/>
      <c r="E3080" s="86"/>
      <c r="F3080" s="87"/>
      <c r="G3080" s="62">
        <f t="shared" si="84"/>
        <v>0</v>
      </c>
      <c r="H3080" s="15"/>
      <c r="I3080" s="47"/>
    </row>
    <row r="3081" spans="1:16" hidden="1" x14ac:dyDescent="0.25">
      <c r="A3081" s="419"/>
      <c r="B3081" s="419"/>
      <c r="C3081" s="59"/>
      <c r="D3081" s="60"/>
      <c r="E3081" s="334"/>
      <c r="F3081" s="335"/>
      <c r="G3081" s="67">
        <f t="shared" si="84"/>
        <v>0</v>
      </c>
      <c r="H3081" s="68"/>
      <c r="I3081" s="225"/>
    </row>
    <row r="3082" spans="1:16" hidden="1" x14ac:dyDescent="0.25">
      <c r="A3082" s="419"/>
      <c r="B3082" s="419"/>
      <c r="C3082" s="59"/>
      <c r="D3082" s="60"/>
      <c r="E3082" s="334"/>
      <c r="F3082" s="87"/>
      <c r="G3082" s="67">
        <f t="shared" si="84"/>
        <v>0</v>
      </c>
      <c r="H3082" s="15"/>
      <c r="I3082" s="47"/>
      <c r="L3082" s="63"/>
      <c r="M3082" s="63"/>
      <c r="N3082" s="63"/>
      <c r="O3082" s="63"/>
      <c r="P3082" s="63"/>
    </row>
    <row r="3083" spans="1:16" ht="24" hidden="1" customHeight="1" x14ac:dyDescent="0.25">
      <c r="A3083" s="419"/>
      <c r="B3083" s="419"/>
      <c r="C3083" s="59"/>
      <c r="D3083" s="60"/>
      <c r="E3083" s="334"/>
      <c r="F3083" s="87"/>
      <c r="G3083" s="67">
        <f t="shared" si="84"/>
        <v>0</v>
      </c>
      <c r="H3083" s="15"/>
      <c r="I3083" s="47"/>
      <c r="L3083" s="63"/>
      <c r="M3083" s="63"/>
      <c r="N3083" s="63"/>
      <c r="O3083" s="63"/>
      <c r="P3083" s="63"/>
    </row>
    <row r="3084" spans="1:16" hidden="1" x14ac:dyDescent="0.25">
      <c r="A3084" s="419"/>
      <c r="B3084" s="419"/>
      <c r="C3084" s="59"/>
      <c r="D3084" s="31"/>
      <c r="E3084" s="77"/>
      <c r="F3084" s="74"/>
      <c r="G3084" s="67">
        <f t="shared" si="84"/>
        <v>0</v>
      </c>
      <c r="H3084" s="15"/>
      <c r="I3084" s="47"/>
    </row>
    <row r="3085" spans="1:16" hidden="1" x14ac:dyDescent="0.25">
      <c r="A3085" s="417"/>
      <c r="B3085" s="418"/>
      <c r="C3085" s="59"/>
      <c r="D3085" s="70"/>
      <c r="E3085" s="61"/>
      <c r="F3085" s="62"/>
      <c r="G3085" s="67">
        <f t="shared" si="84"/>
        <v>0</v>
      </c>
      <c r="H3085" s="71"/>
      <c r="I3085" s="226"/>
    </row>
    <row r="3086" spans="1:16" hidden="1" x14ac:dyDescent="0.25">
      <c r="A3086" s="417"/>
      <c r="B3086" s="418"/>
      <c r="C3086" s="84"/>
      <c r="D3086" s="65"/>
      <c r="E3086" s="61"/>
      <c r="F3086" s="62"/>
      <c r="G3086" s="67">
        <f t="shared" si="84"/>
        <v>0</v>
      </c>
      <c r="H3086" s="15"/>
      <c r="I3086" s="47"/>
    </row>
    <row r="3087" spans="1:16" hidden="1" x14ac:dyDescent="0.25">
      <c r="A3087" s="11"/>
      <c r="B3087" s="12"/>
      <c r="C3087" s="35"/>
      <c r="D3087" s="31"/>
      <c r="E3087" s="30"/>
      <c r="F3087" s="14"/>
      <c r="G3087" s="67">
        <f t="shared" si="84"/>
        <v>0</v>
      </c>
      <c r="H3087" s="17"/>
      <c r="I3087" s="47"/>
    </row>
    <row r="3088" spans="1:16" x14ac:dyDescent="0.25">
      <c r="A3088" s="291"/>
      <c r="B3088" s="228"/>
      <c r="C3088" s="228"/>
      <c r="D3088" s="228"/>
      <c r="E3088" s="36"/>
      <c r="F3088" s="37" t="s">
        <v>102</v>
      </c>
      <c r="G3088" s="38"/>
      <c r="H3088" s="23">
        <f>SUM(G3079:G3087)</f>
        <v>325000</v>
      </c>
      <c r="I3088" s="220"/>
    </row>
    <row r="3089" spans="1:9" x14ac:dyDescent="0.25">
      <c r="A3089" s="291"/>
      <c r="B3089" s="228"/>
      <c r="C3089" s="228"/>
      <c r="D3089" s="228"/>
      <c r="E3089" s="36"/>
      <c r="F3089" s="39" t="s">
        <v>103</v>
      </c>
      <c r="G3089" s="38"/>
      <c r="H3089" s="23">
        <f>ROUND((D3079*G3079)+(D3080*G3080)+(D3081*G3081)+(D3082*G3082)+(D3083*G3083)+(D3084*G3084)+(D3085*G3085)+(D3086*G3086)+(D3087*G3087),0)</f>
        <v>0</v>
      </c>
      <c r="I3089" s="220"/>
    </row>
    <row r="3090" spans="1:9" x14ac:dyDescent="0.25">
      <c r="A3090" s="291"/>
      <c r="B3090" s="228"/>
      <c r="C3090" s="228"/>
      <c r="D3090" s="228"/>
      <c r="E3090" s="36"/>
      <c r="F3090" s="20" t="s">
        <v>104</v>
      </c>
      <c r="G3090" s="40"/>
      <c r="H3090" s="23">
        <f>SUM(H3088:H3089)</f>
        <v>325000</v>
      </c>
      <c r="I3090" s="220"/>
    </row>
    <row r="3091" spans="1:9" x14ac:dyDescent="0.25">
      <c r="A3091" s="291" t="s">
        <v>105</v>
      </c>
      <c r="B3091" s="228"/>
      <c r="C3091" s="228"/>
      <c r="D3091" s="228"/>
      <c r="E3091" s="47"/>
      <c r="F3091" s="47"/>
      <c r="G3091" s="47"/>
      <c r="H3091" s="233"/>
      <c r="I3091" s="47"/>
    </row>
    <row r="3092" spans="1:9" x14ac:dyDescent="0.25">
      <c r="A3092" s="24" t="s">
        <v>0</v>
      </c>
      <c r="B3092" s="24"/>
      <c r="C3092" s="8" t="s">
        <v>106</v>
      </c>
      <c r="D3092" s="8" t="s">
        <v>107</v>
      </c>
      <c r="E3092" s="9" t="s">
        <v>108</v>
      </c>
      <c r="F3092" s="9" t="s">
        <v>109</v>
      </c>
      <c r="G3092" s="41" t="s">
        <v>96</v>
      </c>
      <c r="H3092" s="10"/>
      <c r="I3092" s="47"/>
    </row>
    <row r="3093" spans="1:9" x14ac:dyDescent="0.25">
      <c r="A3093" s="18" t="s">
        <v>110</v>
      </c>
      <c r="B3093" s="42"/>
      <c r="C3093" s="13">
        <f>104000+26000</f>
        <v>130000</v>
      </c>
      <c r="D3093" s="13">
        <f>+C3093*0.16</f>
        <v>20800</v>
      </c>
      <c r="E3093" s="14">
        <f>C3093+D3093</f>
        <v>150800</v>
      </c>
      <c r="F3093" s="30">
        <v>0.3</v>
      </c>
      <c r="G3093" s="14">
        <f>ROUND(E3093*F3093,0)</f>
        <v>45240</v>
      </c>
      <c r="H3093" s="15"/>
      <c r="I3093" s="47"/>
    </row>
    <row r="3094" spans="1:9" x14ac:dyDescent="0.25">
      <c r="A3094" s="18" t="s">
        <v>111</v>
      </c>
      <c r="B3094" s="42"/>
      <c r="C3094" s="13">
        <f>60400+25850</f>
        <v>86250</v>
      </c>
      <c r="D3094" s="13">
        <f>+C3094*0.16</f>
        <v>13800</v>
      </c>
      <c r="E3094" s="14">
        <f>C3094+D3094</f>
        <v>100050</v>
      </c>
      <c r="F3094" s="30">
        <v>0.25</v>
      </c>
      <c r="G3094" s="14">
        <f>ROUND(E3094*F3094,0)</f>
        <v>25013</v>
      </c>
      <c r="H3094" s="15"/>
      <c r="I3094" s="47"/>
    </row>
    <row r="3095" spans="1:9" hidden="1" x14ac:dyDescent="0.25">
      <c r="A3095" s="18"/>
      <c r="B3095" s="42"/>
      <c r="C3095" s="43"/>
      <c r="D3095" s="43"/>
      <c r="E3095" s="44">
        <f>C3095+D3095</f>
        <v>0</v>
      </c>
      <c r="F3095" s="45"/>
      <c r="G3095" s="14">
        <f>ROUND(E3095*F3095,0)</f>
        <v>0</v>
      </c>
      <c r="H3095" s="15"/>
      <c r="I3095" s="47"/>
    </row>
    <row r="3096" spans="1:9" x14ac:dyDescent="0.25">
      <c r="A3096" s="291"/>
      <c r="B3096" s="228"/>
      <c r="C3096" s="228"/>
      <c r="D3096" s="228"/>
      <c r="E3096" s="277" t="s">
        <v>112</v>
      </c>
      <c r="F3096" s="277"/>
      <c r="G3096" s="277"/>
      <c r="H3096" s="82">
        <f>SUM(G3093:G3095)</f>
        <v>70253</v>
      </c>
      <c r="I3096" s="221"/>
    </row>
    <row r="3097" spans="1:9" x14ac:dyDescent="0.25">
      <c r="A3097" s="291"/>
      <c r="B3097" s="228"/>
      <c r="C3097" s="228"/>
      <c r="D3097" s="228"/>
      <c r="E3097" s="47"/>
      <c r="F3097" s="47"/>
      <c r="G3097" s="47"/>
      <c r="H3097" s="233"/>
      <c r="I3097" s="47"/>
    </row>
    <row r="3098" spans="1:9" x14ac:dyDescent="0.25">
      <c r="A3098" s="18"/>
      <c r="B3098" s="19"/>
      <c r="C3098" s="19"/>
      <c r="D3098" s="19"/>
      <c r="E3098" s="48" t="s">
        <v>113</v>
      </c>
      <c r="F3098" s="48"/>
      <c r="G3098" s="48"/>
      <c r="H3098" s="25">
        <f>H3096+H3090+H3076</f>
        <v>438766</v>
      </c>
      <c r="I3098" s="222"/>
    </row>
    <row r="3099" spans="1:9" x14ac:dyDescent="0.25">
      <c r="A3099" s="291"/>
      <c r="B3099" s="228"/>
      <c r="C3099" s="228"/>
      <c r="D3099" s="228"/>
      <c r="E3099" s="47"/>
      <c r="F3099" s="47"/>
      <c r="G3099" s="47"/>
      <c r="H3099" s="233"/>
      <c r="I3099" s="47"/>
    </row>
    <row r="3100" spans="1:9" x14ac:dyDescent="0.25">
      <c r="A3100" s="291" t="s">
        <v>114</v>
      </c>
      <c r="B3100" s="228"/>
      <c r="C3100" s="228"/>
      <c r="D3100" s="228"/>
      <c r="E3100" s="47"/>
      <c r="F3100" s="47"/>
      <c r="G3100" s="47"/>
      <c r="H3100" s="233"/>
      <c r="I3100" s="47"/>
    </row>
    <row r="3101" spans="1:9" x14ac:dyDescent="0.25">
      <c r="A3101" s="6" t="s">
        <v>0</v>
      </c>
      <c r="B3101" s="49"/>
      <c r="C3101" s="49"/>
      <c r="D3101" s="49"/>
      <c r="E3101" s="50"/>
      <c r="F3101" s="9" t="s">
        <v>115</v>
      </c>
      <c r="G3101" s="41" t="s">
        <v>116</v>
      </c>
      <c r="H3101" s="10"/>
      <c r="I3101" s="47"/>
    </row>
    <row r="3102" spans="1:9" x14ac:dyDescent="0.25">
      <c r="A3102" s="11" t="s">
        <v>117</v>
      </c>
      <c r="B3102" s="51"/>
      <c r="C3102" s="51"/>
      <c r="D3102" s="51"/>
      <c r="E3102" s="52"/>
      <c r="F3102" s="53"/>
      <c r="G3102" s="14">
        <f>F3102*H3098</f>
        <v>0</v>
      </c>
      <c r="H3102" s="15"/>
      <c r="I3102" s="47"/>
    </row>
    <row r="3103" spans="1:9" hidden="1" x14ac:dyDescent="0.25">
      <c r="A3103" s="11"/>
      <c r="B3103" s="51"/>
      <c r="C3103" s="51"/>
      <c r="D3103" s="51"/>
      <c r="E3103" s="52"/>
      <c r="F3103" s="53"/>
      <c r="G3103" s="14">
        <f>F3103*H3098</f>
        <v>0</v>
      </c>
      <c r="H3103" s="15"/>
      <c r="I3103" s="47"/>
    </row>
    <row r="3104" spans="1:9" hidden="1" x14ac:dyDescent="0.25">
      <c r="A3104" s="11"/>
      <c r="B3104" s="51"/>
      <c r="C3104" s="51"/>
      <c r="D3104" s="51"/>
      <c r="E3104" s="52"/>
      <c r="F3104" s="53"/>
      <c r="G3104" s="14">
        <f>F3104*H3098</f>
        <v>0</v>
      </c>
      <c r="H3104" s="17"/>
      <c r="I3104" s="47"/>
    </row>
    <row r="3105" spans="1:9" x14ac:dyDescent="0.25">
      <c r="A3105" s="4"/>
      <c r="B3105" s="4"/>
      <c r="C3105" s="4"/>
      <c r="D3105" s="4"/>
      <c r="E3105" s="46" t="s">
        <v>118</v>
      </c>
      <c r="F3105" s="46"/>
      <c r="G3105" s="46"/>
      <c r="H3105" s="36">
        <f>SUM(G3102:G3104)</f>
        <v>0</v>
      </c>
      <c r="I3105" s="220"/>
    </row>
    <row r="3106" spans="1:9" ht="15.75" thickBot="1" x14ac:dyDescent="0.3">
      <c r="A3106" s="4"/>
      <c r="B3106" s="4"/>
      <c r="C3106" s="4"/>
      <c r="D3106" s="4"/>
      <c r="E3106" s="5"/>
      <c r="F3106" s="5"/>
      <c r="G3106" s="5"/>
      <c r="H3106" s="5"/>
      <c r="I3106" s="47"/>
    </row>
    <row r="3107" spans="1:9" ht="15.75" thickBot="1" x14ac:dyDescent="0.3">
      <c r="A3107" s="4"/>
      <c r="B3107" s="4"/>
      <c r="C3107" s="4"/>
      <c r="D3107" s="4"/>
      <c r="E3107" s="54"/>
      <c r="F3107" s="54" t="s">
        <v>119</v>
      </c>
      <c r="G3107" s="54"/>
      <c r="H3107" s="240">
        <f>SUM(H3105+H3098)</f>
        <v>438766</v>
      </c>
      <c r="I3107" s="112"/>
    </row>
    <row r="3109" spans="1:9" hidden="1" x14ac:dyDescent="0.25"/>
    <row r="3116" spans="1:9" x14ac:dyDescent="0.25">
      <c r="A3116" s="4"/>
      <c r="B3116" s="4"/>
      <c r="C3116" s="4"/>
      <c r="D3116" s="4"/>
      <c r="E3116" s="54"/>
      <c r="F3116" s="54"/>
      <c r="G3116" s="54"/>
      <c r="H3116" s="112"/>
    </row>
    <row r="3121" spans="1:8" x14ac:dyDescent="0.25">
      <c r="A3121" s="412" t="s">
        <v>79</v>
      </c>
      <c r="B3121" s="412"/>
      <c r="C3121" s="412"/>
      <c r="D3121" s="412"/>
      <c r="E3121" s="412"/>
      <c r="F3121" s="412"/>
      <c r="G3121" s="412"/>
      <c r="H3121" s="412"/>
    </row>
    <row r="3122" spans="1:8" x14ac:dyDescent="0.25">
      <c r="A3122" s="4"/>
      <c r="B3122" s="4"/>
      <c r="C3122" s="4"/>
      <c r="D3122" s="4"/>
      <c r="E3122" s="5"/>
      <c r="F3122" s="5"/>
      <c r="G3122" s="411" t="s">
        <v>326</v>
      </c>
      <c r="H3122" s="411"/>
    </row>
    <row r="3123" spans="1:8" ht="40.9" customHeight="1" x14ac:dyDescent="0.25">
      <c r="A3123" s="410" t="s">
        <v>417</v>
      </c>
      <c r="B3123" s="410"/>
      <c r="C3123" s="410"/>
      <c r="D3123" s="410"/>
      <c r="E3123" s="410"/>
      <c r="F3123" s="410"/>
      <c r="G3123" s="410"/>
      <c r="H3123" s="410"/>
    </row>
    <row r="3124" spans="1:8" x14ac:dyDescent="0.25">
      <c r="A3124" s="4"/>
      <c r="B3124" s="4"/>
      <c r="C3124" s="4"/>
      <c r="D3124" s="4"/>
      <c r="E3124" s="5"/>
      <c r="F3124" s="5"/>
      <c r="G3124" s="414" t="s">
        <v>215</v>
      </c>
      <c r="H3124" s="414"/>
    </row>
    <row r="3125" spans="1:8" x14ac:dyDescent="0.25">
      <c r="A3125" s="4" t="s">
        <v>82</v>
      </c>
      <c r="B3125" s="4"/>
      <c r="C3125" s="4"/>
      <c r="D3125" s="4"/>
      <c r="E3125" s="5"/>
      <c r="F3125" s="5"/>
      <c r="G3125" s="5"/>
      <c r="H3125" s="5"/>
    </row>
    <row r="3126" spans="1:8" x14ac:dyDescent="0.25">
      <c r="A3126" s="6" t="s">
        <v>0</v>
      </c>
      <c r="B3126" s="7"/>
      <c r="C3126" s="8" t="s">
        <v>83</v>
      </c>
      <c r="D3126" s="8" t="s">
        <v>84</v>
      </c>
      <c r="E3126" s="9" t="s">
        <v>85</v>
      </c>
      <c r="F3126" s="9" t="s">
        <v>86</v>
      </c>
      <c r="G3126" s="9" t="s">
        <v>87</v>
      </c>
      <c r="H3126" s="10"/>
    </row>
    <row r="3127" spans="1:8" x14ac:dyDescent="0.25">
      <c r="A3127" s="11" t="s">
        <v>88</v>
      </c>
      <c r="B3127" s="12"/>
      <c r="C3127" s="13"/>
      <c r="D3127" s="13"/>
      <c r="E3127" s="14"/>
      <c r="F3127" s="14"/>
      <c r="G3127" s="14">
        <f>ROUND(H3151*0.05,0)</f>
        <v>3513</v>
      </c>
      <c r="H3127" s="15"/>
    </row>
    <row r="3128" spans="1:8" x14ac:dyDescent="0.25">
      <c r="A3128" s="11" t="s">
        <v>327</v>
      </c>
      <c r="B3128" s="12"/>
      <c r="C3128" s="13"/>
      <c r="D3128" s="13"/>
      <c r="E3128" s="14">
        <v>350000</v>
      </c>
      <c r="F3128" s="14">
        <v>0.1</v>
      </c>
      <c r="G3128" s="14">
        <f>ROUND(E3128*F3128,0)</f>
        <v>35000</v>
      </c>
      <c r="H3128" s="15"/>
    </row>
    <row r="3129" spans="1:8" x14ac:dyDescent="0.25">
      <c r="A3129" s="11" t="s">
        <v>328</v>
      </c>
      <c r="B3129" s="11"/>
      <c r="C3129" s="13"/>
      <c r="D3129" s="13"/>
      <c r="E3129" s="14">
        <v>50000</v>
      </c>
      <c r="F3129" s="14">
        <v>0.1</v>
      </c>
      <c r="G3129" s="14">
        <f t="shared" ref="G3129:G3130" si="85">ROUND(E3129*F3129,0)</f>
        <v>5000</v>
      </c>
      <c r="H3129" s="15"/>
    </row>
    <row r="3130" spans="1:8" x14ac:dyDescent="0.25">
      <c r="A3130" s="415"/>
      <c r="B3130" s="416"/>
      <c r="C3130" s="13"/>
      <c r="D3130" s="13"/>
      <c r="E3130" s="14"/>
      <c r="F3130" s="14"/>
      <c r="G3130" s="14">
        <f t="shared" si="85"/>
        <v>0</v>
      </c>
      <c r="H3130" s="58"/>
    </row>
    <row r="3131" spans="1:8" x14ac:dyDescent="0.25">
      <c r="A3131" s="18"/>
      <c r="B3131" s="19"/>
      <c r="C3131" s="19"/>
      <c r="D3131" s="19"/>
      <c r="E3131" s="20"/>
      <c r="F3131" s="21" t="s">
        <v>90</v>
      </c>
      <c r="G3131" s="22"/>
      <c r="H3131" s="23">
        <f>SUM(G3127:G3130)</f>
        <v>43513</v>
      </c>
    </row>
    <row r="3132" spans="1:8" x14ac:dyDescent="0.25">
      <c r="A3132" s="291" t="s">
        <v>91</v>
      </c>
      <c r="B3132" s="228"/>
      <c r="C3132" s="228"/>
      <c r="D3132" s="228"/>
      <c r="E3132" s="47"/>
      <c r="F3132" s="47"/>
      <c r="G3132" s="47"/>
      <c r="H3132" s="233"/>
    </row>
    <row r="3133" spans="1:8" x14ac:dyDescent="0.25">
      <c r="A3133" s="24" t="s">
        <v>0</v>
      </c>
      <c r="B3133" s="24"/>
      <c r="C3133" s="8" t="s">
        <v>92</v>
      </c>
      <c r="D3133" s="8" t="s">
        <v>93</v>
      </c>
      <c r="E3133" s="9" t="s">
        <v>94</v>
      </c>
      <c r="F3133" s="9" t="s">
        <v>95</v>
      </c>
      <c r="G3133" s="25" t="s">
        <v>96</v>
      </c>
      <c r="H3133" s="10"/>
    </row>
    <row r="3134" spans="1:8" ht="22.15" customHeight="1" x14ac:dyDescent="0.25">
      <c r="A3134" s="424" t="s">
        <v>416</v>
      </c>
      <c r="B3134" s="425"/>
      <c r="C3134" s="59" t="s">
        <v>18</v>
      </c>
      <c r="D3134" s="60"/>
      <c r="E3134" s="86">
        <v>1</v>
      </c>
      <c r="F3134" s="87">
        <v>550000</v>
      </c>
      <c r="G3134" s="62">
        <f t="shared" ref="G3134:G3142" si="86">ROUND(E3134*F3134,0)</f>
        <v>550000</v>
      </c>
      <c r="H3134" s="15"/>
    </row>
    <row r="3135" spans="1:8" ht="97.9" customHeight="1" x14ac:dyDescent="0.25">
      <c r="A3135" s="426"/>
      <c r="B3135" s="427"/>
      <c r="C3135" s="59"/>
      <c r="D3135" s="65"/>
      <c r="E3135" s="86"/>
      <c r="F3135" s="87"/>
      <c r="G3135" s="62">
        <f t="shared" si="86"/>
        <v>0</v>
      </c>
      <c r="H3135" s="15"/>
    </row>
    <row r="3136" spans="1:8" hidden="1" x14ac:dyDescent="0.25">
      <c r="A3136" s="419"/>
      <c r="B3136" s="419"/>
      <c r="C3136" s="59"/>
      <c r="D3136" s="60"/>
      <c r="E3136" s="334"/>
      <c r="F3136" s="335"/>
      <c r="G3136" s="67">
        <f t="shared" si="86"/>
        <v>0</v>
      </c>
      <c r="H3136" s="68"/>
    </row>
    <row r="3137" spans="1:8" hidden="1" x14ac:dyDescent="0.25">
      <c r="A3137" s="419"/>
      <c r="B3137" s="419"/>
      <c r="C3137" s="59"/>
      <c r="D3137" s="60"/>
      <c r="E3137" s="334"/>
      <c r="F3137" s="87"/>
      <c r="G3137" s="67">
        <f t="shared" si="86"/>
        <v>0</v>
      </c>
      <c r="H3137" s="15"/>
    </row>
    <row r="3138" spans="1:8" hidden="1" x14ac:dyDescent="0.25">
      <c r="A3138" s="419"/>
      <c r="B3138" s="419"/>
      <c r="C3138" s="59"/>
      <c r="D3138" s="60"/>
      <c r="E3138" s="334"/>
      <c r="F3138" s="87"/>
      <c r="G3138" s="67">
        <f t="shared" si="86"/>
        <v>0</v>
      </c>
      <c r="H3138" s="15"/>
    </row>
    <row r="3139" spans="1:8" hidden="1" x14ac:dyDescent="0.25">
      <c r="A3139" s="419"/>
      <c r="B3139" s="419"/>
      <c r="C3139" s="59"/>
      <c r="D3139" s="31"/>
      <c r="E3139" s="77"/>
      <c r="F3139" s="74"/>
      <c r="G3139" s="67">
        <f t="shared" si="86"/>
        <v>0</v>
      </c>
      <c r="H3139" s="15"/>
    </row>
    <row r="3140" spans="1:8" hidden="1" x14ac:dyDescent="0.25">
      <c r="A3140" s="417"/>
      <c r="B3140" s="418"/>
      <c r="C3140" s="59"/>
      <c r="D3140" s="70"/>
      <c r="E3140" s="61"/>
      <c r="F3140" s="62"/>
      <c r="G3140" s="67">
        <f t="shared" si="86"/>
        <v>0</v>
      </c>
      <c r="H3140" s="71"/>
    </row>
    <row r="3141" spans="1:8" hidden="1" x14ac:dyDescent="0.25">
      <c r="A3141" s="417"/>
      <c r="B3141" s="418"/>
      <c r="C3141" s="84"/>
      <c r="D3141" s="65"/>
      <c r="E3141" s="61"/>
      <c r="F3141" s="62"/>
      <c r="G3141" s="67">
        <f t="shared" si="86"/>
        <v>0</v>
      </c>
      <c r="H3141" s="15"/>
    </row>
    <row r="3142" spans="1:8" x14ac:dyDescent="0.25">
      <c r="A3142" s="11"/>
      <c r="B3142" s="12"/>
      <c r="C3142" s="35"/>
      <c r="D3142" s="31"/>
      <c r="E3142" s="30"/>
      <c r="F3142" s="14"/>
      <c r="G3142" s="67">
        <f t="shared" si="86"/>
        <v>0</v>
      </c>
      <c r="H3142" s="17"/>
    </row>
    <row r="3143" spans="1:8" x14ac:dyDescent="0.25">
      <c r="A3143" s="291"/>
      <c r="B3143" s="228"/>
      <c r="C3143" s="228"/>
      <c r="D3143" s="228"/>
      <c r="E3143" s="36"/>
      <c r="F3143" s="37" t="s">
        <v>102</v>
      </c>
      <c r="G3143" s="38"/>
      <c r="H3143" s="23">
        <f>SUM(G3134:G3142)</f>
        <v>550000</v>
      </c>
    </row>
    <row r="3144" spans="1:8" x14ac:dyDescent="0.25">
      <c r="A3144" s="291"/>
      <c r="B3144" s="228"/>
      <c r="C3144" s="228"/>
      <c r="D3144" s="228"/>
      <c r="E3144" s="36"/>
      <c r="F3144" s="39" t="s">
        <v>103</v>
      </c>
      <c r="G3144" s="38"/>
      <c r="H3144" s="23">
        <f>ROUND((D3134*G3134)+(D3135*G3135)+(D3136*G3136)+(D3137*G3137)+(D3138*G3138)+(D3139*G3139)+(D3140*G3140)+(D3141*G3141)+(D3142*G3142),0)</f>
        <v>0</v>
      </c>
    </row>
    <row r="3145" spans="1:8" x14ac:dyDescent="0.25">
      <c r="A3145" s="291"/>
      <c r="B3145" s="228"/>
      <c r="C3145" s="228"/>
      <c r="D3145" s="228"/>
      <c r="E3145" s="36"/>
      <c r="F3145" s="20" t="s">
        <v>104</v>
      </c>
      <c r="G3145" s="40"/>
      <c r="H3145" s="23">
        <f>SUM(H3143:H3144)</f>
        <v>550000</v>
      </c>
    </row>
    <row r="3146" spans="1:8" x14ac:dyDescent="0.25">
      <c r="A3146" s="291" t="s">
        <v>105</v>
      </c>
      <c r="B3146" s="228"/>
      <c r="C3146" s="228"/>
      <c r="D3146" s="228"/>
      <c r="E3146" s="47"/>
      <c r="F3146" s="47"/>
      <c r="G3146" s="47"/>
      <c r="H3146" s="233"/>
    </row>
    <row r="3147" spans="1:8" x14ac:dyDescent="0.25">
      <c r="A3147" s="24" t="s">
        <v>0</v>
      </c>
      <c r="B3147" s="24"/>
      <c r="C3147" s="8" t="s">
        <v>106</v>
      </c>
      <c r="D3147" s="8" t="s">
        <v>107</v>
      </c>
      <c r="E3147" s="9" t="s">
        <v>108</v>
      </c>
      <c r="F3147" s="9" t="s">
        <v>109</v>
      </c>
      <c r="G3147" s="41" t="s">
        <v>96</v>
      </c>
      <c r="H3147" s="10"/>
    </row>
    <row r="3148" spans="1:8" x14ac:dyDescent="0.25">
      <c r="A3148" s="18" t="s">
        <v>110</v>
      </c>
      <c r="B3148" s="42"/>
      <c r="C3148" s="13">
        <f>104000+26000</f>
        <v>130000</v>
      </c>
      <c r="D3148" s="13">
        <f>+C3148*0.16</f>
        <v>20800</v>
      </c>
      <c r="E3148" s="14">
        <f>C3148+D3148</f>
        <v>150800</v>
      </c>
      <c r="F3148" s="30">
        <v>0.3</v>
      </c>
      <c r="G3148" s="14">
        <f>ROUND(E3148*F3148,0)</f>
        <v>45240</v>
      </c>
      <c r="H3148" s="15"/>
    </row>
    <row r="3149" spans="1:8" x14ac:dyDescent="0.25">
      <c r="A3149" s="18" t="s">
        <v>111</v>
      </c>
      <c r="B3149" s="42"/>
      <c r="C3149" s="13">
        <f>60400+25850</f>
        <v>86250</v>
      </c>
      <c r="D3149" s="13">
        <f>+C3149*0.16</f>
        <v>13800</v>
      </c>
      <c r="E3149" s="14">
        <f>C3149+D3149</f>
        <v>100050</v>
      </c>
      <c r="F3149" s="30">
        <v>0.25</v>
      </c>
      <c r="G3149" s="14">
        <f>ROUND(E3149*F3149,0)</f>
        <v>25013</v>
      </c>
      <c r="H3149" s="15"/>
    </row>
    <row r="3150" spans="1:8" x14ac:dyDescent="0.25">
      <c r="A3150" s="18"/>
      <c r="B3150" s="42"/>
      <c r="C3150" s="43"/>
      <c r="D3150" s="43"/>
      <c r="E3150" s="44">
        <f>C3150+D3150</f>
        <v>0</v>
      </c>
      <c r="F3150" s="45"/>
      <c r="G3150" s="14">
        <f>ROUND(E3150*F3150,0)</f>
        <v>0</v>
      </c>
      <c r="H3150" s="15"/>
    </row>
    <row r="3151" spans="1:8" x14ac:dyDescent="0.25">
      <c r="A3151" s="291"/>
      <c r="B3151" s="228"/>
      <c r="C3151" s="228"/>
      <c r="D3151" s="228"/>
      <c r="E3151" s="277" t="s">
        <v>112</v>
      </c>
      <c r="F3151" s="277"/>
      <c r="G3151" s="277"/>
      <c r="H3151" s="82">
        <f>SUM(G3148:G3150)</f>
        <v>70253</v>
      </c>
    </row>
    <row r="3152" spans="1:8" x14ac:dyDescent="0.25">
      <c r="A3152" s="291"/>
      <c r="B3152" s="228"/>
      <c r="C3152" s="228"/>
      <c r="D3152" s="228"/>
      <c r="E3152" s="47"/>
      <c r="F3152" s="47"/>
      <c r="G3152" s="47"/>
      <c r="H3152" s="233"/>
    </row>
    <row r="3153" spans="1:8" x14ac:dyDescent="0.25">
      <c r="A3153" s="18"/>
      <c r="B3153" s="19"/>
      <c r="C3153" s="19"/>
      <c r="D3153" s="19"/>
      <c r="E3153" s="48" t="s">
        <v>113</v>
      </c>
      <c r="F3153" s="48"/>
      <c r="G3153" s="48"/>
      <c r="H3153" s="25">
        <f>H3151+H3145+H3131</f>
        <v>663766</v>
      </c>
    </row>
    <row r="3154" spans="1:8" x14ac:dyDescent="0.25">
      <c r="A3154" s="291"/>
      <c r="B3154" s="228"/>
      <c r="C3154" s="228"/>
      <c r="D3154" s="228"/>
      <c r="E3154" s="47"/>
      <c r="F3154" s="47"/>
      <c r="G3154" s="47"/>
      <c r="H3154" s="233"/>
    </row>
    <row r="3155" spans="1:8" x14ac:dyDescent="0.25">
      <c r="A3155" s="291" t="s">
        <v>114</v>
      </c>
      <c r="B3155" s="228"/>
      <c r="C3155" s="228"/>
      <c r="D3155" s="228"/>
      <c r="E3155" s="47"/>
      <c r="F3155" s="47"/>
      <c r="G3155" s="47"/>
      <c r="H3155" s="233"/>
    </row>
    <row r="3156" spans="1:8" x14ac:dyDescent="0.25">
      <c r="A3156" s="6" t="s">
        <v>0</v>
      </c>
      <c r="B3156" s="49"/>
      <c r="C3156" s="49"/>
      <c r="D3156" s="49"/>
      <c r="E3156" s="50"/>
      <c r="F3156" s="9" t="s">
        <v>115</v>
      </c>
      <c r="G3156" s="41" t="s">
        <v>116</v>
      </c>
      <c r="H3156" s="10"/>
    </row>
    <row r="3157" spans="1:8" x14ac:dyDescent="0.25">
      <c r="A3157" s="11" t="s">
        <v>117</v>
      </c>
      <c r="B3157" s="51"/>
      <c r="C3157" s="51"/>
      <c r="D3157" s="51"/>
      <c r="E3157" s="52"/>
      <c r="F3157" s="53"/>
      <c r="G3157" s="14">
        <f>F3157*H3153</f>
        <v>0</v>
      </c>
      <c r="H3157" s="15"/>
    </row>
    <row r="3158" spans="1:8" x14ac:dyDescent="0.25">
      <c r="A3158" s="11"/>
      <c r="B3158" s="51"/>
      <c r="C3158" s="51"/>
      <c r="D3158" s="51"/>
      <c r="E3158" s="52"/>
      <c r="F3158" s="53"/>
      <c r="G3158" s="14">
        <f>F3158*H3153</f>
        <v>0</v>
      </c>
      <c r="H3158" s="15"/>
    </row>
    <row r="3159" spans="1:8" x14ac:dyDescent="0.25">
      <c r="A3159" s="11"/>
      <c r="B3159" s="51"/>
      <c r="C3159" s="51"/>
      <c r="D3159" s="51"/>
      <c r="E3159" s="52"/>
      <c r="F3159" s="53"/>
      <c r="G3159" s="14">
        <f>F3159*H3153</f>
        <v>0</v>
      </c>
      <c r="H3159" s="17"/>
    </row>
    <row r="3160" spans="1:8" x14ac:dyDescent="0.25">
      <c r="A3160" s="4"/>
      <c r="B3160" s="4"/>
      <c r="C3160" s="4"/>
      <c r="D3160" s="4"/>
      <c r="E3160" s="46" t="s">
        <v>118</v>
      </c>
      <c r="F3160" s="46"/>
      <c r="G3160" s="46"/>
      <c r="H3160" s="36">
        <f>SUM(G3157:G3159)</f>
        <v>0</v>
      </c>
    </row>
    <row r="3161" spans="1:8" ht="15.75" thickBot="1" x14ac:dyDescent="0.3">
      <c r="A3161" s="4"/>
      <c r="B3161" s="4"/>
      <c r="C3161" s="4"/>
      <c r="D3161" s="4"/>
      <c r="E3161" s="5"/>
      <c r="F3161" s="5"/>
      <c r="G3161" s="5"/>
      <c r="H3161" s="5"/>
    </row>
    <row r="3162" spans="1:8" ht="15.75" thickBot="1" x14ac:dyDescent="0.3">
      <c r="A3162" s="4"/>
      <c r="B3162" s="4"/>
      <c r="C3162" s="4"/>
      <c r="D3162" s="4"/>
      <c r="E3162" s="54"/>
      <c r="F3162" s="54" t="s">
        <v>119</v>
      </c>
      <c r="G3162" s="54"/>
      <c r="H3162" s="240">
        <f>SUM(H3160+H3153)</f>
        <v>663766</v>
      </c>
    </row>
    <row r="3165" spans="1:8" x14ac:dyDescent="0.25">
      <c r="A3165" s="4"/>
      <c r="B3165" s="4"/>
      <c r="C3165" s="4"/>
      <c r="D3165" s="4"/>
      <c r="E3165" s="54"/>
      <c r="F3165" s="54"/>
      <c r="G3165" s="54"/>
      <c r="H3165" s="112"/>
    </row>
    <row r="3168" spans="1:8" x14ac:dyDescent="0.25">
      <c r="A3168" s="412" t="s">
        <v>79</v>
      </c>
      <c r="B3168" s="412"/>
      <c r="C3168" s="412"/>
      <c r="D3168" s="412"/>
      <c r="E3168" s="412"/>
      <c r="F3168" s="412"/>
      <c r="G3168" s="412"/>
      <c r="H3168" s="412"/>
    </row>
    <row r="3169" spans="1:8" x14ac:dyDescent="0.25">
      <c r="A3169" s="4"/>
      <c r="B3169" s="4"/>
      <c r="C3169" s="4"/>
      <c r="D3169" s="4"/>
      <c r="E3169" s="5"/>
      <c r="F3169" s="5"/>
      <c r="G3169" s="411" t="s">
        <v>326</v>
      </c>
      <c r="H3169" s="411"/>
    </row>
    <row r="3170" spans="1:8" ht="44.45" customHeight="1" x14ac:dyDescent="0.25">
      <c r="A3170" s="413" t="s">
        <v>423</v>
      </c>
      <c r="B3170" s="413"/>
      <c r="C3170" s="413"/>
      <c r="D3170" s="413"/>
      <c r="E3170" s="413"/>
      <c r="F3170" s="413"/>
      <c r="G3170" s="413"/>
      <c r="H3170" s="413"/>
    </row>
    <row r="3171" spans="1:8" x14ac:dyDescent="0.25">
      <c r="A3171" s="4"/>
      <c r="B3171" s="4"/>
      <c r="C3171" s="4"/>
      <c r="D3171" s="4"/>
      <c r="E3171" s="5"/>
      <c r="F3171" s="5"/>
      <c r="G3171" s="414" t="s">
        <v>215</v>
      </c>
      <c r="H3171" s="414"/>
    </row>
    <row r="3172" spans="1:8" x14ac:dyDescent="0.25">
      <c r="A3172" s="4" t="s">
        <v>82</v>
      </c>
      <c r="B3172" s="4"/>
      <c r="C3172" s="4"/>
      <c r="D3172" s="4"/>
      <c r="E3172" s="5"/>
      <c r="F3172" s="5"/>
      <c r="G3172" s="5"/>
      <c r="H3172" s="5"/>
    </row>
    <row r="3173" spans="1:8" x14ac:dyDescent="0.25">
      <c r="A3173" s="6" t="s">
        <v>0</v>
      </c>
      <c r="B3173" s="7"/>
      <c r="C3173" s="8" t="s">
        <v>83</v>
      </c>
      <c r="D3173" s="8" t="s">
        <v>84</v>
      </c>
      <c r="E3173" s="9" t="s">
        <v>85</v>
      </c>
      <c r="F3173" s="9" t="s">
        <v>86</v>
      </c>
      <c r="G3173" s="9" t="s">
        <v>87</v>
      </c>
      <c r="H3173" s="10"/>
    </row>
    <row r="3174" spans="1:8" x14ac:dyDescent="0.25">
      <c r="A3174" s="11" t="s">
        <v>88</v>
      </c>
      <c r="B3174" s="12"/>
      <c r="C3174" s="13"/>
      <c r="D3174" s="13"/>
      <c r="E3174" s="14"/>
      <c r="F3174" s="14"/>
      <c r="G3174" s="14">
        <f>ROUND(H3198*0.05,0)</f>
        <v>7526</v>
      </c>
      <c r="H3174" s="15"/>
    </row>
    <row r="3175" spans="1:8" x14ac:dyDescent="0.25">
      <c r="A3175" s="11" t="s">
        <v>327</v>
      </c>
      <c r="B3175" s="12"/>
      <c r="C3175" s="13"/>
      <c r="D3175" s="13"/>
      <c r="E3175" s="14">
        <v>350000</v>
      </c>
      <c r="F3175" s="14">
        <v>0.3</v>
      </c>
      <c r="G3175" s="14">
        <f>ROUND(E3175*F3175,0)</f>
        <v>105000</v>
      </c>
      <c r="H3175" s="15"/>
    </row>
    <row r="3176" spans="1:8" x14ac:dyDescent="0.25">
      <c r="A3176" s="11" t="s">
        <v>328</v>
      </c>
      <c r="B3176" s="11"/>
      <c r="C3176" s="13"/>
      <c r="D3176" s="13"/>
      <c r="E3176" s="14">
        <v>50000</v>
      </c>
      <c r="F3176" s="14">
        <v>0.2</v>
      </c>
      <c r="G3176" s="14">
        <f t="shared" ref="G3176:G3177" si="87">ROUND(E3176*F3176,0)</f>
        <v>10000</v>
      </c>
      <c r="H3176" s="15"/>
    </row>
    <row r="3177" spans="1:8" hidden="1" x14ac:dyDescent="0.25">
      <c r="A3177" s="415"/>
      <c r="B3177" s="416"/>
      <c r="C3177" s="13"/>
      <c r="D3177" s="13"/>
      <c r="E3177" s="14"/>
      <c r="F3177" s="14"/>
      <c r="G3177" s="14">
        <f t="shared" si="87"/>
        <v>0</v>
      </c>
      <c r="H3177" s="58"/>
    </row>
    <row r="3178" spans="1:8" x14ac:dyDescent="0.25">
      <c r="A3178" s="18"/>
      <c r="B3178" s="19"/>
      <c r="C3178" s="19"/>
      <c r="D3178" s="19"/>
      <c r="E3178" s="20"/>
      <c r="F3178" s="21" t="s">
        <v>90</v>
      </c>
      <c r="G3178" s="22"/>
      <c r="H3178" s="23">
        <f>SUM(G3174:G3177)</f>
        <v>122526</v>
      </c>
    </row>
    <row r="3179" spans="1:8" x14ac:dyDescent="0.25">
      <c r="A3179" s="291" t="s">
        <v>91</v>
      </c>
      <c r="B3179" s="228"/>
      <c r="C3179" s="228"/>
      <c r="D3179" s="228"/>
      <c r="E3179" s="47"/>
      <c r="F3179" s="47"/>
      <c r="G3179" s="47"/>
      <c r="H3179" s="233"/>
    </row>
    <row r="3180" spans="1:8" x14ac:dyDescent="0.25">
      <c r="A3180" s="24" t="s">
        <v>0</v>
      </c>
      <c r="B3180" s="24"/>
      <c r="C3180" s="8" t="s">
        <v>92</v>
      </c>
      <c r="D3180" s="8" t="s">
        <v>93</v>
      </c>
      <c r="E3180" s="9" t="s">
        <v>94</v>
      </c>
      <c r="F3180" s="9" t="s">
        <v>95</v>
      </c>
      <c r="G3180" s="25" t="s">
        <v>96</v>
      </c>
      <c r="H3180" s="10"/>
    </row>
    <row r="3181" spans="1:8" ht="24.6" customHeight="1" x14ac:dyDescent="0.25">
      <c r="A3181" s="498" t="s">
        <v>422</v>
      </c>
      <c r="B3181" s="499"/>
      <c r="C3181" s="59" t="s">
        <v>18</v>
      </c>
      <c r="D3181" s="60"/>
      <c r="E3181" s="86">
        <v>1</v>
      </c>
      <c r="F3181" s="87">
        <v>1040000</v>
      </c>
      <c r="G3181" s="62">
        <f t="shared" ref="G3181:G3189" si="88">ROUND(E3181*F3181,0)</f>
        <v>1040000</v>
      </c>
      <c r="H3181" s="15"/>
    </row>
    <row r="3182" spans="1:8" x14ac:dyDescent="0.25">
      <c r="A3182" s="500"/>
      <c r="B3182" s="501"/>
      <c r="C3182" s="59"/>
      <c r="D3182" s="65"/>
      <c r="E3182" s="86"/>
      <c r="F3182" s="87"/>
      <c r="G3182" s="62">
        <f t="shared" si="88"/>
        <v>0</v>
      </c>
      <c r="H3182" s="15"/>
    </row>
    <row r="3183" spans="1:8" ht="21" customHeight="1" x14ac:dyDescent="0.25">
      <c r="A3183" s="500"/>
      <c r="B3183" s="501"/>
      <c r="C3183" s="59"/>
      <c r="D3183" s="60"/>
      <c r="E3183" s="334"/>
      <c r="F3183" s="335"/>
      <c r="G3183" s="67">
        <f t="shared" si="88"/>
        <v>0</v>
      </c>
      <c r="H3183" s="68"/>
    </row>
    <row r="3184" spans="1:8" x14ac:dyDescent="0.25">
      <c r="A3184" s="500"/>
      <c r="B3184" s="501"/>
      <c r="C3184" s="59"/>
      <c r="D3184" s="60"/>
      <c r="E3184" s="334"/>
      <c r="F3184" s="87"/>
      <c r="G3184" s="67">
        <f t="shared" si="88"/>
        <v>0</v>
      </c>
      <c r="H3184" s="15"/>
    </row>
    <row r="3185" spans="1:8" ht="25.9" customHeight="1" x14ac:dyDescent="0.25">
      <c r="A3185" s="500"/>
      <c r="B3185" s="501"/>
      <c r="C3185" s="59"/>
      <c r="D3185" s="60"/>
      <c r="E3185" s="334"/>
      <c r="F3185" s="87"/>
      <c r="G3185" s="67">
        <f t="shared" si="88"/>
        <v>0</v>
      </c>
      <c r="H3185" s="15"/>
    </row>
    <row r="3186" spans="1:8" ht="42.6" customHeight="1" x14ac:dyDescent="0.25">
      <c r="A3186" s="502"/>
      <c r="B3186" s="503"/>
      <c r="C3186" s="59"/>
      <c r="D3186" s="31"/>
      <c r="E3186" s="77"/>
      <c r="F3186" s="74"/>
      <c r="G3186" s="67">
        <f t="shared" si="88"/>
        <v>0</v>
      </c>
      <c r="H3186" s="15"/>
    </row>
    <row r="3187" spans="1:8" hidden="1" x14ac:dyDescent="0.25">
      <c r="A3187" s="417"/>
      <c r="B3187" s="418"/>
      <c r="C3187" s="59"/>
      <c r="D3187" s="70"/>
      <c r="E3187" s="61"/>
      <c r="F3187" s="62"/>
      <c r="G3187" s="67">
        <f t="shared" si="88"/>
        <v>0</v>
      </c>
      <c r="H3187" s="71"/>
    </row>
    <row r="3188" spans="1:8" hidden="1" x14ac:dyDescent="0.25">
      <c r="A3188" s="417"/>
      <c r="B3188" s="418"/>
      <c r="C3188" s="84"/>
      <c r="D3188" s="65"/>
      <c r="E3188" s="61"/>
      <c r="F3188" s="62"/>
      <c r="G3188" s="67">
        <f t="shared" si="88"/>
        <v>0</v>
      </c>
      <c r="H3188" s="15"/>
    </row>
    <row r="3189" spans="1:8" hidden="1" x14ac:dyDescent="0.25">
      <c r="A3189" s="11"/>
      <c r="B3189" s="12"/>
      <c r="C3189" s="35"/>
      <c r="D3189" s="31"/>
      <c r="E3189" s="30"/>
      <c r="F3189" s="14"/>
      <c r="G3189" s="67">
        <f t="shared" si="88"/>
        <v>0</v>
      </c>
      <c r="H3189" s="17"/>
    </row>
    <row r="3190" spans="1:8" x14ac:dyDescent="0.25">
      <c r="A3190" s="291"/>
      <c r="B3190" s="228"/>
      <c r="C3190" s="228"/>
      <c r="D3190" s="228"/>
      <c r="E3190" s="36"/>
      <c r="F3190" s="37" t="s">
        <v>102</v>
      </c>
      <c r="G3190" s="38"/>
      <c r="H3190" s="23">
        <f>SUM(G3181:G3189)</f>
        <v>1040000</v>
      </c>
    </row>
    <row r="3191" spans="1:8" x14ac:dyDescent="0.25">
      <c r="A3191" s="291"/>
      <c r="B3191" s="228"/>
      <c r="C3191" s="228"/>
      <c r="D3191" s="228"/>
      <c r="E3191" s="36"/>
      <c r="F3191" s="39" t="s">
        <v>103</v>
      </c>
      <c r="G3191" s="38"/>
      <c r="H3191" s="23">
        <f>ROUND((D3181*G3181)+(D3182*G3182)+(D3183*G3183)+(D3184*G3184)+(D3185*G3185)+(D3186*G3186)+(D3187*G3187)+(D3188*G3188)+(D3189*G3189),0)</f>
        <v>0</v>
      </c>
    </row>
    <row r="3192" spans="1:8" x14ac:dyDescent="0.25">
      <c r="A3192" s="291"/>
      <c r="B3192" s="228"/>
      <c r="C3192" s="228"/>
      <c r="D3192" s="228"/>
      <c r="E3192" s="36"/>
      <c r="F3192" s="20" t="s">
        <v>104</v>
      </c>
      <c r="G3192" s="40"/>
      <c r="H3192" s="23">
        <f>SUM(H3190:H3191)</f>
        <v>1040000</v>
      </c>
    </row>
    <row r="3193" spans="1:8" x14ac:dyDescent="0.25">
      <c r="A3193" s="291" t="s">
        <v>105</v>
      </c>
      <c r="B3193" s="228"/>
      <c r="C3193" s="228"/>
      <c r="D3193" s="228"/>
      <c r="E3193" s="47"/>
      <c r="F3193" s="47"/>
      <c r="G3193" s="47"/>
      <c r="H3193" s="233"/>
    </row>
    <row r="3194" spans="1:8" x14ac:dyDescent="0.25">
      <c r="A3194" s="24" t="s">
        <v>0</v>
      </c>
      <c r="B3194" s="24"/>
      <c r="C3194" s="8" t="s">
        <v>106</v>
      </c>
      <c r="D3194" s="8" t="s">
        <v>107</v>
      </c>
      <c r="E3194" s="9" t="s">
        <v>108</v>
      </c>
      <c r="F3194" s="9" t="s">
        <v>109</v>
      </c>
      <c r="G3194" s="41" t="s">
        <v>96</v>
      </c>
      <c r="H3194" s="10"/>
    </row>
    <row r="3195" spans="1:8" x14ac:dyDescent="0.25">
      <c r="A3195" s="18" t="s">
        <v>110</v>
      </c>
      <c r="B3195" s="42"/>
      <c r="C3195" s="13">
        <f>104000+26000</f>
        <v>130000</v>
      </c>
      <c r="D3195" s="13">
        <f>+C3195*0.16</f>
        <v>20800</v>
      </c>
      <c r="E3195" s="14">
        <f>C3195+D3195</f>
        <v>150800</v>
      </c>
      <c r="F3195" s="30">
        <v>0.6</v>
      </c>
      <c r="G3195" s="14">
        <f>ROUND(E3195*F3195,0)</f>
        <v>90480</v>
      </c>
      <c r="H3195" s="15"/>
    </row>
    <row r="3196" spans="1:8" x14ac:dyDescent="0.25">
      <c r="A3196" s="18" t="s">
        <v>111</v>
      </c>
      <c r="B3196" s="42"/>
      <c r="C3196" s="13">
        <f>60400+25850</f>
        <v>86250</v>
      </c>
      <c r="D3196" s="13">
        <f>+C3196*0.16</f>
        <v>13800</v>
      </c>
      <c r="E3196" s="14">
        <f>C3196+D3196</f>
        <v>100050</v>
      </c>
      <c r="F3196" s="30">
        <v>0.6</v>
      </c>
      <c r="G3196" s="14">
        <f>ROUND(E3196*F3196,0)</f>
        <v>60030</v>
      </c>
      <c r="H3196" s="15"/>
    </row>
    <row r="3197" spans="1:8" x14ac:dyDescent="0.25">
      <c r="A3197" s="18"/>
      <c r="B3197" s="42"/>
      <c r="C3197" s="43"/>
      <c r="D3197" s="43"/>
      <c r="E3197" s="44">
        <f>C3197+D3197</f>
        <v>0</v>
      </c>
      <c r="F3197" s="45"/>
      <c r="G3197" s="14">
        <f>ROUND(E3197*F3197,0)</f>
        <v>0</v>
      </c>
      <c r="H3197" s="15"/>
    </row>
    <row r="3198" spans="1:8" x14ac:dyDescent="0.25">
      <c r="A3198" s="291"/>
      <c r="B3198" s="228"/>
      <c r="C3198" s="228"/>
      <c r="D3198" s="228"/>
      <c r="E3198" s="277" t="s">
        <v>112</v>
      </c>
      <c r="F3198" s="277"/>
      <c r="G3198" s="277"/>
      <c r="H3198" s="82">
        <f>SUM(G3195:G3197)</f>
        <v>150510</v>
      </c>
    </row>
    <row r="3199" spans="1:8" x14ac:dyDescent="0.25">
      <c r="A3199" s="291"/>
      <c r="B3199" s="228"/>
      <c r="C3199" s="228"/>
      <c r="D3199" s="228"/>
      <c r="E3199" s="47"/>
      <c r="F3199" s="47"/>
      <c r="G3199" s="47"/>
      <c r="H3199" s="233"/>
    </row>
    <row r="3200" spans="1:8" x14ac:dyDescent="0.25">
      <c r="A3200" s="18"/>
      <c r="B3200" s="19"/>
      <c r="C3200" s="19"/>
      <c r="D3200" s="19"/>
      <c r="E3200" s="48" t="s">
        <v>113</v>
      </c>
      <c r="F3200" s="48"/>
      <c r="G3200" s="48"/>
      <c r="H3200" s="25">
        <f>H3198+H3192+H3178</f>
        <v>1313036</v>
      </c>
    </row>
    <row r="3201" spans="1:8" x14ac:dyDescent="0.25">
      <c r="A3201" s="291"/>
      <c r="B3201" s="228"/>
      <c r="C3201" s="228"/>
      <c r="D3201" s="228"/>
      <c r="E3201" s="47"/>
      <c r="F3201" s="47"/>
      <c r="G3201" s="47"/>
      <c r="H3201" s="233"/>
    </row>
    <row r="3202" spans="1:8" x14ac:dyDescent="0.25">
      <c r="A3202" s="291" t="s">
        <v>114</v>
      </c>
      <c r="B3202" s="228"/>
      <c r="C3202" s="228"/>
      <c r="D3202" s="228"/>
      <c r="E3202" s="47"/>
      <c r="F3202" s="47"/>
      <c r="G3202" s="47"/>
      <c r="H3202" s="233"/>
    </row>
    <row r="3203" spans="1:8" x14ac:dyDescent="0.25">
      <c r="A3203" s="6" t="s">
        <v>0</v>
      </c>
      <c r="B3203" s="49"/>
      <c r="C3203" s="49"/>
      <c r="D3203" s="49"/>
      <c r="E3203" s="50"/>
      <c r="F3203" s="9" t="s">
        <v>115</v>
      </c>
      <c r="G3203" s="41" t="s">
        <v>116</v>
      </c>
      <c r="H3203" s="10"/>
    </row>
    <row r="3204" spans="1:8" x14ac:dyDescent="0.25">
      <c r="A3204" s="11" t="s">
        <v>117</v>
      </c>
      <c r="B3204" s="51"/>
      <c r="C3204" s="51"/>
      <c r="D3204" s="51"/>
      <c r="E3204" s="52"/>
      <c r="F3204" s="53"/>
      <c r="G3204" s="14">
        <f>F3204*H3200</f>
        <v>0</v>
      </c>
      <c r="H3204" s="15"/>
    </row>
    <row r="3205" spans="1:8" hidden="1" x14ac:dyDescent="0.25">
      <c r="A3205" s="11"/>
      <c r="B3205" s="51"/>
      <c r="C3205" s="51"/>
      <c r="D3205" s="51"/>
      <c r="E3205" s="52"/>
      <c r="F3205" s="53"/>
      <c r="G3205" s="14">
        <f>F3205*H3200</f>
        <v>0</v>
      </c>
      <c r="H3205" s="15"/>
    </row>
    <row r="3206" spans="1:8" hidden="1" x14ac:dyDescent="0.25">
      <c r="A3206" s="11"/>
      <c r="B3206" s="51"/>
      <c r="C3206" s="51"/>
      <c r="D3206" s="51"/>
      <c r="E3206" s="52"/>
      <c r="F3206" s="53"/>
      <c r="G3206" s="14">
        <f>F3206*H3200</f>
        <v>0</v>
      </c>
      <c r="H3206" s="17"/>
    </row>
    <row r="3207" spans="1:8" x14ac:dyDescent="0.25">
      <c r="A3207" s="4"/>
      <c r="B3207" s="4"/>
      <c r="C3207" s="4"/>
      <c r="D3207" s="4"/>
      <c r="E3207" s="46" t="s">
        <v>118</v>
      </c>
      <c r="F3207" s="46"/>
      <c r="G3207" s="46"/>
      <c r="H3207" s="36">
        <f>SUM(G3204:G3206)</f>
        <v>0</v>
      </c>
    </row>
    <row r="3208" spans="1:8" ht="15.75" thickBot="1" x14ac:dyDescent="0.3">
      <c r="A3208" s="4"/>
      <c r="B3208" s="4"/>
      <c r="C3208" s="4"/>
      <c r="D3208" s="4"/>
      <c r="E3208" s="5"/>
      <c r="F3208" s="5"/>
      <c r="G3208" s="5"/>
      <c r="H3208" s="5"/>
    </row>
    <row r="3209" spans="1:8" ht="15.75" thickBot="1" x14ac:dyDescent="0.3">
      <c r="A3209" s="4"/>
      <c r="B3209" s="4"/>
      <c r="C3209" s="4"/>
      <c r="D3209" s="4"/>
      <c r="E3209" s="54"/>
      <c r="F3209" s="54" t="s">
        <v>119</v>
      </c>
      <c r="G3209" s="54"/>
      <c r="H3209" s="240">
        <f>SUM(H3207+H3200)</f>
        <v>1313036</v>
      </c>
    </row>
    <row r="3211" spans="1:8" hidden="1" x14ac:dyDescent="0.25"/>
    <row r="3212" spans="1:8" hidden="1" x14ac:dyDescent="0.25"/>
    <row r="3213" spans="1:8" hidden="1" x14ac:dyDescent="0.25"/>
    <row r="3214" spans="1:8" hidden="1" x14ac:dyDescent="0.25"/>
    <row r="3215" spans="1:8" hidden="1" x14ac:dyDescent="0.25"/>
    <row r="3224" spans="1:9" x14ac:dyDescent="0.25">
      <c r="A3224" s="412" t="s">
        <v>79</v>
      </c>
      <c r="B3224" s="412"/>
      <c r="C3224" s="412"/>
      <c r="D3224" s="412"/>
      <c r="E3224" s="412"/>
      <c r="F3224" s="412"/>
      <c r="G3224" s="412"/>
      <c r="H3224" s="412"/>
      <c r="I3224" s="250"/>
    </row>
    <row r="3225" spans="1:9" x14ac:dyDescent="0.25">
      <c r="A3225" s="4"/>
      <c r="B3225" s="4"/>
      <c r="C3225" s="4"/>
      <c r="D3225" s="4"/>
      <c r="E3225" s="5"/>
      <c r="F3225" s="5"/>
      <c r="G3225" s="411" t="s">
        <v>326</v>
      </c>
      <c r="H3225" s="411"/>
      <c r="I3225" s="251"/>
    </row>
    <row r="3226" spans="1:9" ht="43.15" customHeight="1" x14ac:dyDescent="0.25">
      <c r="A3226" s="410" t="s">
        <v>404</v>
      </c>
      <c r="B3226" s="410"/>
      <c r="C3226" s="410"/>
      <c r="D3226" s="410"/>
      <c r="E3226" s="410"/>
      <c r="F3226" s="410"/>
      <c r="G3226" s="410"/>
      <c r="H3226" s="410"/>
      <c r="I3226" s="254"/>
    </row>
    <row r="3227" spans="1:9" x14ac:dyDescent="0.25">
      <c r="A3227" s="4"/>
      <c r="B3227" s="4"/>
      <c r="C3227" s="4"/>
      <c r="D3227" s="4"/>
      <c r="E3227" s="5"/>
      <c r="F3227" s="5"/>
      <c r="G3227" s="414" t="s">
        <v>215</v>
      </c>
      <c r="H3227" s="414"/>
      <c r="I3227" s="253"/>
    </row>
    <row r="3228" spans="1:9" x14ac:dyDescent="0.25">
      <c r="A3228" s="4" t="s">
        <v>82</v>
      </c>
      <c r="B3228" s="4"/>
      <c r="C3228" s="4"/>
      <c r="D3228" s="4"/>
      <c r="E3228" s="5"/>
      <c r="F3228" s="5"/>
      <c r="G3228" s="5"/>
      <c r="H3228" s="5"/>
      <c r="I3228" s="47"/>
    </row>
    <row r="3229" spans="1:9" x14ac:dyDescent="0.25">
      <c r="A3229" s="6" t="s">
        <v>0</v>
      </c>
      <c r="B3229" s="7"/>
      <c r="C3229" s="8" t="s">
        <v>83</v>
      </c>
      <c r="D3229" s="8" t="s">
        <v>84</v>
      </c>
      <c r="E3229" s="9" t="s">
        <v>85</v>
      </c>
      <c r="F3229" s="9" t="s">
        <v>86</v>
      </c>
      <c r="G3229" s="9" t="s">
        <v>87</v>
      </c>
      <c r="H3229" s="10"/>
      <c r="I3229" s="47"/>
    </row>
    <row r="3230" spans="1:9" x14ac:dyDescent="0.25">
      <c r="A3230" s="11" t="s">
        <v>88</v>
      </c>
      <c r="B3230" s="12"/>
      <c r="C3230" s="13"/>
      <c r="D3230" s="13"/>
      <c r="E3230" s="14"/>
      <c r="F3230" s="14"/>
      <c r="G3230" s="14">
        <f>ROUND(H3255*0.05,0)+8-16</f>
        <v>37620</v>
      </c>
      <c r="H3230" s="15"/>
      <c r="I3230" s="47"/>
    </row>
    <row r="3231" spans="1:9" x14ac:dyDescent="0.25">
      <c r="A3231" s="11" t="s">
        <v>327</v>
      </c>
      <c r="B3231" s="12"/>
      <c r="C3231" s="13"/>
      <c r="D3231" s="13"/>
      <c r="E3231" s="14">
        <v>350000</v>
      </c>
      <c r="F3231" s="14">
        <v>1</v>
      </c>
      <c r="G3231" s="14">
        <f>ROUND(E3231*F3231,0)</f>
        <v>350000</v>
      </c>
      <c r="H3231" s="15"/>
      <c r="I3231" s="47"/>
    </row>
    <row r="3232" spans="1:9" x14ac:dyDescent="0.25">
      <c r="A3232" s="11" t="s">
        <v>328</v>
      </c>
      <c r="B3232" s="11"/>
      <c r="C3232" s="13"/>
      <c r="D3232" s="13"/>
      <c r="E3232" s="14">
        <v>50000</v>
      </c>
      <c r="F3232" s="14">
        <v>1.5</v>
      </c>
      <c r="G3232" s="14">
        <f t="shared" ref="G3232:G3233" si="89">ROUND(E3232*F3232,0)</f>
        <v>75000</v>
      </c>
      <c r="H3232" s="15"/>
      <c r="I3232" s="47"/>
    </row>
    <row r="3233" spans="1:16" x14ac:dyDescent="0.25">
      <c r="A3233" s="415"/>
      <c r="B3233" s="416"/>
      <c r="C3233" s="13"/>
      <c r="D3233" s="13"/>
      <c r="E3233" s="14"/>
      <c r="F3233" s="14"/>
      <c r="G3233" s="14">
        <f t="shared" si="89"/>
        <v>0</v>
      </c>
      <c r="H3233" s="58"/>
      <c r="I3233" s="224"/>
    </row>
    <row r="3234" spans="1:16" x14ac:dyDescent="0.25">
      <c r="A3234" s="18"/>
      <c r="B3234" s="19"/>
      <c r="C3234" s="19"/>
      <c r="D3234" s="19"/>
      <c r="E3234" s="20"/>
      <c r="F3234" s="21" t="s">
        <v>90</v>
      </c>
      <c r="G3234" s="22"/>
      <c r="H3234" s="23">
        <f>SUM(G3230:G3233)</f>
        <v>462620</v>
      </c>
      <c r="I3234" s="220"/>
    </row>
    <row r="3235" spans="1:16" x14ac:dyDescent="0.25">
      <c r="A3235" s="291" t="s">
        <v>91</v>
      </c>
      <c r="B3235" s="228"/>
      <c r="C3235" s="228"/>
      <c r="D3235" s="228"/>
      <c r="E3235" s="47"/>
      <c r="F3235" s="47"/>
      <c r="G3235" s="47"/>
      <c r="H3235" s="233"/>
      <c r="I3235" s="47"/>
    </row>
    <row r="3236" spans="1:16" x14ac:dyDescent="0.25">
      <c r="A3236" s="24" t="s">
        <v>0</v>
      </c>
      <c r="B3236" s="24"/>
      <c r="C3236" s="8" t="s">
        <v>92</v>
      </c>
      <c r="D3236" s="8" t="s">
        <v>93</v>
      </c>
      <c r="E3236" s="9" t="s">
        <v>94</v>
      </c>
      <c r="F3236" s="9" t="s">
        <v>95</v>
      </c>
      <c r="G3236" s="25" t="s">
        <v>96</v>
      </c>
      <c r="H3236" s="10"/>
      <c r="I3236" s="47"/>
    </row>
    <row r="3237" spans="1:16" x14ac:dyDescent="0.25">
      <c r="A3237" s="419" t="s">
        <v>359</v>
      </c>
      <c r="B3237" s="419"/>
      <c r="C3237" s="59" t="s">
        <v>9</v>
      </c>
      <c r="D3237" s="60">
        <v>0.05</v>
      </c>
      <c r="E3237" s="61">
        <v>4.2</v>
      </c>
      <c r="F3237" s="87">
        <f>+$F$450</f>
        <v>18667</v>
      </c>
      <c r="G3237" s="62">
        <f t="shared" ref="G3237:G3246" si="90">ROUND(E3237*F3237,0)</f>
        <v>78401</v>
      </c>
      <c r="H3237" s="15"/>
      <c r="I3237" s="47"/>
      <c r="L3237" s="63"/>
      <c r="M3237" s="63"/>
      <c r="N3237" s="63"/>
      <c r="O3237" s="63"/>
      <c r="P3237" s="63"/>
    </row>
    <row r="3238" spans="1:16" x14ac:dyDescent="0.25">
      <c r="A3238" s="419" t="s">
        <v>292</v>
      </c>
      <c r="B3238" s="419"/>
      <c r="C3238" s="59" t="s">
        <v>7</v>
      </c>
      <c r="D3238" s="65">
        <v>0.05</v>
      </c>
      <c r="E3238" s="61">
        <v>3.8</v>
      </c>
      <c r="F3238" s="62">
        <f>240500/3</f>
        <v>80166.666666666672</v>
      </c>
      <c r="G3238" s="62">
        <f t="shared" si="90"/>
        <v>304633</v>
      </c>
      <c r="H3238" s="15"/>
      <c r="I3238" s="47"/>
    </row>
    <row r="3239" spans="1:16" ht="28.9" customHeight="1" x14ac:dyDescent="0.25">
      <c r="A3239" s="417" t="s">
        <v>291</v>
      </c>
      <c r="B3239" s="418"/>
      <c r="C3239" s="59" t="s">
        <v>7</v>
      </c>
      <c r="D3239" s="65">
        <v>0.05</v>
      </c>
      <c r="E3239" s="61">
        <v>3.8</v>
      </c>
      <c r="F3239" s="62">
        <f>+$F$445</f>
        <v>101451</v>
      </c>
      <c r="G3239" s="62">
        <f t="shared" si="90"/>
        <v>385514</v>
      </c>
      <c r="H3239" s="15"/>
      <c r="I3239" s="47"/>
    </row>
    <row r="3240" spans="1:16" x14ac:dyDescent="0.25">
      <c r="A3240" s="419" t="s">
        <v>285</v>
      </c>
      <c r="B3240" s="419"/>
      <c r="C3240" s="59" t="s">
        <v>140</v>
      </c>
      <c r="D3240" s="60">
        <v>0.05</v>
      </c>
      <c r="E3240" s="66">
        <v>0.45</v>
      </c>
      <c r="F3240" s="67">
        <v>205000</v>
      </c>
      <c r="G3240" s="62">
        <f t="shared" si="90"/>
        <v>92250</v>
      </c>
      <c r="H3240" s="68"/>
      <c r="I3240" s="225"/>
    </row>
    <row r="3241" spans="1:16" x14ac:dyDescent="0.25">
      <c r="A3241" s="419" t="s">
        <v>286</v>
      </c>
      <c r="B3241" s="419"/>
      <c r="C3241" s="59" t="s">
        <v>281</v>
      </c>
      <c r="D3241" s="60">
        <v>0.05</v>
      </c>
      <c r="E3241" s="66">
        <v>0.4</v>
      </c>
      <c r="F3241" s="62">
        <v>85000</v>
      </c>
      <c r="G3241" s="67">
        <f t="shared" si="90"/>
        <v>34000</v>
      </c>
      <c r="H3241" s="15"/>
      <c r="I3241" s="47"/>
      <c r="L3241" s="63"/>
      <c r="M3241" s="63"/>
      <c r="N3241" s="63"/>
      <c r="O3241" s="63"/>
      <c r="P3241" s="63"/>
    </row>
    <row r="3242" spans="1:16" ht="24" customHeight="1" x14ac:dyDescent="0.25">
      <c r="A3242" s="419" t="s">
        <v>282</v>
      </c>
      <c r="B3242" s="419"/>
      <c r="C3242" s="59" t="s">
        <v>158</v>
      </c>
      <c r="D3242" s="60"/>
      <c r="E3242" s="66">
        <v>1</v>
      </c>
      <c r="F3242" s="62">
        <v>30000</v>
      </c>
      <c r="G3242" s="67">
        <f t="shared" si="90"/>
        <v>30000</v>
      </c>
      <c r="H3242" s="15"/>
      <c r="I3242" s="47"/>
      <c r="L3242" s="63">
        <v>7</v>
      </c>
      <c r="M3242" s="63"/>
      <c r="N3242" s="63"/>
      <c r="O3242" s="63"/>
      <c r="P3242" s="63"/>
    </row>
    <row r="3243" spans="1:16" x14ac:dyDescent="0.25">
      <c r="A3243" s="419" t="s">
        <v>287</v>
      </c>
      <c r="B3243" s="419"/>
      <c r="C3243" s="59" t="s">
        <v>158</v>
      </c>
      <c r="D3243" s="31"/>
      <c r="E3243" s="30">
        <v>4</v>
      </c>
      <c r="F3243" s="14">
        <v>1900</v>
      </c>
      <c r="G3243" s="67">
        <f t="shared" si="90"/>
        <v>7600</v>
      </c>
      <c r="H3243" s="15"/>
      <c r="I3243" s="47"/>
    </row>
    <row r="3244" spans="1:16" ht="42.6" customHeight="1" x14ac:dyDescent="0.25">
      <c r="A3244" s="417" t="s">
        <v>288</v>
      </c>
      <c r="B3244" s="418"/>
      <c r="C3244" s="59" t="s">
        <v>289</v>
      </c>
      <c r="D3244" s="70"/>
      <c r="E3244" s="61">
        <v>6</v>
      </c>
      <c r="F3244" s="62">
        <v>10500</v>
      </c>
      <c r="G3244" s="67">
        <f t="shared" si="90"/>
        <v>63000</v>
      </c>
      <c r="H3244" s="71"/>
      <c r="I3244" s="226"/>
    </row>
    <row r="3245" spans="1:16" x14ac:dyDescent="0.25">
      <c r="A3245" s="417" t="s">
        <v>290</v>
      </c>
      <c r="B3245" s="418"/>
      <c r="C3245" s="84" t="s">
        <v>281</v>
      </c>
      <c r="D3245" s="65">
        <v>0.05</v>
      </c>
      <c r="E3245" s="61">
        <v>0.3</v>
      </c>
      <c r="F3245" s="62">
        <f>+$F$2728</f>
        <v>58000</v>
      </c>
      <c r="G3245" s="67">
        <f t="shared" si="90"/>
        <v>17400</v>
      </c>
      <c r="H3245" s="15"/>
      <c r="I3245" s="47"/>
    </row>
    <row r="3246" spans="1:16" x14ac:dyDescent="0.25">
      <c r="A3246" s="11" t="s">
        <v>139</v>
      </c>
      <c r="B3246" s="12"/>
      <c r="C3246" s="35" t="s">
        <v>158</v>
      </c>
      <c r="D3246" s="31"/>
      <c r="E3246" s="30">
        <v>1</v>
      </c>
      <c r="F3246" s="14">
        <v>8500</v>
      </c>
      <c r="G3246" s="67">
        <f t="shared" si="90"/>
        <v>8500</v>
      </c>
      <c r="H3246" s="17"/>
      <c r="I3246" s="47"/>
    </row>
    <row r="3247" spans="1:16" x14ac:dyDescent="0.25">
      <c r="A3247" s="291"/>
      <c r="B3247" s="228"/>
      <c r="C3247" s="228"/>
      <c r="D3247" s="228"/>
      <c r="E3247" s="36"/>
      <c r="F3247" s="37" t="s">
        <v>102</v>
      </c>
      <c r="G3247" s="38"/>
      <c r="H3247" s="23">
        <f>SUM(G3237:G3246)</f>
        <v>1021298</v>
      </c>
      <c r="I3247" s="220"/>
    </row>
    <row r="3248" spans="1:16" x14ac:dyDescent="0.25">
      <c r="A3248" s="291"/>
      <c r="B3248" s="228"/>
      <c r="C3248" s="228"/>
      <c r="D3248" s="228"/>
      <c r="E3248" s="36"/>
      <c r="F3248" s="39" t="s">
        <v>103</v>
      </c>
      <c r="G3248" s="38"/>
      <c r="H3248" s="23">
        <f>ROUND((D3237*G3237)+(D3238*G3238)+(D3239*G3239)+(D3240*G3240)+(D3241*G3241)+(D3242*G3242)+(D3243*G3243)+(D3244*G3244)+(D3245*G3245)+(D3246*G3246),0)</f>
        <v>45610</v>
      </c>
      <c r="I3248" s="220"/>
    </row>
    <row r="3249" spans="1:9" x14ac:dyDescent="0.25">
      <c r="A3249" s="291"/>
      <c r="B3249" s="228"/>
      <c r="C3249" s="228"/>
      <c r="D3249" s="228"/>
      <c r="E3249" s="36"/>
      <c r="F3249" s="20" t="s">
        <v>104</v>
      </c>
      <c r="G3249" s="40"/>
      <c r="H3249" s="23">
        <f>SUM(H3247:H3248)</f>
        <v>1066908</v>
      </c>
      <c r="I3249" s="220"/>
    </row>
    <row r="3250" spans="1:9" x14ac:dyDescent="0.25">
      <c r="A3250" s="291" t="s">
        <v>105</v>
      </c>
      <c r="B3250" s="228"/>
      <c r="C3250" s="228"/>
      <c r="D3250" s="228"/>
      <c r="E3250" s="47"/>
      <c r="F3250" s="47"/>
      <c r="G3250" s="47"/>
      <c r="H3250" s="233"/>
      <c r="I3250" s="47"/>
    </row>
    <row r="3251" spans="1:9" x14ac:dyDescent="0.25">
      <c r="A3251" s="24" t="s">
        <v>0</v>
      </c>
      <c r="B3251" s="24"/>
      <c r="C3251" s="8" t="s">
        <v>106</v>
      </c>
      <c r="D3251" s="8" t="s">
        <v>107</v>
      </c>
      <c r="E3251" s="9" t="s">
        <v>108</v>
      </c>
      <c r="F3251" s="9" t="s">
        <v>109</v>
      </c>
      <c r="G3251" s="41" t="s">
        <v>96</v>
      </c>
      <c r="H3251" s="10"/>
      <c r="I3251" s="47"/>
    </row>
    <row r="3252" spans="1:9" x14ac:dyDescent="0.25">
      <c r="A3252" s="18" t="s">
        <v>110</v>
      </c>
      <c r="B3252" s="42"/>
      <c r="C3252" s="13">
        <f>104000+26000</f>
        <v>130000</v>
      </c>
      <c r="D3252" s="13">
        <f>+C3252*0.16</f>
        <v>20800</v>
      </c>
      <c r="E3252" s="14">
        <f>C3252+D3252</f>
        <v>150800</v>
      </c>
      <c r="F3252" s="30">
        <v>3</v>
      </c>
      <c r="G3252" s="14">
        <f>ROUND(E3252*F3252,0)</f>
        <v>452400</v>
      </c>
      <c r="H3252" s="15"/>
      <c r="I3252" s="47"/>
    </row>
    <row r="3253" spans="1:9" x14ac:dyDescent="0.25">
      <c r="A3253" s="18" t="s">
        <v>111</v>
      </c>
      <c r="B3253" s="42"/>
      <c r="C3253" s="13">
        <f>60400+25850</f>
        <v>86250</v>
      </c>
      <c r="D3253" s="13">
        <f>+C3253*0.16</f>
        <v>13800</v>
      </c>
      <c r="E3253" s="14">
        <f>C3253+D3253</f>
        <v>100050</v>
      </c>
      <c r="F3253" s="30">
        <v>3</v>
      </c>
      <c r="G3253" s="14">
        <f>ROUND(E3253*F3253,0)</f>
        <v>300150</v>
      </c>
      <c r="H3253" s="15"/>
      <c r="I3253" s="47"/>
    </row>
    <row r="3254" spans="1:9" x14ac:dyDescent="0.25">
      <c r="A3254" s="18"/>
      <c r="B3254" s="42"/>
      <c r="C3254" s="43"/>
      <c r="D3254" s="43"/>
      <c r="E3254" s="44">
        <f>C3254+D3254</f>
        <v>0</v>
      </c>
      <c r="F3254" s="45"/>
      <c r="G3254" s="14">
        <f>ROUND(E3254*F3254,0)</f>
        <v>0</v>
      </c>
      <c r="H3254" s="15"/>
      <c r="I3254" s="47"/>
    </row>
    <row r="3255" spans="1:9" x14ac:dyDescent="0.25">
      <c r="A3255" s="291"/>
      <c r="B3255" s="228"/>
      <c r="C3255" s="228"/>
      <c r="D3255" s="228"/>
      <c r="E3255" s="277" t="s">
        <v>112</v>
      </c>
      <c r="F3255" s="277"/>
      <c r="G3255" s="277"/>
      <c r="H3255" s="82">
        <f>SUM(G3252:G3254)</f>
        <v>752550</v>
      </c>
      <c r="I3255" s="221"/>
    </row>
    <row r="3256" spans="1:9" x14ac:dyDescent="0.25">
      <c r="A3256" s="291"/>
      <c r="B3256" s="228"/>
      <c r="C3256" s="228"/>
      <c r="D3256" s="228"/>
      <c r="E3256" s="47"/>
      <c r="F3256" s="47"/>
      <c r="G3256" s="47"/>
      <c r="H3256" s="233"/>
      <c r="I3256" s="47"/>
    </row>
    <row r="3257" spans="1:9" x14ac:dyDescent="0.25">
      <c r="A3257" s="18"/>
      <c r="B3257" s="19"/>
      <c r="C3257" s="19"/>
      <c r="D3257" s="19"/>
      <c r="E3257" s="48" t="s">
        <v>113</v>
      </c>
      <c r="F3257" s="48"/>
      <c r="G3257" s="48"/>
      <c r="H3257" s="25">
        <f>H3255+H3249+H3234</f>
        <v>2282078</v>
      </c>
      <c r="I3257" s="222"/>
    </row>
    <row r="3258" spans="1:9" x14ac:dyDescent="0.25">
      <c r="A3258" s="4"/>
      <c r="B3258" s="4"/>
      <c r="C3258" s="4"/>
      <c r="D3258" s="4"/>
      <c r="E3258" s="5"/>
      <c r="F3258" s="5"/>
      <c r="G3258" s="5"/>
      <c r="H3258" s="5"/>
      <c r="I3258" s="47"/>
    </row>
    <row r="3259" spans="1:9" hidden="1" x14ac:dyDescent="0.25">
      <c r="A3259" s="4" t="s">
        <v>114</v>
      </c>
      <c r="B3259" s="4"/>
      <c r="C3259" s="4"/>
      <c r="D3259" s="4"/>
      <c r="E3259" s="5"/>
      <c r="F3259" s="5"/>
      <c r="G3259" s="5"/>
      <c r="H3259" s="5"/>
      <c r="I3259" s="47"/>
    </row>
    <row r="3260" spans="1:9" hidden="1" x14ac:dyDescent="0.25">
      <c r="A3260" s="6" t="s">
        <v>0</v>
      </c>
      <c r="B3260" s="49"/>
      <c r="C3260" s="49"/>
      <c r="D3260" s="49"/>
      <c r="E3260" s="50"/>
      <c r="F3260" s="9" t="s">
        <v>115</v>
      </c>
      <c r="G3260" s="41" t="s">
        <v>116</v>
      </c>
      <c r="H3260" s="235"/>
      <c r="I3260" s="47"/>
    </row>
    <row r="3261" spans="1:9" hidden="1" x14ac:dyDescent="0.25">
      <c r="A3261" s="11" t="s">
        <v>117</v>
      </c>
      <c r="B3261" s="51"/>
      <c r="C3261" s="51"/>
      <c r="D3261" s="51"/>
      <c r="E3261" s="52"/>
      <c r="F3261" s="53"/>
      <c r="G3261" s="14">
        <f>F3261*H3257</f>
        <v>0</v>
      </c>
      <c r="H3261" s="236"/>
      <c r="I3261" s="47"/>
    </row>
    <row r="3262" spans="1:9" hidden="1" x14ac:dyDescent="0.25">
      <c r="A3262" s="11"/>
      <c r="B3262" s="51"/>
      <c r="C3262" s="51"/>
      <c r="D3262" s="51"/>
      <c r="E3262" s="52"/>
      <c r="F3262" s="53"/>
      <c r="G3262" s="14">
        <f>F3262*H3257</f>
        <v>0</v>
      </c>
      <c r="H3262" s="236"/>
      <c r="I3262" s="47"/>
    </row>
    <row r="3263" spans="1:9" hidden="1" x14ac:dyDescent="0.25">
      <c r="A3263" s="11"/>
      <c r="B3263" s="51"/>
      <c r="C3263" s="51"/>
      <c r="D3263" s="51"/>
      <c r="E3263" s="52"/>
      <c r="F3263" s="53"/>
      <c r="G3263" s="14">
        <f>F3263*H3257</f>
        <v>0</v>
      </c>
      <c r="H3263" s="237"/>
      <c r="I3263" s="47"/>
    </row>
    <row r="3264" spans="1:9" hidden="1" x14ac:dyDescent="0.25">
      <c r="A3264" s="4"/>
      <c r="B3264" s="4"/>
      <c r="C3264" s="4"/>
      <c r="D3264" s="4"/>
      <c r="E3264" s="46" t="s">
        <v>118</v>
      </c>
      <c r="F3264" s="46"/>
      <c r="G3264" s="46"/>
      <c r="H3264" s="36">
        <f>SUM(G3261:G3263)</f>
        <v>0</v>
      </c>
      <c r="I3264" s="220"/>
    </row>
    <row r="3265" spans="1:9" ht="15.75" thickBot="1" x14ac:dyDescent="0.3">
      <c r="A3265" s="4"/>
      <c r="B3265" s="4"/>
      <c r="C3265" s="4"/>
      <c r="D3265" s="4"/>
      <c r="E3265" s="5"/>
      <c r="F3265" s="5"/>
      <c r="G3265" s="5"/>
      <c r="H3265" s="5"/>
      <c r="I3265" s="47"/>
    </row>
    <row r="3266" spans="1:9" ht="15.75" thickBot="1" x14ac:dyDescent="0.3">
      <c r="A3266" s="4"/>
      <c r="B3266" s="4"/>
      <c r="C3266" s="4"/>
      <c r="D3266" s="4"/>
      <c r="E3266" s="54"/>
      <c r="F3266" s="54" t="s">
        <v>119</v>
      </c>
      <c r="G3266" s="54"/>
      <c r="H3266" s="240">
        <f>SUM(H3264+H3257)</f>
        <v>2282078</v>
      </c>
      <c r="I3266" s="112"/>
    </row>
    <row r="3267" spans="1:9" x14ac:dyDescent="0.25">
      <c r="A3267" s="4"/>
      <c r="B3267" s="4"/>
      <c r="C3267" s="4"/>
      <c r="D3267" s="4"/>
      <c r="E3267" s="54"/>
      <c r="F3267" s="54"/>
      <c r="G3267" s="54"/>
      <c r="H3267" s="112"/>
      <c r="I3267" s="112"/>
    </row>
    <row r="3268" spans="1:9" x14ac:dyDescent="0.25">
      <c r="A3268" s="4"/>
      <c r="B3268" s="4"/>
      <c r="C3268" s="4"/>
      <c r="D3268" s="4"/>
      <c r="E3268" s="54"/>
      <c r="F3268" s="54"/>
      <c r="G3268" s="54"/>
      <c r="H3268" s="112"/>
      <c r="I3268" s="112"/>
    </row>
    <row r="3269" spans="1:9" x14ac:dyDescent="0.25">
      <c r="A3269" s="4"/>
      <c r="B3269" s="4"/>
      <c r="C3269" s="4"/>
      <c r="D3269" s="4"/>
      <c r="E3269" s="54"/>
      <c r="F3269" s="54"/>
      <c r="G3269" s="54"/>
      <c r="H3269" s="112"/>
      <c r="I3269" s="112"/>
    </row>
    <row r="3270" spans="1:9" x14ac:dyDescent="0.25">
      <c r="A3270" s="4"/>
      <c r="B3270" s="4"/>
      <c r="C3270" s="4"/>
      <c r="D3270" s="4"/>
      <c r="E3270" s="54"/>
      <c r="F3270" s="54"/>
      <c r="G3270" s="54"/>
      <c r="H3270" s="112"/>
      <c r="I3270" s="112"/>
    </row>
    <row r="3271" spans="1:9" x14ac:dyDescent="0.25">
      <c r="A3271" s="4"/>
      <c r="B3271" s="4"/>
      <c r="C3271" s="4"/>
      <c r="D3271" s="4"/>
      <c r="E3271" s="54"/>
      <c r="F3271" s="54"/>
      <c r="G3271" s="54"/>
      <c r="H3271" s="112"/>
      <c r="I3271" s="112"/>
    </row>
    <row r="3273" spans="1:9" x14ac:dyDescent="0.25">
      <c r="A3273" s="412" t="s">
        <v>79</v>
      </c>
      <c r="B3273" s="412"/>
      <c r="C3273" s="412"/>
      <c r="D3273" s="412"/>
      <c r="E3273" s="412"/>
      <c r="F3273" s="412"/>
      <c r="G3273" s="412"/>
      <c r="H3273" s="412"/>
      <c r="I3273" s="250"/>
    </row>
    <row r="3274" spans="1:9" x14ac:dyDescent="0.25">
      <c r="A3274" s="4"/>
      <c r="B3274" s="4"/>
      <c r="C3274" s="4"/>
      <c r="D3274" s="4"/>
      <c r="E3274" s="5"/>
      <c r="F3274" s="5"/>
      <c r="G3274" s="411" t="s">
        <v>326</v>
      </c>
      <c r="H3274" s="411"/>
      <c r="I3274" s="251"/>
    </row>
    <row r="3275" spans="1:9" ht="46.15" customHeight="1" x14ac:dyDescent="0.25">
      <c r="A3275" s="468" t="s">
        <v>487</v>
      </c>
      <c r="B3275" s="468"/>
      <c r="C3275" s="468"/>
      <c r="D3275" s="468"/>
      <c r="E3275" s="468"/>
      <c r="F3275" s="468"/>
      <c r="G3275" s="468"/>
      <c r="H3275" s="468"/>
      <c r="I3275" s="256"/>
    </row>
    <row r="3276" spans="1:9" x14ac:dyDescent="0.25">
      <c r="A3276" s="4"/>
      <c r="B3276" s="4"/>
      <c r="C3276" s="4"/>
      <c r="D3276" s="4"/>
      <c r="E3276" s="5"/>
      <c r="F3276" s="5"/>
      <c r="G3276" s="414" t="s">
        <v>160</v>
      </c>
      <c r="H3276" s="414"/>
      <c r="I3276" s="253"/>
    </row>
    <row r="3277" spans="1:9" x14ac:dyDescent="0.25">
      <c r="A3277" s="4" t="s">
        <v>82</v>
      </c>
      <c r="B3277" s="4"/>
      <c r="C3277" s="4"/>
      <c r="D3277" s="4"/>
      <c r="E3277" s="5"/>
      <c r="F3277" s="5"/>
      <c r="G3277" s="5"/>
      <c r="H3277" s="5"/>
      <c r="I3277" s="47"/>
    </row>
    <row r="3278" spans="1:9" x14ac:dyDescent="0.25">
      <c r="A3278" s="6" t="s">
        <v>0</v>
      </c>
      <c r="B3278" s="7"/>
      <c r="C3278" s="8" t="s">
        <v>83</v>
      </c>
      <c r="D3278" s="8" t="s">
        <v>84</v>
      </c>
      <c r="E3278" s="9" t="s">
        <v>85</v>
      </c>
      <c r="F3278" s="9" t="s">
        <v>86</v>
      </c>
      <c r="G3278" s="9" t="s">
        <v>87</v>
      </c>
      <c r="H3278" s="10"/>
      <c r="I3278" s="47"/>
    </row>
    <row r="3279" spans="1:9" x14ac:dyDescent="0.25">
      <c r="A3279" s="11" t="s">
        <v>88</v>
      </c>
      <c r="B3279" s="12"/>
      <c r="C3279" s="13"/>
      <c r="D3279" s="13"/>
      <c r="E3279" s="14"/>
      <c r="F3279" s="14"/>
      <c r="G3279" s="14">
        <f>ROUND(H3304*0.05,0)+8-16</f>
        <v>152764</v>
      </c>
      <c r="H3279" s="15"/>
      <c r="I3279" s="47"/>
    </row>
    <row r="3280" spans="1:9" hidden="1" x14ac:dyDescent="0.25">
      <c r="A3280" s="11" t="s">
        <v>172</v>
      </c>
      <c r="B3280" s="12"/>
      <c r="C3280" s="13"/>
      <c r="D3280" s="13"/>
      <c r="E3280" s="14"/>
      <c r="F3280" s="14"/>
      <c r="G3280" s="14">
        <f>ROUND(E3280*F3280,0)</f>
        <v>0</v>
      </c>
      <c r="H3280" s="15"/>
      <c r="I3280" s="47"/>
    </row>
    <row r="3281" spans="1:9" x14ac:dyDescent="0.25">
      <c r="A3281" s="11" t="s">
        <v>327</v>
      </c>
      <c r="B3281" s="12"/>
      <c r="C3281" s="13"/>
      <c r="D3281" s="13"/>
      <c r="E3281" s="14">
        <v>350000</v>
      </c>
      <c r="F3281" s="16">
        <v>2</v>
      </c>
      <c r="G3281" s="14">
        <f>ROUND(E3281*F3281,0)</f>
        <v>700000</v>
      </c>
      <c r="H3281" s="15"/>
      <c r="I3281" s="47"/>
    </row>
    <row r="3282" spans="1:9" x14ac:dyDescent="0.25">
      <c r="A3282" s="11" t="s">
        <v>328</v>
      </c>
      <c r="B3282" s="12"/>
      <c r="C3282" s="13"/>
      <c r="D3282" s="13"/>
      <c r="E3282" s="14">
        <v>50000</v>
      </c>
      <c r="F3282" s="14">
        <v>6</v>
      </c>
      <c r="G3282" s="14">
        <f>ROUND(E3282*F3282,0)</f>
        <v>300000</v>
      </c>
      <c r="H3282" s="17"/>
      <c r="I3282" s="47"/>
    </row>
    <row r="3283" spans="1:9" x14ac:dyDescent="0.25">
      <c r="A3283" s="18"/>
      <c r="B3283" s="19"/>
      <c r="C3283" s="19"/>
      <c r="D3283" s="19"/>
      <c r="E3283" s="20"/>
      <c r="F3283" s="21" t="s">
        <v>90</v>
      </c>
      <c r="G3283" s="22"/>
      <c r="H3283" s="23">
        <f>SUM(G3279:G3282)</f>
        <v>1152764</v>
      </c>
      <c r="I3283" s="221"/>
    </row>
    <row r="3284" spans="1:9" x14ac:dyDescent="0.25">
      <c r="A3284" s="291" t="s">
        <v>91</v>
      </c>
      <c r="B3284" s="228"/>
      <c r="C3284" s="228"/>
      <c r="D3284" s="228"/>
      <c r="E3284" s="47"/>
      <c r="F3284" s="47"/>
      <c r="G3284" s="47"/>
      <c r="H3284" s="233"/>
      <c r="I3284" s="260"/>
    </row>
    <row r="3285" spans="1:9" x14ac:dyDescent="0.25">
      <c r="A3285" s="24" t="s">
        <v>0</v>
      </c>
      <c r="B3285" s="24"/>
      <c r="C3285" s="8" t="s">
        <v>92</v>
      </c>
      <c r="D3285" s="8" t="s">
        <v>93</v>
      </c>
      <c r="E3285" s="9" t="s">
        <v>94</v>
      </c>
      <c r="F3285" s="9" t="s">
        <v>95</v>
      </c>
      <c r="G3285" s="25" t="s">
        <v>96</v>
      </c>
      <c r="H3285" s="10"/>
      <c r="I3285" s="260"/>
    </row>
    <row r="3286" spans="1:9" s="79" customFormat="1" x14ac:dyDescent="0.25">
      <c r="A3286" s="476" t="s">
        <v>179</v>
      </c>
      <c r="B3286" s="477"/>
      <c r="C3286" s="35" t="s">
        <v>9</v>
      </c>
      <c r="D3286" s="34">
        <v>0.05</v>
      </c>
      <c r="E3286" s="77">
        <v>40</v>
      </c>
      <c r="F3286" s="77">
        <f>ROUND(56000/3,0)</f>
        <v>18667</v>
      </c>
      <c r="G3286" s="74">
        <f>ROUND(E3286*F3286,0)</f>
        <v>746680</v>
      </c>
      <c r="H3286" s="78"/>
      <c r="I3286" s="227"/>
    </row>
    <row r="3287" spans="1:9" x14ac:dyDescent="0.25">
      <c r="A3287" s="476" t="s">
        <v>177</v>
      </c>
      <c r="B3287" s="477"/>
      <c r="C3287" s="35" t="s">
        <v>9</v>
      </c>
      <c r="D3287" s="80">
        <v>0.05</v>
      </c>
      <c r="E3287" s="77">
        <v>8</v>
      </c>
      <c r="F3287" s="77">
        <f>+$F$444</f>
        <v>28000</v>
      </c>
      <c r="G3287" s="74">
        <f t="shared" ref="G3287:G3295" si="91">ROUND(E3287*F3287,0)</f>
        <v>224000</v>
      </c>
      <c r="H3287" s="15"/>
      <c r="I3287" s="260"/>
    </row>
    <row r="3288" spans="1:9" x14ac:dyDescent="0.25">
      <c r="A3288" s="476" t="s">
        <v>179</v>
      </c>
      <c r="B3288" s="477"/>
      <c r="C3288" s="35" t="s">
        <v>9</v>
      </c>
      <c r="D3288" s="80">
        <v>0.05</v>
      </c>
      <c r="E3288" s="77">
        <f>40*1.2</f>
        <v>48</v>
      </c>
      <c r="F3288" s="77">
        <f>+$F$3286</f>
        <v>18667</v>
      </c>
      <c r="G3288" s="74">
        <f t="shared" si="91"/>
        <v>896016</v>
      </c>
      <c r="H3288" s="15"/>
      <c r="I3288" s="260"/>
    </row>
    <row r="3289" spans="1:9" x14ac:dyDescent="0.25">
      <c r="A3289" s="476" t="s">
        <v>299</v>
      </c>
      <c r="B3289" s="477"/>
      <c r="C3289" s="35" t="s">
        <v>9</v>
      </c>
      <c r="D3289" s="80">
        <v>0.05</v>
      </c>
      <c r="E3289" s="77">
        <f>+(1.2*4)+(1.5*4)+(1*2)</f>
        <v>12.8</v>
      </c>
      <c r="F3289" s="77">
        <f>ROUND(184000/3,0)</f>
        <v>61333</v>
      </c>
      <c r="G3289" s="74">
        <f t="shared" si="91"/>
        <v>785062</v>
      </c>
      <c r="H3289" s="15"/>
      <c r="I3289" s="260"/>
    </row>
    <row r="3290" spans="1:9" s="72" customFormat="1" ht="29.45" customHeight="1" x14ac:dyDescent="0.25">
      <c r="A3290" s="417" t="s">
        <v>173</v>
      </c>
      <c r="B3290" s="418"/>
      <c r="C3290" s="84" t="s">
        <v>18</v>
      </c>
      <c r="D3290" s="85">
        <v>0.05</v>
      </c>
      <c r="E3290" s="86">
        <v>42</v>
      </c>
      <c r="F3290" s="87">
        <v>2500</v>
      </c>
      <c r="G3290" s="87">
        <f t="shared" si="91"/>
        <v>105000</v>
      </c>
      <c r="H3290" s="71"/>
      <c r="I3290" s="345"/>
    </row>
    <row r="3291" spans="1:9" s="79" customFormat="1" x14ac:dyDescent="0.25">
      <c r="A3291" s="81" t="s">
        <v>174</v>
      </c>
      <c r="B3291" s="12"/>
      <c r="C3291" s="35" t="s">
        <v>7</v>
      </c>
      <c r="D3291" s="31">
        <v>0.05</v>
      </c>
      <c r="E3291" s="30">
        <f>+(1.2*4*2)+(0.4*4*2)+(0.3*40)+(0.4*12.8)</f>
        <v>29.92</v>
      </c>
      <c r="F3291" s="74">
        <f>205000/10</f>
        <v>20500</v>
      </c>
      <c r="G3291" s="74">
        <f t="shared" si="91"/>
        <v>613360</v>
      </c>
      <c r="H3291" s="78"/>
      <c r="I3291" s="227"/>
    </row>
    <row r="3292" spans="1:9" s="79" customFormat="1" x14ac:dyDescent="0.25">
      <c r="A3292" s="185" t="s">
        <v>164</v>
      </c>
      <c r="B3292" s="186"/>
      <c r="C3292" s="35" t="s">
        <v>175</v>
      </c>
      <c r="D3292" s="80">
        <v>0.05</v>
      </c>
      <c r="E3292" s="77">
        <v>4</v>
      </c>
      <c r="F3292" s="74">
        <v>7500</v>
      </c>
      <c r="G3292" s="74">
        <f t="shared" si="91"/>
        <v>30000</v>
      </c>
      <c r="H3292" s="78"/>
      <c r="I3292" s="227"/>
    </row>
    <row r="3293" spans="1:9" x14ac:dyDescent="0.25">
      <c r="A3293" s="11" t="s">
        <v>362</v>
      </c>
      <c r="B3293" s="12"/>
      <c r="C3293" s="35" t="s">
        <v>212</v>
      </c>
      <c r="D3293" s="34">
        <v>0.05</v>
      </c>
      <c r="E3293" s="30">
        <f>+(0.3*0.3*0.4)*8</f>
        <v>0.28799999999999998</v>
      </c>
      <c r="F3293" s="14">
        <f>+$H$3523</f>
        <v>2838505</v>
      </c>
      <c r="G3293" s="74">
        <f t="shared" si="91"/>
        <v>817489</v>
      </c>
      <c r="H3293" s="15"/>
      <c r="I3293" s="260"/>
    </row>
    <row r="3294" spans="1:9" x14ac:dyDescent="0.25">
      <c r="A3294" s="11" t="s">
        <v>488</v>
      </c>
      <c r="B3294" s="12"/>
      <c r="C3294" s="35" t="s">
        <v>18</v>
      </c>
      <c r="D3294" s="31"/>
      <c r="E3294" s="30">
        <v>8</v>
      </c>
      <c r="F3294" s="14">
        <v>8000</v>
      </c>
      <c r="G3294" s="74">
        <f t="shared" si="91"/>
        <v>64000</v>
      </c>
      <c r="H3294" s="15"/>
      <c r="I3294" s="47"/>
    </row>
    <row r="3295" spans="1:9" hidden="1" x14ac:dyDescent="0.25">
      <c r="A3295" s="11"/>
      <c r="B3295" s="12"/>
      <c r="C3295" s="35"/>
      <c r="D3295" s="31"/>
      <c r="E3295" s="30"/>
      <c r="F3295" s="14"/>
      <c r="G3295" s="74">
        <f t="shared" si="91"/>
        <v>0</v>
      </c>
      <c r="H3295" s="17"/>
      <c r="I3295" s="47"/>
    </row>
    <row r="3296" spans="1:9" x14ac:dyDescent="0.25">
      <c r="A3296" s="291"/>
      <c r="B3296" s="228"/>
      <c r="C3296" s="228"/>
      <c r="D3296" s="228"/>
      <c r="E3296" s="36"/>
      <c r="F3296" s="37" t="s">
        <v>102</v>
      </c>
      <c r="G3296" s="38"/>
      <c r="H3296" s="23">
        <f>SUM(G3286:G3295)</f>
        <v>4281607</v>
      </c>
      <c r="I3296" s="220"/>
    </row>
    <row r="3297" spans="1:9" x14ac:dyDescent="0.25">
      <c r="A3297" s="291"/>
      <c r="B3297" s="228"/>
      <c r="C3297" s="228"/>
      <c r="D3297" s="228"/>
      <c r="E3297" s="36"/>
      <c r="F3297" s="39" t="s">
        <v>103</v>
      </c>
      <c r="G3297" s="38"/>
      <c r="H3297" s="23">
        <f>ROUND((D3286*G3286)+(D3287*G3287)+(D3288*G3288)+(D3290*G3290)+(D3291*G3291)+(D3292*G3292)+(D3293*G3293)+(D3294*G3294)+(D3295*G3295),0)</f>
        <v>171627</v>
      </c>
      <c r="I3297" s="220"/>
    </row>
    <row r="3298" spans="1:9" x14ac:dyDescent="0.25">
      <c r="A3298" s="291"/>
      <c r="B3298" s="228"/>
      <c r="C3298" s="228"/>
      <c r="D3298" s="228"/>
      <c r="E3298" s="36"/>
      <c r="F3298" s="20" t="s">
        <v>104</v>
      </c>
      <c r="G3298" s="40"/>
      <c r="H3298" s="23">
        <f>SUM(H3296:H3297)</f>
        <v>4453234</v>
      </c>
      <c r="I3298" s="220"/>
    </row>
    <row r="3299" spans="1:9" x14ac:dyDescent="0.25">
      <c r="A3299" s="291" t="s">
        <v>105</v>
      </c>
      <c r="B3299" s="228"/>
      <c r="C3299" s="228"/>
      <c r="D3299" s="228"/>
      <c r="E3299" s="47"/>
      <c r="F3299" s="47"/>
      <c r="G3299" s="47"/>
      <c r="H3299" s="233"/>
      <c r="I3299" s="47"/>
    </row>
    <row r="3300" spans="1:9" x14ac:dyDescent="0.25">
      <c r="A3300" s="24" t="s">
        <v>0</v>
      </c>
      <c r="B3300" s="24"/>
      <c r="C3300" s="8" t="s">
        <v>106</v>
      </c>
      <c r="D3300" s="8" t="s">
        <v>107</v>
      </c>
      <c r="E3300" s="9" t="s">
        <v>108</v>
      </c>
      <c r="F3300" s="9" t="s">
        <v>109</v>
      </c>
      <c r="G3300" s="41" t="s">
        <v>96</v>
      </c>
      <c r="H3300" s="10"/>
      <c r="I3300" s="47"/>
    </row>
    <row r="3301" spans="1:9" x14ac:dyDescent="0.25">
      <c r="A3301" s="76" t="s">
        <v>110</v>
      </c>
      <c r="B3301" s="42"/>
      <c r="C3301" s="13">
        <f>104000+26000</f>
        <v>130000</v>
      </c>
      <c r="D3301" s="13">
        <f>+C3301*0.16</f>
        <v>20800</v>
      </c>
      <c r="E3301" s="14">
        <f>C3301+D3301</f>
        <v>150800</v>
      </c>
      <c r="F3301" s="30">
        <v>12.3</v>
      </c>
      <c r="G3301" s="14">
        <f>ROUND(E3301*F3301,0)</f>
        <v>1854840</v>
      </c>
      <c r="H3301" s="15"/>
      <c r="I3301" s="47"/>
    </row>
    <row r="3302" spans="1:9" x14ac:dyDescent="0.25">
      <c r="A3302" s="76" t="s">
        <v>111</v>
      </c>
      <c r="B3302" s="42"/>
      <c r="C3302" s="13">
        <f>60400+25850</f>
        <v>86250</v>
      </c>
      <c r="D3302" s="13">
        <f>+C3302*0.16</f>
        <v>13800</v>
      </c>
      <c r="E3302" s="14">
        <f>C3302+D3302</f>
        <v>100050</v>
      </c>
      <c r="F3302" s="30">
        <v>12</v>
      </c>
      <c r="G3302" s="14">
        <f>ROUND(E3302*F3302,0)</f>
        <v>1200600</v>
      </c>
      <c r="H3302" s="15"/>
      <c r="I3302" s="47"/>
    </row>
    <row r="3303" spans="1:9" x14ac:dyDescent="0.25">
      <c r="A3303" s="18"/>
      <c r="B3303" s="42"/>
      <c r="C3303" s="43"/>
      <c r="D3303" s="43"/>
      <c r="E3303" s="44">
        <f>C3303+D3303</f>
        <v>0</v>
      </c>
      <c r="F3303" s="45"/>
      <c r="G3303" s="14">
        <f>ROUND(E3303*F3303,0)</f>
        <v>0</v>
      </c>
      <c r="H3303" s="15"/>
      <c r="I3303" s="47"/>
    </row>
    <row r="3304" spans="1:9" x14ac:dyDescent="0.25">
      <c r="A3304" s="291"/>
      <c r="B3304" s="228"/>
      <c r="C3304" s="228"/>
      <c r="D3304" s="228"/>
      <c r="E3304" s="277" t="s">
        <v>112</v>
      </c>
      <c r="F3304" s="277"/>
      <c r="G3304" s="277"/>
      <c r="H3304" s="82">
        <f>SUM(G3301:G3303)</f>
        <v>3055440</v>
      </c>
      <c r="I3304" s="221"/>
    </row>
    <row r="3305" spans="1:9" x14ac:dyDescent="0.25">
      <c r="A3305" s="291"/>
      <c r="B3305" s="228"/>
      <c r="C3305" s="228"/>
      <c r="D3305" s="228"/>
      <c r="E3305" s="47"/>
      <c r="F3305" s="47"/>
      <c r="G3305" s="47"/>
      <c r="H3305" s="233"/>
      <c r="I3305" s="47"/>
    </row>
    <row r="3306" spans="1:9" x14ac:dyDescent="0.25">
      <c r="A3306" s="18"/>
      <c r="B3306" s="19"/>
      <c r="C3306" s="19"/>
      <c r="D3306" s="19"/>
      <c r="E3306" s="48" t="s">
        <v>113</v>
      </c>
      <c r="F3306" s="48"/>
      <c r="G3306" s="48"/>
      <c r="H3306" s="25">
        <f>H3304+H3298+H3283</f>
        <v>8661438</v>
      </c>
      <c r="I3306" s="222"/>
    </row>
    <row r="3307" spans="1:9" x14ac:dyDescent="0.25">
      <c r="A3307" s="291"/>
      <c r="B3307" s="228"/>
      <c r="C3307" s="228"/>
      <c r="D3307" s="228"/>
      <c r="E3307" s="47"/>
      <c r="F3307" s="47"/>
      <c r="G3307" s="47"/>
      <c r="H3307" s="233"/>
      <c r="I3307" s="47"/>
    </row>
    <row r="3308" spans="1:9" x14ac:dyDescent="0.25">
      <c r="A3308" s="291" t="s">
        <v>114</v>
      </c>
      <c r="B3308" s="228"/>
      <c r="C3308" s="228"/>
      <c r="D3308" s="228"/>
      <c r="E3308" s="47"/>
      <c r="F3308" s="47"/>
      <c r="G3308" s="47"/>
      <c r="H3308" s="233"/>
      <c r="I3308" s="47"/>
    </row>
    <row r="3309" spans="1:9" x14ac:dyDescent="0.25">
      <c r="A3309" s="6" t="s">
        <v>0</v>
      </c>
      <c r="B3309" s="49"/>
      <c r="C3309" s="49"/>
      <c r="D3309" s="49"/>
      <c r="E3309" s="50"/>
      <c r="F3309" s="9" t="s">
        <v>115</v>
      </c>
      <c r="G3309" s="41" t="s">
        <v>116</v>
      </c>
      <c r="H3309" s="10"/>
      <c r="I3309" s="47"/>
    </row>
    <row r="3310" spans="1:9" x14ac:dyDescent="0.25">
      <c r="A3310" s="11" t="s">
        <v>117</v>
      </c>
      <c r="B3310" s="51"/>
      <c r="C3310" s="51"/>
      <c r="D3310" s="51"/>
      <c r="E3310" s="52"/>
      <c r="F3310" s="53"/>
      <c r="G3310" s="14">
        <f>F3310*H3306</f>
        <v>0</v>
      </c>
      <c r="H3310" s="15"/>
      <c r="I3310" s="47"/>
    </row>
    <row r="3311" spans="1:9" hidden="1" x14ac:dyDescent="0.25">
      <c r="A3311" s="11"/>
      <c r="B3311" s="51"/>
      <c r="C3311" s="51"/>
      <c r="D3311" s="51"/>
      <c r="E3311" s="52"/>
      <c r="F3311" s="53"/>
      <c r="G3311" s="14">
        <f>F3311*H3306</f>
        <v>0</v>
      </c>
      <c r="H3311" s="15"/>
      <c r="I3311" s="47"/>
    </row>
    <row r="3312" spans="1:9" hidden="1" x14ac:dyDescent="0.25">
      <c r="A3312" s="11"/>
      <c r="B3312" s="51"/>
      <c r="C3312" s="51"/>
      <c r="D3312" s="51"/>
      <c r="E3312" s="52"/>
      <c r="F3312" s="53"/>
      <c r="G3312" s="14">
        <f>F3312*H3306</f>
        <v>0</v>
      </c>
      <c r="H3312" s="17"/>
      <c r="I3312" s="47"/>
    </row>
    <row r="3313" spans="1:9" x14ac:dyDescent="0.25">
      <c r="A3313" s="4"/>
      <c r="B3313" s="4"/>
      <c r="C3313" s="4"/>
      <c r="D3313" s="4"/>
      <c r="E3313" s="46" t="s">
        <v>118</v>
      </c>
      <c r="F3313" s="46"/>
      <c r="G3313" s="46"/>
      <c r="H3313" s="36">
        <f>SUM(G3310:G3312)</f>
        <v>0</v>
      </c>
      <c r="I3313" s="220"/>
    </row>
    <row r="3314" spans="1:9" ht="15.75" thickBot="1" x14ac:dyDescent="0.3">
      <c r="A3314" s="4"/>
      <c r="B3314" s="4"/>
      <c r="C3314" s="4"/>
      <c r="D3314" s="4"/>
      <c r="E3314" s="5"/>
      <c r="F3314" s="5"/>
      <c r="G3314" s="5"/>
      <c r="H3314" s="5"/>
      <c r="I3314" s="47"/>
    </row>
    <row r="3315" spans="1:9" ht="15.75" thickBot="1" x14ac:dyDescent="0.3">
      <c r="A3315" s="4"/>
      <c r="B3315" s="4"/>
      <c r="C3315" s="4"/>
      <c r="D3315" s="4"/>
      <c r="E3315" s="54"/>
      <c r="F3315" s="54" t="s">
        <v>119</v>
      </c>
      <c r="G3315" s="54"/>
      <c r="H3315" s="240">
        <f>SUM(H3313+H3306)</f>
        <v>8661438</v>
      </c>
      <c r="I3315" s="112"/>
    </row>
    <row r="3316" spans="1:9" x14ac:dyDescent="0.25">
      <c r="A3316" s="4"/>
      <c r="B3316" s="4"/>
      <c r="C3316" s="4"/>
      <c r="D3316" s="4"/>
      <c r="E3316" s="54"/>
      <c r="F3316" s="54"/>
      <c r="G3316" s="54"/>
      <c r="H3316" s="112"/>
      <c r="I3316" s="112"/>
    </row>
    <row r="3317" spans="1:9" x14ac:dyDescent="0.25">
      <c r="A3317" s="4"/>
      <c r="B3317" s="4"/>
      <c r="C3317" s="4"/>
      <c r="D3317" s="4"/>
      <c r="E3317" s="54"/>
      <c r="F3317" s="54"/>
      <c r="G3317" s="54"/>
      <c r="H3317" s="112"/>
      <c r="I3317" s="112"/>
    </row>
    <row r="3318" spans="1:9" x14ac:dyDescent="0.25">
      <c r="A3318" s="4"/>
      <c r="B3318" s="4"/>
      <c r="C3318" s="4"/>
      <c r="D3318" s="4"/>
      <c r="E3318" s="54"/>
      <c r="F3318" s="54"/>
      <c r="G3318" s="54"/>
      <c r="H3318" s="112"/>
      <c r="I3318" s="112"/>
    </row>
    <row r="3319" spans="1:9" x14ac:dyDescent="0.25">
      <c r="A3319" s="4"/>
      <c r="B3319" s="4"/>
      <c r="C3319" s="4"/>
      <c r="D3319" s="4"/>
      <c r="E3319" s="54"/>
      <c r="F3319" s="54"/>
      <c r="G3319" s="54"/>
      <c r="H3319" s="112"/>
      <c r="I3319" s="112"/>
    </row>
    <row r="3320" spans="1:9" x14ac:dyDescent="0.25">
      <c r="A3320" s="4"/>
      <c r="B3320" s="4"/>
      <c r="C3320" s="4"/>
      <c r="D3320" s="4"/>
      <c r="E3320" s="54"/>
      <c r="F3320" s="54"/>
      <c r="G3320" s="54"/>
      <c r="H3320" s="112"/>
      <c r="I3320" s="112"/>
    </row>
    <row r="3324" spans="1:9" x14ac:dyDescent="0.25">
      <c r="A3324" s="412" t="s">
        <v>79</v>
      </c>
      <c r="B3324" s="412"/>
      <c r="C3324" s="412"/>
      <c r="D3324" s="412"/>
      <c r="E3324" s="412"/>
      <c r="F3324" s="412"/>
      <c r="G3324" s="412"/>
      <c r="H3324" s="412"/>
      <c r="I3324" s="250"/>
    </row>
    <row r="3325" spans="1:9" x14ac:dyDescent="0.25">
      <c r="A3325" s="4"/>
      <c r="B3325" s="4"/>
      <c r="C3325" s="4"/>
      <c r="D3325" s="4"/>
      <c r="E3325" s="5"/>
      <c r="F3325" s="5"/>
      <c r="G3325" s="411" t="s">
        <v>326</v>
      </c>
      <c r="H3325" s="411"/>
      <c r="I3325" s="251"/>
    </row>
    <row r="3326" spans="1:9" ht="46.15" customHeight="1" x14ac:dyDescent="0.25">
      <c r="A3326" s="468" t="s">
        <v>301</v>
      </c>
      <c r="B3326" s="468"/>
      <c r="C3326" s="468"/>
      <c r="D3326" s="468"/>
      <c r="E3326" s="468"/>
      <c r="F3326" s="468"/>
      <c r="G3326" s="468"/>
      <c r="H3326" s="468"/>
      <c r="I3326" s="256"/>
    </row>
    <row r="3327" spans="1:9" x14ac:dyDescent="0.25">
      <c r="A3327" s="4"/>
      <c r="B3327" s="4"/>
      <c r="C3327" s="4"/>
      <c r="D3327" s="4"/>
      <c r="E3327" s="5"/>
      <c r="F3327" s="5"/>
      <c r="G3327" s="414" t="s">
        <v>302</v>
      </c>
      <c r="H3327" s="414"/>
      <c r="I3327" s="253"/>
    </row>
    <row r="3328" spans="1:9" x14ac:dyDescent="0.25">
      <c r="A3328" s="4" t="s">
        <v>82</v>
      </c>
      <c r="B3328" s="4"/>
      <c r="C3328" s="4"/>
      <c r="D3328" s="4"/>
      <c r="E3328" s="5"/>
      <c r="F3328" s="5"/>
      <c r="G3328" s="5"/>
      <c r="H3328" s="5"/>
      <c r="I3328" s="47"/>
    </row>
    <row r="3329" spans="1:9" x14ac:dyDescent="0.25">
      <c r="A3329" s="6" t="s">
        <v>0</v>
      </c>
      <c r="B3329" s="7"/>
      <c r="C3329" s="8" t="s">
        <v>83</v>
      </c>
      <c r="D3329" s="8" t="s">
        <v>84</v>
      </c>
      <c r="E3329" s="9" t="s">
        <v>85</v>
      </c>
      <c r="F3329" s="9" t="s">
        <v>86</v>
      </c>
      <c r="G3329" s="9" t="s">
        <v>87</v>
      </c>
      <c r="H3329" s="10"/>
      <c r="I3329" s="47"/>
    </row>
    <row r="3330" spans="1:9" x14ac:dyDescent="0.25">
      <c r="A3330" s="11" t="s">
        <v>88</v>
      </c>
      <c r="B3330" s="12"/>
      <c r="C3330" s="13"/>
      <c r="D3330" s="13"/>
      <c r="E3330" s="14"/>
      <c r="F3330" s="14"/>
      <c r="G3330" s="14">
        <f>ROUND(H3355*0.05,0)+8-16</f>
        <v>3755</v>
      </c>
      <c r="H3330" s="15"/>
      <c r="I3330" s="47"/>
    </row>
    <row r="3331" spans="1:9" x14ac:dyDescent="0.25">
      <c r="A3331" s="11" t="s">
        <v>172</v>
      </c>
      <c r="B3331" s="12"/>
      <c r="C3331" s="13"/>
      <c r="D3331" s="13"/>
      <c r="E3331" s="14"/>
      <c r="F3331" s="14"/>
      <c r="G3331" s="14">
        <f>ROUND(E3331*F3331,0)</f>
        <v>0</v>
      </c>
      <c r="H3331" s="15"/>
      <c r="I3331" s="47"/>
    </row>
    <row r="3332" spans="1:9" x14ac:dyDescent="0.25">
      <c r="A3332" s="11" t="s">
        <v>327</v>
      </c>
      <c r="B3332" s="12"/>
      <c r="C3332" s="13"/>
      <c r="D3332" s="13"/>
      <c r="E3332" s="14">
        <v>350000</v>
      </c>
      <c r="F3332" s="16">
        <v>0.2</v>
      </c>
      <c r="G3332" s="14">
        <f>ROUND(E3332*F3332,0)</f>
        <v>70000</v>
      </c>
      <c r="H3332" s="15"/>
      <c r="I3332" s="47"/>
    </row>
    <row r="3333" spans="1:9" x14ac:dyDescent="0.25">
      <c r="A3333" s="11" t="s">
        <v>328</v>
      </c>
      <c r="B3333" s="12"/>
      <c r="C3333" s="13"/>
      <c r="D3333" s="13"/>
      <c r="E3333" s="14">
        <v>50000</v>
      </c>
      <c r="F3333" s="14">
        <v>1</v>
      </c>
      <c r="G3333" s="14">
        <f>ROUND(E3333*F3333,0)</f>
        <v>50000</v>
      </c>
      <c r="H3333" s="17"/>
      <c r="I3333" s="47"/>
    </row>
    <row r="3334" spans="1:9" x14ac:dyDescent="0.25">
      <c r="A3334" s="18"/>
      <c r="B3334" s="19"/>
      <c r="C3334" s="19"/>
      <c r="D3334" s="19"/>
      <c r="E3334" s="20"/>
      <c r="F3334" s="21" t="s">
        <v>90</v>
      </c>
      <c r="G3334" s="22"/>
      <c r="H3334" s="23">
        <f>SUM(G3330:G3333)</f>
        <v>123755</v>
      </c>
      <c r="I3334" s="220"/>
    </row>
    <row r="3335" spans="1:9" x14ac:dyDescent="0.25">
      <c r="A3335" s="291" t="s">
        <v>91</v>
      </c>
      <c r="B3335" s="228"/>
      <c r="C3335" s="228"/>
      <c r="D3335" s="228"/>
      <c r="E3335" s="47"/>
      <c r="F3335" s="47"/>
      <c r="G3335" s="47"/>
      <c r="H3335" s="233"/>
      <c r="I3335" s="47"/>
    </row>
    <row r="3336" spans="1:9" x14ac:dyDescent="0.25">
      <c r="A3336" s="24" t="s">
        <v>0</v>
      </c>
      <c r="B3336" s="24"/>
      <c r="C3336" s="8" t="s">
        <v>92</v>
      </c>
      <c r="D3336" s="8" t="s">
        <v>93</v>
      </c>
      <c r="E3336" s="9" t="s">
        <v>94</v>
      </c>
      <c r="F3336" s="9" t="s">
        <v>95</v>
      </c>
      <c r="G3336" s="25" t="s">
        <v>96</v>
      </c>
      <c r="H3336" s="10"/>
      <c r="I3336" s="47"/>
    </row>
    <row r="3337" spans="1:9" s="79" customFormat="1" x14ac:dyDescent="0.25">
      <c r="A3337" s="476" t="s">
        <v>303</v>
      </c>
      <c r="B3337" s="477"/>
      <c r="C3337" s="84" t="s">
        <v>1</v>
      </c>
      <c r="D3337" s="34"/>
      <c r="E3337" s="77">
        <v>1</v>
      </c>
      <c r="F3337" s="77">
        <v>35000</v>
      </c>
      <c r="G3337" s="74">
        <f>ROUND(E3337*F3337,0)</f>
        <v>35000</v>
      </c>
      <c r="H3337" s="78"/>
      <c r="I3337" s="227"/>
    </row>
    <row r="3338" spans="1:9" x14ac:dyDescent="0.25">
      <c r="A3338" s="476" t="s">
        <v>304</v>
      </c>
      <c r="B3338" s="477"/>
      <c r="C3338" s="84" t="s">
        <v>307</v>
      </c>
      <c r="D3338" s="80"/>
      <c r="E3338" s="77">
        <v>3</v>
      </c>
      <c r="F3338" s="77">
        <v>42000</v>
      </c>
      <c r="G3338" s="74">
        <f t="shared" ref="G3338:G3346" si="92">ROUND(E3338*F3338,0)</f>
        <v>126000</v>
      </c>
      <c r="H3338" s="15"/>
      <c r="I3338" s="47"/>
    </row>
    <row r="3339" spans="1:9" x14ac:dyDescent="0.25">
      <c r="A3339" s="476" t="s">
        <v>305</v>
      </c>
      <c r="B3339" s="477"/>
      <c r="C3339" s="84" t="s">
        <v>308</v>
      </c>
      <c r="D3339" s="80"/>
      <c r="E3339" s="77">
        <v>2</v>
      </c>
      <c r="F3339" s="77">
        <v>10000</v>
      </c>
      <c r="G3339" s="74">
        <f t="shared" si="92"/>
        <v>20000</v>
      </c>
      <c r="H3339" s="15"/>
      <c r="I3339" s="47"/>
    </row>
    <row r="3340" spans="1:9" ht="22.9" customHeight="1" x14ac:dyDescent="0.25">
      <c r="A3340" s="417" t="s">
        <v>306</v>
      </c>
      <c r="B3340" s="418"/>
      <c r="C3340" s="84" t="s">
        <v>8</v>
      </c>
      <c r="D3340" s="85"/>
      <c r="E3340" s="86">
        <v>1</v>
      </c>
      <c r="F3340" s="86">
        <v>20000</v>
      </c>
      <c r="G3340" s="87">
        <f t="shared" si="92"/>
        <v>20000</v>
      </c>
      <c r="H3340" s="15"/>
      <c r="I3340" s="47"/>
    </row>
    <row r="3341" spans="1:9" s="72" customFormat="1" ht="29.45" hidden="1" customHeight="1" x14ac:dyDescent="0.25">
      <c r="A3341" s="417"/>
      <c r="B3341" s="418"/>
      <c r="C3341" s="84"/>
      <c r="D3341" s="85"/>
      <c r="E3341" s="86"/>
      <c r="F3341" s="87"/>
      <c r="G3341" s="87">
        <f t="shared" si="92"/>
        <v>0</v>
      </c>
      <c r="H3341" s="71"/>
      <c r="I3341" s="226"/>
    </row>
    <row r="3342" spans="1:9" s="79" customFormat="1" hidden="1" x14ac:dyDescent="0.25">
      <c r="A3342" s="81"/>
      <c r="B3342" s="12"/>
      <c r="C3342" s="35"/>
      <c r="D3342" s="31"/>
      <c r="E3342" s="30"/>
      <c r="F3342" s="74"/>
      <c r="G3342" s="74">
        <f t="shared" si="92"/>
        <v>0</v>
      </c>
      <c r="H3342" s="78"/>
      <c r="I3342" s="227"/>
    </row>
    <row r="3343" spans="1:9" s="79" customFormat="1" hidden="1" x14ac:dyDescent="0.25">
      <c r="A3343" s="185"/>
      <c r="B3343" s="186"/>
      <c r="C3343" s="35"/>
      <c r="D3343" s="80"/>
      <c r="E3343" s="77"/>
      <c r="F3343" s="74"/>
      <c r="G3343" s="74">
        <f t="shared" si="92"/>
        <v>0</v>
      </c>
      <c r="H3343" s="78"/>
      <c r="I3343" s="227"/>
    </row>
    <row r="3344" spans="1:9" hidden="1" x14ac:dyDescent="0.25">
      <c r="A3344" s="11"/>
      <c r="B3344" s="12"/>
      <c r="C3344" s="35"/>
      <c r="D3344" s="34"/>
      <c r="E3344" s="30"/>
      <c r="F3344" s="14"/>
      <c r="G3344" s="74">
        <f t="shared" si="92"/>
        <v>0</v>
      </c>
      <c r="H3344" s="15"/>
      <c r="I3344" s="47"/>
    </row>
    <row r="3345" spans="1:9" hidden="1" x14ac:dyDescent="0.25">
      <c r="A3345" s="11"/>
      <c r="B3345" s="12"/>
      <c r="C3345" s="35"/>
      <c r="D3345" s="31"/>
      <c r="E3345" s="30"/>
      <c r="F3345" s="14"/>
      <c r="G3345" s="74">
        <f t="shared" si="92"/>
        <v>0</v>
      </c>
      <c r="H3345" s="15"/>
      <c r="I3345" s="47"/>
    </row>
    <row r="3346" spans="1:9" x14ac:dyDescent="0.25">
      <c r="A3346" s="11"/>
      <c r="B3346" s="12"/>
      <c r="C3346" s="35"/>
      <c r="D3346" s="31"/>
      <c r="E3346" s="30"/>
      <c r="F3346" s="14"/>
      <c r="G3346" s="74">
        <f t="shared" si="92"/>
        <v>0</v>
      </c>
      <c r="H3346" s="17"/>
      <c r="I3346" s="47"/>
    </row>
    <row r="3347" spans="1:9" x14ac:dyDescent="0.25">
      <c r="A3347" s="291"/>
      <c r="B3347" s="228"/>
      <c r="C3347" s="228"/>
      <c r="D3347" s="228"/>
      <c r="E3347" s="36"/>
      <c r="F3347" s="37" t="s">
        <v>102</v>
      </c>
      <c r="G3347" s="38"/>
      <c r="H3347" s="23">
        <f>SUM(G3337:G3346)</f>
        <v>201000</v>
      </c>
      <c r="I3347" s="220"/>
    </row>
    <row r="3348" spans="1:9" x14ac:dyDescent="0.25">
      <c r="A3348" s="291"/>
      <c r="B3348" s="228"/>
      <c r="C3348" s="228"/>
      <c r="D3348" s="228"/>
      <c r="E3348" s="36"/>
      <c r="F3348" s="39" t="s">
        <v>103</v>
      </c>
      <c r="G3348" s="38"/>
      <c r="H3348" s="23">
        <f>ROUND((D3337*G3337)+(D3338*G3338)+(D3339*G3339)+(D3341*G3341)+(D3342*G3342)+(D3343*G3343)+(D3344*G3344)+(D3345*G3345)+(D3346*G3346),0)</f>
        <v>0</v>
      </c>
      <c r="I3348" s="220"/>
    </row>
    <row r="3349" spans="1:9" x14ac:dyDescent="0.25">
      <c r="A3349" s="291"/>
      <c r="B3349" s="228"/>
      <c r="C3349" s="228"/>
      <c r="D3349" s="228"/>
      <c r="E3349" s="36"/>
      <c r="F3349" s="20" t="s">
        <v>104</v>
      </c>
      <c r="G3349" s="40"/>
      <c r="H3349" s="23">
        <f>SUM(H3347:H3348)</f>
        <v>201000</v>
      </c>
      <c r="I3349" s="220"/>
    </row>
    <row r="3350" spans="1:9" x14ac:dyDescent="0.25">
      <c r="A3350" s="291" t="s">
        <v>105</v>
      </c>
      <c r="B3350" s="228"/>
      <c r="C3350" s="228"/>
      <c r="D3350" s="228"/>
      <c r="E3350" s="47"/>
      <c r="F3350" s="47"/>
      <c r="G3350" s="47"/>
      <c r="H3350" s="233"/>
      <c r="I3350" s="47"/>
    </row>
    <row r="3351" spans="1:9" x14ac:dyDescent="0.25">
      <c r="A3351" s="24" t="s">
        <v>0</v>
      </c>
      <c r="B3351" s="24"/>
      <c r="C3351" s="8" t="s">
        <v>106</v>
      </c>
      <c r="D3351" s="8" t="s">
        <v>107</v>
      </c>
      <c r="E3351" s="9" t="s">
        <v>108</v>
      </c>
      <c r="F3351" s="9" t="s">
        <v>109</v>
      </c>
      <c r="G3351" s="41" t="s">
        <v>96</v>
      </c>
      <c r="H3351" s="10"/>
      <c r="I3351" s="47"/>
    </row>
    <row r="3352" spans="1:9" x14ac:dyDescent="0.25">
      <c r="A3352" s="76" t="s">
        <v>110</v>
      </c>
      <c r="B3352" s="42"/>
      <c r="C3352" s="13">
        <f>104000+26000</f>
        <v>130000</v>
      </c>
      <c r="D3352" s="13">
        <f>+C3352*0.16</f>
        <v>20800</v>
      </c>
      <c r="E3352" s="14">
        <f>C3352+D3352</f>
        <v>150800</v>
      </c>
      <c r="F3352" s="30">
        <v>0.3</v>
      </c>
      <c r="G3352" s="14">
        <f>ROUND(E3352*F3352,0)</f>
        <v>45240</v>
      </c>
      <c r="H3352" s="15"/>
      <c r="I3352" s="47"/>
    </row>
    <row r="3353" spans="1:9" x14ac:dyDescent="0.25">
      <c r="A3353" s="76" t="s">
        <v>111</v>
      </c>
      <c r="B3353" s="42"/>
      <c r="C3353" s="13">
        <f>60400+25850</f>
        <v>86250</v>
      </c>
      <c r="D3353" s="13">
        <f>+C3353*0.16</f>
        <v>13800</v>
      </c>
      <c r="E3353" s="14">
        <f>C3353+D3353</f>
        <v>100050</v>
      </c>
      <c r="F3353" s="30">
        <v>0.3</v>
      </c>
      <c r="G3353" s="14">
        <f>ROUND(E3353*F3353,0)</f>
        <v>30015</v>
      </c>
      <c r="H3353" s="15"/>
      <c r="I3353" s="47"/>
    </row>
    <row r="3354" spans="1:9" x14ac:dyDescent="0.25">
      <c r="A3354" s="18"/>
      <c r="B3354" s="42"/>
      <c r="C3354" s="43"/>
      <c r="D3354" s="43"/>
      <c r="E3354" s="44">
        <f>C3354+D3354</f>
        <v>0</v>
      </c>
      <c r="F3354" s="45"/>
      <c r="G3354" s="14">
        <f>ROUND(E3354*F3354,0)</f>
        <v>0</v>
      </c>
      <c r="H3354" s="15"/>
      <c r="I3354" s="47"/>
    </row>
    <row r="3355" spans="1:9" x14ac:dyDescent="0.25">
      <c r="A3355" s="291"/>
      <c r="B3355" s="228"/>
      <c r="C3355" s="228"/>
      <c r="D3355" s="228"/>
      <c r="E3355" s="277" t="s">
        <v>112</v>
      </c>
      <c r="F3355" s="277"/>
      <c r="G3355" s="277"/>
      <c r="H3355" s="82">
        <f>SUM(G3352:G3354)</f>
        <v>75255</v>
      </c>
      <c r="I3355" s="221"/>
    </row>
    <row r="3356" spans="1:9" x14ac:dyDescent="0.25">
      <c r="A3356" s="291"/>
      <c r="B3356" s="228"/>
      <c r="C3356" s="228"/>
      <c r="D3356" s="228"/>
      <c r="E3356" s="47"/>
      <c r="F3356" s="47"/>
      <c r="G3356" s="47"/>
      <c r="H3356" s="233"/>
      <c r="I3356" s="47"/>
    </row>
    <row r="3357" spans="1:9" x14ac:dyDescent="0.25">
      <c r="A3357" s="18"/>
      <c r="B3357" s="19"/>
      <c r="C3357" s="19"/>
      <c r="D3357" s="19"/>
      <c r="E3357" s="48" t="s">
        <v>113</v>
      </c>
      <c r="F3357" s="48"/>
      <c r="G3357" s="48"/>
      <c r="H3357" s="25">
        <f>H3355+H3349+H3334</f>
        <v>400010</v>
      </c>
      <c r="I3357" s="222"/>
    </row>
    <row r="3358" spans="1:9" x14ac:dyDescent="0.25">
      <c r="A3358" s="291"/>
      <c r="B3358" s="228"/>
      <c r="C3358" s="228"/>
      <c r="D3358" s="228"/>
      <c r="E3358" s="47"/>
      <c r="F3358" s="47"/>
      <c r="G3358" s="47"/>
      <c r="H3358" s="233"/>
      <c r="I3358" s="47"/>
    </row>
    <row r="3359" spans="1:9" x14ac:dyDescent="0.25">
      <c r="A3359" s="291" t="s">
        <v>114</v>
      </c>
      <c r="B3359" s="228"/>
      <c r="C3359" s="228"/>
      <c r="D3359" s="228"/>
      <c r="E3359" s="47"/>
      <c r="F3359" s="47"/>
      <c r="G3359" s="47"/>
      <c r="H3359" s="233"/>
      <c r="I3359" s="47"/>
    </row>
    <row r="3360" spans="1:9" x14ac:dyDescent="0.25">
      <c r="A3360" s="6" t="s">
        <v>0</v>
      </c>
      <c r="B3360" s="49"/>
      <c r="C3360" s="49"/>
      <c r="D3360" s="49"/>
      <c r="E3360" s="50"/>
      <c r="F3360" s="9" t="s">
        <v>115</v>
      </c>
      <c r="G3360" s="41" t="s">
        <v>116</v>
      </c>
      <c r="H3360" s="10"/>
      <c r="I3360" s="47"/>
    </row>
    <row r="3361" spans="1:9" x14ac:dyDescent="0.25">
      <c r="A3361" s="11" t="s">
        <v>117</v>
      </c>
      <c r="B3361" s="51"/>
      <c r="C3361" s="51"/>
      <c r="D3361" s="51"/>
      <c r="E3361" s="52"/>
      <c r="F3361" s="53"/>
      <c r="G3361" s="14">
        <f>F3361*H3357</f>
        <v>0</v>
      </c>
      <c r="H3361" s="15"/>
      <c r="I3361" s="47"/>
    </row>
    <row r="3362" spans="1:9" x14ac:dyDescent="0.25">
      <c r="A3362" s="11"/>
      <c r="B3362" s="51"/>
      <c r="C3362" s="51"/>
      <c r="D3362" s="51"/>
      <c r="E3362" s="52"/>
      <c r="F3362" s="53"/>
      <c r="G3362" s="14">
        <f>F3362*H3357</f>
        <v>0</v>
      </c>
      <c r="H3362" s="15"/>
      <c r="I3362" s="47"/>
    </row>
    <row r="3363" spans="1:9" x14ac:dyDescent="0.25">
      <c r="A3363" s="11"/>
      <c r="B3363" s="51"/>
      <c r="C3363" s="51"/>
      <c r="D3363" s="51"/>
      <c r="E3363" s="52"/>
      <c r="F3363" s="53"/>
      <c r="G3363" s="14">
        <f>F3363*H3357</f>
        <v>0</v>
      </c>
      <c r="H3363" s="17"/>
      <c r="I3363" s="47"/>
    </row>
    <row r="3364" spans="1:9" x14ac:dyDescent="0.25">
      <c r="A3364" s="4"/>
      <c r="B3364" s="4"/>
      <c r="C3364" s="4"/>
      <c r="D3364" s="4"/>
      <c r="E3364" s="46" t="s">
        <v>118</v>
      </c>
      <c r="F3364" s="46"/>
      <c r="G3364" s="46"/>
      <c r="H3364" s="36">
        <f>SUM(G3361:G3363)</f>
        <v>0</v>
      </c>
      <c r="I3364" s="220"/>
    </row>
    <row r="3365" spans="1:9" ht="15.75" thickBot="1" x14ac:dyDescent="0.3">
      <c r="A3365" s="4"/>
      <c r="B3365" s="4"/>
      <c r="C3365" s="4"/>
      <c r="D3365" s="4"/>
      <c r="E3365" s="5"/>
      <c r="F3365" s="5"/>
      <c r="G3365" s="5"/>
      <c r="H3365" s="5"/>
      <c r="I3365" s="47"/>
    </row>
    <row r="3366" spans="1:9" ht="15.75" thickBot="1" x14ac:dyDescent="0.3">
      <c r="A3366" s="4"/>
      <c r="B3366" s="4"/>
      <c r="C3366" s="4"/>
      <c r="D3366" s="4"/>
      <c r="E3366" s="54"/>
      <c r="F3366" s="54" t="s">
        <v>119</v>
      </c>
      <c r="G3366" s="54"/>
      <c r="H3366" s="240">
        <f>SUM(H3364+H3357)</f>
        <v>400010</v>
      </c>
      <c r="I3366" s="112"/>
    </row>
    <row r="3367" spans="1:9" x14ac:dyDescent="0.25">
      <c r="A3367" s="4"/>
      <c r="B3367" s="4"/>
      <c r="C3367" s="4"/>
      <c r="D3367" s="4"/>
      <c r="E3367" s="54"/>
      <c r="F3367" s="54"/>
      <c r="G3367" s="54"/>
      <c r="H3367" s="112"/>
      <c r="I3367" s="112"/>
    </row>
    <row r="3368" spans="1:9" x14ac:dyDescent="0.25">
      <c r="A3368" s="4"/>
      <c r="B3368" s="4"/>
      <c r="C3368" s="4"/>
      <c r="D3368" s="4"/>
      <c r="E3368" s="54"/>
      <c r="F3368" s="54"/>
      <c r="G3368" s="54"/>
      <c r="H3368" s="112"/>
      <c r="I3368" s="112"/>
    </row>
    <row r="3369" spans="1:9" x14ac:dyDescent="0.25">
      <c r="A3369" s="4"/>
      <c r="B3369" s="4"/>
      <c r="C3369" s="4"/>
      <c r="D3369" s="4"/>
      <c r="E3369" s="54"/>
      <c r="F3369" s="54"/>
      <c r="G3369" s="54"/>
      <c r="H3369" s="112"/>
      <c r="I3369" s="112"/>
    </row>
    <row r="3370" spans="1:9" x14ac:dyDescent="0.25">
      <c r="A3370" s="4"/>
      <c r="B3370" s="4"/>
      <c r="C3370" s="4"/>
      <c r="D3370" s="4"/>
      <c r="E3370" s="54"/>
      <c r="F3370" s="54"/>
      <c r="G3370" s="54"/>
      <c r="H3370" s="112"/>
      <c r="I3370" s="112"/>
    </row>
    <row r="3373" spans="1:9" x14ac:dyDescent="0.25">
      <c r="A3373" s="412" t="s">
        <v>79</v>
      </c>
      <c r="B3373" s="412"/>
      <c r="C3373" s="412"/>
      <c r="D3373" s="412"/>
      <c r="E3373" s="412"/>
      <c r="F3373" s="412"/>
      <c r="G3373" s="412"/>
      <c r="H3373" s="412"/>
      <c r="I3373" s="250"/>
    </row>
    <row r="3374" spans="1:9" x14ac:dyDescent="0.25">
      <c r="A3374" s="4"/>
      <c r="B3374" s="4"/>
      <c r="C3374" s="4"/>
      <c r="D3374" s="4"/>
      <c r="E3374" s="5"/>
      <c r="F3374" s="5"/>
      <c r="G3374" s="411" t="s">
        <v>326</v>
      </c>
      <c r="H3374" s="411"/>
      <c r="I3374" s="251"/>
    </row>
    <row r="3375" spans="1:9" ht="46.15" customHeight="1" x14ac:dyDescent="0.25">
      <c r="A3375" s="468" t="s">
        <v>310</v>
      </c>
      <c r="B3375" s="468"/>
      <c r="C3375" s="468"/>
      <c r="D3375" s="468"/>
      <c r="E3375" s="468"/>
      <c r="F3375" s="468"/>
      <c r="G3375" s="468"/>
      <c r="H3375" s="468"/>
      <c r="I3375" s="256"/>
    </row>
    <row r="3376" spans="1:9" x14ac:dyDescent="0.25">
      <c r="A3376" s="4"/>
      <c r="B3376" s="4"/>
      <c r="C3376" s="4"/>
      <c r="D3376" s="4"/>
      <c r="E3376" s="5"/>
      <c r="F3376" s="5"/>
      <c r="G3376" s="414" t="s">
        <v>302</v>
      </c>
      <c r="H3376" s="414"/>
      <c r="I3376" s="253"/>
    </row>
    <row r="3377" spans="1:9" x14ac:dyDescent="0.25">
      <c r="A3377" s="4" t="s">
        <v>82</v>
      </c>
      <c r="B3377" s="4"/>
      <c r="C3377" s="4"/>
      <c r="D3377" s="4"/>
      <c r="E3377" s="5"/>
      <c r="F3377" s="5"/>
      <c r="G3377" s="5"/>
      <c r="H3377" s="5"/>
      <c r="I3377" s="47"/>
    </row>
    <row r="3378" spans="1:9" x14ac:dyDescent="0.25">
      <c r="A3378" s="6" t="s">
        <v>0</v>
      </c>
      <c r="B3378" s="7"/>
      <c r="C3378" s="8" t="s">
        <v>83</v>
      </c>
      <c r="D3378" s="8" t="s">
        <v>84</v>
      </c>
      <c r="E3378" s="9" t="s">
        <v>85</v>
      </c>
      <c r="F3378" s="9" t="s">
        <v>86</v>
      </c>
      <c r="G3378" s="9" t="s">
        <v>87</v>
      </c>
      <c r="H3378" s="10"/>
      <c r="I3378" s="47"/>
    </row>
    <row r="3379" spans="1:9" x14ac:dyDescent="0.25">
      <c r="A3379" s="11" t="s">
        <v>88</v>
      </c>
      <c r="B3379" s="12"/>
      <c r="C3379" s="13"/>
      <c r="D3379" s="13"/>
      <c r="E3379" s="14"/>
      <c r="F3379" s="14"/>
      <c r="G3379" s="14">
        <f>ROUND(H3404*0.05,0)+8-16</f>
        <v>3755</v>
      </c>
      <c r="H3379" s="15"/>
      <c r="I3379" s="47"/>
    </row>
    <row r="3380" spans="1:9" x14ac:dyDescent="0.25">
      <c r="A3380" s="11" t="s">
        <v>172</v>
      </c>
      <c r="B3380" s="12"/>
      <c r="C3380" s="13"/>
      <c r="D3380" s="13"/>
      <c r="E3380" s="14"/>
      <c r="F3380" s="14"/>
      <c r="G3380" s="14">
        <f>ROUND(E3380*F3380,0)</f>
        <v>0</v>
      </c>
      <c r="H3380" s="15"/>
      <c r="I3380" s="47"/>
    </row>
    <row r="3381" spans="1:9" x14ac:dyDescent="0.25">
      <c r="A3381" s="11" t="s">
        <v>327</v>
      </c>
      <c r="B3381" s="12"/>
      <c r="C3381" s="13"/>
      <c r="D3381" s="13"/>
      <c r="E3381" s="14">
        <v>350000</v>
      </c>
      <c r="F3381" s="16">
        <v>0.2</v>
      </c>
      <c r="G3381" s="14">
        <f>ROUND(E3381*F3381,0)</f>
        <v>70000</v>
      </c>
      <c r="H3381" s="15"/>
      <c r="I3381" s="47"/>
    </row>
    <row r="3382" spans="1:9" x14ac:dyDescent="0.25">
      <c r="A3382" s="11" t="s">
        <v>328</v>
      </c>
      <c r="B3382" s="12"/>
      <c r="C3382" s="13"/>
      <c r="D3382" s="13"/>
      <c r="E3382" s="14">
        <v>50000</v>
      </c>
      <c r="F3382" s="14">
        <v>1</v>
      </c>
      <c r="G3382" s="14">
        <f>ROUND(E3382*F3382,0)</f>
        <v>50000</v>
      </c>
      <c r="H3382" s="17"/>
      <c r="I3382" s="47"/>
    </row>
    <row r="3383" spans="1:9" x14ac:dyDescent="0.25">
      <c r="A3383" s="18"/>
      <c r="B3383" s="19"/>
      <c r="C3383" s="19"/>
      <c r="D3383" s="19"/>
      <c r="E3383" s="20"/>
      <c r="F3383" s="21" t="s">
        <v>90</v>
      </c>
      <c r="G3383" s="22"/>
      <c r="H3383" s="23">
        <f>SUM(G3379:G3382)</f>
        <v>123755</v>
      </c>
      <c r="I3383" s="220"/>
    </row>
    <row r="3384" spans="1:9" x14ac:dyDescent="0.25">
      <c r="A3384" s="291" t="s">
        <v>91</v>
      </c>
      <c r="B3384" s="228"/>
      <c r="C3384" s="228"/>
      <c r="D3384" s="228"/>
      <c r="E3384" s="47"/>
      <c r="F3384" s="47"/>
      <c r="G3384" s="47"/>
      <c r="H3384" s="233"/>
      <c r="I3384" s="47"/>
    </row>
    <row r="3385" spans="1:9" x14ac:dyDescent="0.25">
      <c r="A3385" s="24" t="s">
        <v>0</v>
      </c>
      <c r="B3385" s="24"/>
      <c r="C3385" s="8" t="s">
        <v>92</v>
      </c>
      <c r="D3385" s="8" t="s">
        <v>93</v>
      </c>
      <c r="E3385" s="9" t="s">
        <v>94</v>
      </c>
      <c r="F3385" s="9" t="s">
        <v>95</v>
      </c>
      <c r="G3385" s="25" t="s">
        <v>96</v>
      </c>
      <c r="H3385" s="10"/>
      <c r="I3385" s="47"/>
    </row>
    <row r="3386" spans="1:9" s="79" customFormat="1" x14ac:dyDescent="0.25">
      <c r="A3386" s="476" t="s">
        <v>309</v>
      </c>
      <c r="B3386" s="477"/>
      <c r="C3386" s="84" t="s">
        <v>1</v>
      </c>
      <c r="D3386" s="34"/>
      <c r="E3386" s="77">
        <v>1</v>
      </c>
      <c r="F3386" s="77">
        <v>85000</v>
      </c>
      <c r="G3386" s="74">
        <f>ROUND(E3386*F3386,0)</f>
        <v>85000</v>
      </c>
      <c r="H3386" s="78"/>
      <c r="I3386" s="227"/>
    </row>
    <row r="3387" spans="1:9" x14ac:dyDescent="0.25">
      <c r="A3387" s="476" t="s">
        <v>304</v>
      </c>
      <c r="B3387" s="477"/>
      <c r="C3387" s="84" t="s">
        <v>307</v>
      </c>
      <c r="D3387" s="80"/>
      <c r="E3387" s="77">
        <v>3</v>
      </c>
      <c r="F3387" s="77">
        <v>42000</v>
      </c>
      <c r="G3387" s="74">
        <f t="shared" ref="G3387:G3395" si="93">ROUND(E3387*F3387,0)</f>
        <v>126000</v>
      </c>
      <c r="H3387" s="15"/>
      <c r="I3387" s="47"/>
    </row>
    <row r="3388" spans="1:9" x14ac:dyDescent="0.25">
      <c r="A3388" s="476" t="s">
        <v>305</v>
      </c>
      <c r="B3388" s="477"/>
      <c r="C3388" s="84" t="s">
        <v>308</v>
      </c>
      <c r="D3388" s="80"/>
      <c r="E3388" s="77">
        <v>2</v>
      </c>
      <c r="F3388" s="77">
        <v>10000</v>
      </c>
      <c r="G3388" s="74">
        <f t="shared" si="93"/>
        <v>20000</v>
      </c>
      <c r="H3388" s="15"/>
      <c r="I3388" s="47"/>
    </row>
    <row r="3389" spans="1:9" ht="22.9" customHeight="1" x14ac:dyDescent="0.25">
      <c r="A3389" s="417" t="s">
        <v>306</v>
      </c>
      <c r="B3389" s="418"/>
      <c r="C3389" s="84" t="s">
        <v>8</v>
      </c>
      <c r="D3389" s="85"/>
      <c r="E3389" s="86">
        <v>1</v>
      </c>
      <c r="F3389" s="86">
        <v>20000</v>
      </c>
      <c r="G3389" s="87">
        <f t="shared" si="93"/>
        <v>20000</v>
      </c>
      <c r="H3389" s="15"/>
      <c r="I3389" s="47"/>
    </row>
    <row r="3390" spans="1:9" s="72" customFormat="1" ht="29.45" hidden="1" customHeight="1" x14ac:dyDescent="0.25">
      <c r="A3390" s="417"/>
      <c r="B3390" s="418"/>
      <c r="C3390" s="84"/>
      <c r="D3390" s="85"/>
      <c r="E3390" s="86"/>
      <c r="F3390" s="87"/>
      <c r="G3390" s="87">
        <f t="shared" si="93"/>
        <v>0</v>
      </c>
      <c r="H3390" s="71"/>
      <c r="I3390" s="226"/>
    </row>
    <row r="3391" spans="1:9" s="79" customFormat="1" hidden="1" x14ac:dyDescent="0.25">
      <c r="A3391" s="81"/>
      <c r="B3391" s="12"/>
      <c r="C3391" s="35"/>
      <c r="D3391" s="31"/>
      <c r="E3391" s="30"/>
      <c r="F3391" s="74"/>
      <c r="G3391" s="74">
        <f t="shared" si="93"/>
        <v>0</v>
      </c>
      <c r="H3391" s="78"/>
      <c r="I3391" s="227"/>
    </row>
    <row r="3392" spans="1:9" s="79" customFormat="1" hidden="1" x14ac:dyDescent="0.25">
      <c r="A3392" s="185"/>
      <c r="B3392" s="186"/>
      <c r="C3392" s="35"/>
      <c r="D3392" s="80"/>
      <c r="E3392" s="77"/>
      <c r="F3392" s="74"/>
      <c r="G3392" s="74">
        <f t="shared" si="93"/>
        <v>0</v>
      </c>
      <c r="H3392" s="78"/>
      <c r="I3392" s="227"/>
    </row>
    <row r="3393" spans="1:9" hidden="1" x14ac:dyDescent="0.25">
      <c r="A3393" s="11"/>
      <c r="B3393" s="12"/>
      <c r="C3393" s="35"/>
      <c r="D3393" s="34"/>
      <c r="E3393" s="30"/>
      <c r="F3393" s="14"/>
      <c r="G3393" s="74">
        <f t="shared" si="93"/>
        <v>0</v>
      </c>
      <c r="H3393" s="15"/>
      <c r="I3393" s="47"/>
    </row>
    <row r="3394" spans="1:9" hidden="1" x14ac:dyDescent="0.25">
      <c r="A3394" s="11"/>
      <c r="B3394" s="12"/>
      <c r="C3394" s="35"/>
      <c r="D3394" s="31"/>
      <c r="E3394" s="30"/>
      <c r="F3394" s="14"/>
      <c r="G3394" s="74">
        <f t="shared" si="93"/>
        <v>0</v>
      </c>
      <c r="H3394" s="15"/>
      <c r="I3394" s="47"/>
    </row>
    <row r="3395" spans="1:9" x14ac:dyDescent="0.25">
      <c r="A3395" s="11"/>
      <c r="B3395" s="12"/>
      <c r="C3395" s="35"/>
      <c r="D3395" s="31"/>
      <c r="E3395" s="30"/>
      <c r="F3395" s="14"/>
      <c r="G3395" s="74">
        <f t="shared" si="93"/>
        <v>0</v>
      </c>
      <c r="H3395" s="17"/>
      <c r="I3395" s="47"/>
    </row>
    <row r="3396" spans="1:9" x14ac:dyDescent="0.25">
      <c r="A3396" s="291"/>
      <c r="B3396" s="228"/>
      <c r="C3396" s="228"/>
      <c r="D3396" s="228"/>
      <c r="E3396" s="36"/>
      <c r="F3396" s="37" t="s">
        <v>102</v>
      </c>
      <c r="G3396" s="38"/>
      <c r="H3396" s="23">
        <f>SUM(G3386:G3395)</f>
        <v>251000</v>
      </c>
      <c r="I3396" s="220"/>
    </row>
    <row r="3397" spans="1:9" x14ac:dyDescent="0.25">
      <c r="A3397" s="291"/>
      <c r="B3397" s="228"/>
      <c r="C3397" s="228"/>
      <c r="D3397" s="228"/>
      <c r="E3397" s="36"/>
      <c r="F3397" s="39" t="s">
        <v>103</v>
      </c>
      <c r="G3397" s="38"/>
      <c r="H3397" s="23">
        <f>ROUND((D3386*G3386)+(D3387*G3387)+(D3388*G3388)+(D3390*G3390)+(D3391*G3391)+(D3392*G3392)+(D3393*G3393)+(D3394*G3394)+(D3395*G3395),0)</f>
        <v>0</v>
      </c>
      <c r="I3397" s="220"/>
    </row>
    <row r="3398" spans="1:9" x14ac:dyDescent="0.25">
      <c r="A3398" s="291"/>
      <c r="B3398" s="228"/>
      <c r="C3398" s="228"/>
      <c r="D3398" s="228"/>
      <c r="E3398" s="36"/>
      <c r="F3398" s="20" t="s">
        <v>104</v>
      </c>
      <c r="G3398" s="40"/>
      <c r="H3398" s="23">
        <f>SUM(H3396:H3397)</f>
        <v>251000</v>
      </c>
      <c r="I3398" s="220"/>
    </row>
    <row r="3399" spans="1:9" x14ac:dyDescent="0.25">
      <c r="A3399" s="291" t="s">
        <v>105</v>
      </c>
      <c r="B3399" s="228"/>
      <c r="C3399" s="228"/>
      <c r="D3399" s="228"/>
      <c r="E3399" s="47"/>
      <c r="F3399" s="47"/>
      <c r="G3399" s="47"/>
      <c r="H3399" s="233"/>
      <c r="I3399" s="47"/>
    </row>
    <row r="3400" spans="1:9" x14ac:dyDescent="0.25">
      <c r="A3400" s="24" t="s">
        <v>0</v>
      </c>
      <c r="B3400" s="24"/>
      <c r="C3400" s="8" t="s">
        <v>106</v>
      </c>
      <c r="D3400" s="8" t="s">
        <v>107</v>
      </c>
      <c r="E3400" s="9" t="s">
        <v>108</v>
      </c>
      <c r="F3400" s="9" t="s">
        <v>109</v>
      </c>
      <c r="G3400" s="41" t="s">
        <v>96</v>
      </c>
      <c r="H3400" s="10"/>
      <c r="I3400" s="47"/>
    </row>
    <row r="3401" spans="1:9" x14ac:dyDescent="0.25">
      <c r="A3401" s="76" t="s">
        <v>110</v>
      </c>
      <c r="B3401" s="42"/>
      <c r="C3401" s="13">
        <f>104000+26000</f>
        <v>130000</v>
      </c>
      <c r="D3401" s="13">
        <f>+C3401*0.16</f>
        <v>20800</v>
      </c>
      <c r="E3401" s="14">
        <f>C3401+D3401</f>
        <v>150800</v>
      </c>
      <c r="F3401" s="30">
        <v>0.3</v>
      </c>
      <c r="G3401" s="14">
        <f>ROUND(E3401*F3401,0)</f>
        <v>45240</v>
      </c>
      <c r="H3401" s="15"/>
      <c r="I3401" s="47"/>
    </row>
    <row r="3402" spans="1:9" x14ac:dyDescent="0.25">
      <c r="A3402" s="76" t="s">
        <v>111</v>
      </c>
      <c r="B3402" s="42"/>
      <c r="C3402" s="13">
        <f>60400+25850</f>
        <v>86250</v>
      </c>
      <c r="D3402" s="13">
        <f>+C3402*0.16</f>
        <v>13800</v>
      </c>
      <c r="E3402" s="14">
        <f>C3402+D3402</f>
        <v>100050</v>
      </c>
      <c r="F3402" s="30">
        <v>0.3</v>
      </c>
      <c r="G3402" s="14">
        <f>ROUND(E3402*F3402,0)</f>
        <v>30015</v>
      </c>
      <c r="H3402" s="15"/>
      <c r="I3402" s="47"/>
    </row>
    <row r="3403" spans="1:9" x14ac:dyDescent="0.25">
      <c r="A3403" s="18"/>
      <c r="B3403" s="42"/>
      <c r="C3403" s="43"/>
      <c r="D3403" s="43"/>
      <c r="E3403" s="44">
        <f>C3403+D3403</f>
        <v>0</v>
      </c>
      <c r="F3403" s="45"/>
      <c r="G3403" s="14">
        <f>ROUND(E3403*F3403,0)</f>
        <v>0</v>
      </c>
      <c r="H3403" s="15"/>
      <c r="I3403" s="47"/>
    </row>
    <row r="3404" spans="1:9" x14ac:dyDescent="0.25">
      <c r="A3404" s="291"/>
      <c r="B3404" s="228"/>
      <c r="C3404" s="228"/>
      <c r="D3404" s="228"/>
      <c r="E3404" s="277" t="s">
        <v>112</v>
      </c>
      <c r="F3404" s="277"/>
      <c r="G3404" s="277"/>
      <c r="H3404" s="82">
        <f>SUM(G3401:G3403)</f>
        <v>75255</v>
      </c>
      <c r="I3404" s="221"/>
    </row>
    <row r="3405" spans="1:9" x14ac:dyDescent="0.25">
      <c r="A3405" s="291"/>
      <c r="B3405" s="228"/>
      <c r="C3405" s="228"/>
      <c r="D3405" s="228"/>
      <c r="E3405" s="47"/>
      <c r="F3405" s="47"/>
      <c r="G3405" s="47"/>
      <c r="H3405" s="233"/>
      <c r="I3405" s="47"/>
    </row>
    <row r="3406" spans="1:9" x14ac:dyDescent="0.25">
      <c r="A3406" s="18"/>
      <c r="B3406" s="19"/>
      <c r="C3406" s="19"/>
      <c r="D3406" s="19"/>
      <c r="E3406" s="48" t="s">
        <v>113</v>
      </c>
      <c r="F3406" s="48"/>
      <c r="G3406" s="48"/>
      <c r="H3406" s="25">
        <f>H3404+H3398+H3383</f>
        <v>450010</v>
      </c>
      <c r="I3406" s="222"/>
    </row>
    <row r="3407" spans="1:9" x14ac:dyDescent="0.25">
      <c r="A3407" s="291"/>
      <c r="B3407" s="228"/>
      <c r="C3407" s="228"/>
      <c r="D3407" s="228"/>
      <c r="E3407" s="47"/>
      <c r="F3407" s="47"/>
      <c r="G3407" s="47"/>
      <c r="H3407" s="233"/>
      <c r="I3407" s="47"/>
    </row>
    <row r="3408" spans="1:9" x14ac:dyDescent="0.25">
      <c r="A3408" s="291" t="s">
        <v>114</v>
      </c>
      <c r="B3408" s="228"/>
      <c r="C3408" s="228"/>
      <c r="D3408" s="228"/>
      <c r="E3408" s="47"/>
      <c r="F3408" s="47"/>
      <c r="G3408" s="47"/>
      <c r="H3408" s="233"/>
      <c r="I3408" s="47"/>
    </row>
    <row r="3409" spans="1:9" x14ac:dyDescent="0.25">
      <c r="A3409" s="6" t="s">
        <v>0</v>
      </c>
      <c r="B3409" s="49"/>
      <c r="C3409" s="49"/>
      <c r="D3409" s="49"/>
      <c r="E3409" s="50"/>
      <c r="F3409" s="9" t="s">
        <v>115</v>
      </c>
      <c r="G3409" s="41" t="s">
        <v>116</v>
      </c>
      <c r="H3409" s="10"/>
      <c r="I3409" s="47"/>
    </row>
    <row r="3410" spans="1:9" x14ac:dyDescent="0.25">
      <c r="A3410" s="11" t="s">
        <v>117</v>
      </c>
      <c r="B3410" s="51"/>
      <c r="C3410" s="51"/>
      <c r="D3410" s="51"/>
      <c r="E3410" s="52"/>
      <c r="F3410" s="53"/>
      <c r="G3410" s="14">
        <f>F3410*H3406</f>
        <v>0</v>
      </c>
      <c r="H3410" s="15"/>
      <c r="I3410" s="47"/>
    </row>
    <row r="3411" spans="1:9" x14ac:dyDescent="0.25">
      <c r="A3411" s="11"/>
      <c r="B3411" s="51"/>
      <c r="C3411" s="51"/>
      <c r="D3411" s="51"/>
      <c r="E3411" s="52"/>
      <c r="F3411" s="53"/>
      <c r="G3411" s="14">
        <f>F3411*H3406</f>
        <v>0</v>
      </c>
      <c r="H3411" s="15"/>
      <c r="I3411" s="47"/>
    </row>
    <row r="3412" spans="1:9" x14ac:dyDescent="0.25">
      <c r="A3412" s="11"/>
      <c r="B3412" s="51"/>
      <c r="C3412" s="51"/>
      <c r="D3412" s="51"/>
      <c r="E3412" s="52"/>
      <c r="F3412" s="53"/>
      <c r="G3412" s="14">
        <f>F3412*H3406</f>
        <v>0</v>
      </c>
      <c r="H3412" s="17"/>
      <c r="I3412" s="47"/>
    </row>
    <row r="3413" spans="1:9" x14ac:dyDescent="0.25">
      <c r="A3413" s="4"/>
      <c r="B3413" s="4"/>
      <c r="C3413" s="4"/>
      <c r="D3413" s="4"/>
      <c r="E3413" s="46" t="s">
        <v>118</v>
      </c>
      <c r="F3413" s="46"/>
      <c r="G3413" s="46"/>
      <c r="H3413" s="36">
        <f>SUM(G3410:G3412)</f>
        <v>0</v>
      </c>
      <c r="I3413" s="220"/>
    </row>
    <row r="3414" spans="1:9" ht="15.75" thickBot="1" x14ac:dyDescent="0.3">
      <c r="A3414" s="4"/>
      <c r="B3414" s="4"/>
      <c r="C3414" s="4"/>
      <c r="D3414" s="4"/>
      <c r="E3414" s="5"/>
      <c r="F3414" s="5"/>
      <c r="G3414" s="5"/>
      <c r="H3414" s="5"/>
      <c r="I3414" s="47"/>
    </row>
    <row r="3415" spans="1:9" ht="15.75" thickBot="1" x14ac:dyDescent="0.3">
      <c r="A3415" s="4"/>
      <c r="B3415" s="4"/>
      <c r="C3415" s="4"/>
      <c r="D3415" s="4"/>
      <c r="E3415" s="54"/>
      <c r="F3415" s="54" t="s">
        <v>119</v>
      </c>
      <c r="G3415" s="54"/>
      <c r="H3415" s="240">
        <f>SUM(H3413+H3406)</f>
        <v>450010</v>
      </c>
      <c r="I3415" s="112"/>
    </row>
    <row r="3417" spans="1:9" hidden="1" x14ac:dyDescent="0.25"/>
    <row r="3418" spans="1:9" hidden="1" x14ac:dyDescent="0.25"/>
    <row r="3426" spans="1:12" x14ac:dyDescent="0.25">
      <c r="A3426" s="412" t="s">
        <v>79</v>
      </c>
      <c r="B3426" s="412"/>
      <c r="C3426" s="412"/>
      <c r="D3426" s="412"/>
      <c r="E3426" s="412"/>
      <c r="F3426" s="412"/>
      <c r="G3426" s="412"/>
      <c r="H3426" s="412"/>
      <c r="I3426" s="250"/>
      <c r="K3426" s="63"/>
    </row>
    <row r="3427" spans="1:12" x14ac:dyDescent="0.25">
      <c r="A3427" s="4"/>
      <c r="B3427" s="4"/>
      <c r="C3427" s="4"/>
      <c r="D3427" s="4"/>
      <c r="E3427" s="5"/>
      <c r="F3427" s="5"/>
      <c r="G3427" s="411" t="s">
        <v>326</v>
      </c>
      <c r="H3427" s="411"/>
      <c r="I3427" s="251"/>
      <c r="J3427" s="5"/>
      <c r="K3427" s="63"/>
    </row>
    <row r="3428" spans="1:12" x14ac:dyDescent="0.25">
      <c r="A3428" s="434" t="s">
        <v>405</v>
      </c>
      <c r="B3428" s="434"/>
      <c r="C3428" s="434"/>
      <c r="D3428" s="434"/>
      <c r="E3428" s="434"/>
      <c r="F3428" s="434"/>
      <c r="G3428" s="434"/>
      <c r="H3428" s="434"/>
      <c r="I3428" s="252"/>
      <c r="K3428" s="63"/>
    </row>
    <row r="3429" spans="1:12" x14ac:dyDescent="0.25">
      <c r="A3429" s="4"/>
      <c r="B3429" s="4"/>
      <c r="C3429" s="4"/>
      <c r="D3429" s="4"/>
      <c r="E3429" s="5"/>
      <c r="F3429" s="5"/>
      <c r="G3429" s="414" t="s">
        <v>365</v>
      </c>
      <c r="H3429" s="414"/>
      <c r="I3429" s="253"/>
      <c r="J3429" s="5"/>
      <c r="K3429" s="63"/>
    </row>
    <row r="3430" spans="1:12" x14ac:dyDescent="0.25">
      <c r="A3430" s="4" t="s">
        <v>82</v>
      </c>
      <c r="B3430" s="4"/>
      <c r="C3430" s="4"/>
      <c r="D3430" s="4"/>
      <c r="E3430" s="5"/>
      <c r="F3430" s="5"/>
      <c r="G3430" s="5"/>
      <c r="H3430" s="5"/>
      <c r="I3430" s="47"/>
      <c r="J3430" s="5"/>
      <c r="K3430" s="63"/>
    </row>
    <row r="3431" spans="1:12" x14ac:dyDescent="0.25">
      <c r="A3431" s="6" t="s">
        <v>0</v>
      </c>
      <c r="B3431" s="7"/>
      <c r="C3431" s="8" t="s">
        <v>83</v>
      </c>
      <c r="D3431" s="8" t="s">
        <v>84</v>
      </c>
      <c r="E3431" s="9" t="s">
        <v>85</v>
      </c>
      <c r="F3431" s="9" t="s">
        <v>86</v>
      </c>
      <c r="G3431" s="9" t="s">
        <v>87</v>
      </c>
      <c r="H3431" s="10"/>
      <c r="I3431" s="47"/>
      <c r="J3431" s="275"/>
      <c r="K3431" s="63"/>
    </row>
    <row r="3432" spans="1:12" x14ac:dyDescent="0.25">
      <c r="A3432" s="11" t="s">
        <v>88</v>
      </c>
      <c r="B3432" s="12"/>
      <c r="C3432" s="13"/>
      <c r="D3432" s="13"/>
      <c r="E3432" s="14"/>
      <c r="F3432" s="14"/>
      <c r="G3432" s="14">
        <f>ROUND(H3456*0.05,0)</f>
        <v>0</v>
      </c>
      <c r="H3432" s="15"/>
      <c r="I3432" s="47"/>
      <c r="J3432" s="230"/>
      <c r="K3432" s="63"/>
    </row>
    <row r="3433" spans="1:12" x14ac:dyDescent="0.25">
      <c r="A3433" s="11" t="s">
        <v>366</v>
      </c>
      <c r="B3433" s="12"/>
      <c r="C3433" s="13"/>
      <c r="D3433" s="13"/>
      <c r="E3433" s="14">
        <v>200000</v>
      </c>
      <c r="F3433" s="14">
        <v>1</v>
      </c>
      <c r="G3433" s="14">
        <f>ROUND(E3433*F3433,0)</f>
        <v>200000</v>
      </c>
      <c r="H3433" s="15"/>
      <c r="I3433" s="47"/>
      <c r="J3433" s="230"/>
      <c r="K3433" s="63"/>
    </row>
    <row r="3434" spans="1:12" x14ac:dyDescent="0.25">
      <c r="A3434" s="11" t="s">
        <v>327</v>
      </c>
      <c r="B3434" s="12"/>
      <c r="C3434" s="13"/>
      <c r="D3434" s="13"/>
      <c r="E3434" s="14">
        <v>350000</v>
      </c>
      <c r="F3434" s="16">
        <v>1</v>
      </c>
      <c r="G3434" s="14">
        <f>ROUND(E3434*F3434,0)</f>
        <v>350000</v>
      </c>
      <c r="H3434" s="15"/>
      <c r="I3434" s="47"/>
      <c r="J3434" s="230"/>
      <c r="K3434" s="63"/>
    </row>
    <row r="3435" spans="1:12" x14ac:dyDescent="0.25">
      <c r="A3435" s="11"/>
      <c r="B3435" s="12"/>
      <c r="C3435" s="13"/>
      <c r="D3435" s="13"/>
      <c r="E3435" s="14"/>
      <c r="F3435" s="14"/>
      <c r="G3435" s="14">
        <f>ROUND(E3435*F3435,0)</f>
        <v>0</v>
      </c>
      <c r="H3435" s="17"/>
      <c r="I3435" s="47"/>
      <c r="J3435" s="230"/>
      <c r="K3435" s="63"/>
    </row>
    <row r="3436" spans="1:12" x14ac:dyDescent="0.25">
      <c r="A3436" s="18"/>
      <c r="B3436" s="19"/>
      <c r="C3436" s="19"/>
      <c r="D3436" s="19"/>
      <c r="E3436" s="20"/>
      <c r="F3436" s="21" t="s">
        <v>90</v>
      </c>
      <c r="G3436" s="22"/>
      <c r="H3436" s="23">
        <f>SUM(G3432:G3435)</f>
        <v>550000</v>
      </c>
      <c r="I3436" s="220"/>
      <c r="J3436" s="274" t="s">
        <v>393</v>
      </c>
      <c r="K3436" s="63"/>
    </row>
    <row r="3437" spans="1:12" x14ac:dyDescent="0.25">
      <c r="A3437" s="291" t="s">
        <v>91</v>
      </c>
      <c r="B3437" s="228"/>
      <c r="C3437" s="228"/>
      <c r="D3437" s="228"/>
      <c r="E3437" s="47"/>
      <c r="F3437" s="47"/>
      <c r="G3437" s="47"/>
      <c r="H3437" s="233"/>
      <c r="I3437" s="47"/>
      <c r="J3437" s="5"/>
      <c r="K3437" s="63"/>
    </row>
    <row r="3438" spans="1:12" x14ac:dyDescent="0.25">
      <c r="A3438" s="24" t="s">
        <v>0</v>
      </c>
      <c r="B3438" s="24"/>
      <c r="C3438" s="8" t="s">
        <v>92</v>
      </c>
      <c r="D3438" s="8" t="s">
        <v>93</v>
      </c>
      <c r="E3438" s="9" t="s">
        <v>94</v>
      </c>
      <c r="F3438" s="9" t="s">
        <v>95</v>
      </c>
      <c r="G3438" s="25" t="s">
        <v>96</v>
      </c>
      <c r="H3438" s="10"/>
      <c r="I3438" s="47"/>
      <c r="J3438" s="247"/>
      <c r="K3438" s="63"/>
    </row>
    <row r="3439" spans="1:12" x14ac:dyDescent="0.25">
      <c r="A3439" s="196" t="s">
        <v>367</v>
      </c>
      <c r="B3439" s="12"/>
      <c r="C3439" s="35" t="s">
        <v>206</v>
      </c>
      <c r="D3439" s="34">
        <v>0.05</v>
      </c>
      <c r="E3439" s="30">
        <v>420</v>
      </c>
      <c r="F3439" s="14">
        <f>+(48000+7000)/42.5</f>
        <v>1294.1176470588234</v>
      </c>
      <c r="G3439" s="14">
        <f t="shared" ref="G3439:G3447" si="94">ROUND(E3439*F3439,0)</f>
        <v>543529</v>
      </c>
      <c r="H3439" s="15"/>
      <c r="I3439" s="47"/>
      <c r="J3439" s="248" t="s">
        <v>368</v>
      </c>
      <c r="K3439" s="63"/>
    </row>
    <row r="3440" spans="1:12" x14ac:dyDescent="0.25">
      <c r="A3440" s="11" t="s">
        <v>369</v>
      </c>
      <c r="B3440" s="12"/>
      <c r="C3440" s="35" t="s">
        <v>212</v>
      </c>
      <c r="D3440" s="31">
        <v>0.05</v>
      </c>
      <c r="E3440" s="30">
        <v>0.67</v>
      </c>
      <c r="F3440" s="14">
        <f>570000+80000</f>
        <v>650000</v>
      </c>
      <c r="G3440" s="14">
        <f t="shared" si="94"/>
        <v>435500</v>
      </c>
      <c r="H3440" s="15"/>
      <c r="I3440" s="47"/>
      <c r="J3440" s="248" t="s">
        <v>370</v>
      </c>
      <c r="K3440" s="63" t="s">
        <v>371</v>
      </c>
      <c r="L3440" t="s">
        <v>372</v>
      </c>
    </row>
    <row r="3441" spans="1:14" x14ac:dyDescent="0.25">
      <c r="A3441" s="81" t="s">
        <v>128</v>
      </c>
      <c r="B3441" s="12"/>
      <c r="C3441" s="35" t="s">
        <v>212</v>
      </c>
      <c r="D3441" s="34">
        <v>0.05</v>
      </c>
      <c r="E3441" s="30">
        <v>0.67</v>
      </c>
      <c r="F3441" s="14">
        <f>530000+80000</f>
        <v>610000</v>
      </c>
      <c r="G3441" s="14">
        <f t="shared" si="94"/>
        <v>408700</v>
      </c>
      <c r="H3441" s="15"/>
      <c r="I3441" s="47"/>
      <c r="J3441" s="248" t="s">
        <v>373</v>
      </c>
      <c r="K3441" s="63"/>
    </row>
    <row r="3442" spans="1:14" x14ac:dyDescent="0.25">
      <c r="A3442" s="11" t="s">
        <v>374</v>
      </c>
      <c r="B3442" s="12"/>
      <c r="C3442" s="35" t="s">
        <v>281</v>
      </c>
      <c r="D3442" s="31">
        <v>0.05</v>
      </c>
      <c r="E3442" s="30">
        <v>190</v>
      </c>
      <c r="F3442" s="74">
        <v>500</v>
      </c>
      <c r="G3442" s="14">
        <f t="shared" si="94"/>
        <v>95000</v>
      </c>
      <c r="H3442" s="15"/>
      <c r="I3442" s="47"/>
      <c r="J3442" s="248"/>
      <c r="K3442" s="63">
        <v>1</v>
      </c>
      <c r="L3442">
        <v>50</v>
      </c>
    </row>
    <row r="3443" spans="1:14" x14ac:dyDescent="0.25">
      <c r="A3443" s="11"/>
      <c r="B3443" s="12"/>
      <c r="C3443" s="35"/>
      <c r="D3443" s="34"/>
      <c r="E3443" s="30"/>
      <c r="F3443" s="14"/>
      <c r="G3443" s="14">
        <f t="shared" si="94"/>
        <v>0</v>
      </c>
      <c r="H3443" s="15"/>
      <c r="I3443" s="47"/>
      <c r="J3443" s="248"/>
      <c r="K3443" s="63">
        <v>0.67</v>
      </c>
    </row>
    <row r="3444" spans="1:14" x14ac:dyDescent="0.25">
      <c r="A3444" s="11"/>
      <c r="B3444" s="12"/>
      <c r="C3444" s="35"/>
      <c r="D3444" s="31"/>
      <c r="E3444" s="30"/>
      <c r="F3444" s="14"/>
      <c r="G3444" s="14">
        <f t="shared" si="94"/>
        <v>0</v>
      </c>
      <c r="H3444" s="15"/>
      <c r="I3444" s="47"/>
      <c r="J3444" s="248"/>
      <c r="K3444" s="63"/>
      <c r="L3444" s="64">
        <f>+(K3443*L3442)/K3442</f>
        <v>33.5</v>
      </c>
    </row>
    <row r="3445" spans="1:14" hidden="1" x14ac:dyDescent="0.25">
      <c r="A3445" s="11"/>
      <c r="B3445" s="12"/>
      <c r="C3445" s="35"/>
      <c r="D3445" s="34"/>
      <c r="E3445" s="30"/>
      <c r="F3445" s="14"/>
      <c r="G3445" s="14">
        <f t="shared" si="94"/>
        <v>0</v>
      </c>
      <c r="H3445" s="15"/>
      <c r="I3445" s="47"/>
      <c r="J3445" s="248"/>
      <c r="K3445" s="63"/>
    </row>
    <row r="3446" spans="1:14" hidden="1" x14ac:dyDescent="0.25">
      <c r="A3446" s="11"/>
      <c r="B3446" s="12"/>
      <c r="C3446" s="35"/>
      <c r="D3446" s="31"/>
      <c r="E3446" s="30"/>
      <c r="F3446" s="14"/>
      <c r="G3446" s="14">
        <f t="shared" si="94"/>
        <v>0</v>
      </c>
      <c r="H3446" s="15"/>
      <c r="I3446" s="47"/>
      <c r="J3446" s="248"/>
      <c r="K3446" s="63"/>
    </row>
    <row r="3447" spans="1:14" hidden="1" x14ac:dyDescent="0.25">
      <c r="A3447" s="11"/>
      <c r="B3447" s="12"/>
      <c r="C3447" s="35"/>
      <c r="D3447" s="31"/>
      <c r="E3447" s="30"/>
      <c r="F3447" s="14"/>
      <c r="G3447" s="14">
        <f t="shared" si="94"/>
        <v>0</v>
      </c>
      <c r="H3447" s="17"/>
      <c r="I3447" s="47"/>
      <c r="J3447" s="248"/>
      <c r="K3447" s="63"/>
    </row>
    <row r="3448" spans="1:14" x14ac:dyDescent="0.25">
      <c r="A3448" s="291"/>
      <c r="B3448" s="228"/>
      <c r="C3448" s="228"/>
      <c r="D3448" s="228"/>
      <c r="E3448" s="36"/>
      <c r="F3448" s="37" t="s">
        <v>102</v>
      </c>
      <c r="G3448" s="38"/>
      <c r="H3448" s="23">
        <f>SUM(G3439:G3447)</f>
        <v>1482729</v>
      </c>
      <c r="I3448" s="220"/>
      <c r="J3448" s="276"/>
      <c r="K3448" s="63"/>
    </row>
    <row r="3449" spans="1:14" x14ac:dyDescent="0.25">
      <c r="A3449" s="291"/>
      <c r="B3449" s="228"/>
      <c r="C3449" s="228"/>
      <c r="D3449" s="228"/>
      <c r="E3449" s="36"/>
      <c r="F3449" s="39" t="s">
        <v>103</v>
      </c>
      <c r="G3449" s="38"/>
      <c r="H3449" s="23">
        <f>ROUND((D3439*G3439)+(D3440*G3440)+(D3441*G3441)+(D3442*G3442)+(D3443*G3443)+(D3444*G3444)+(D3445*G3445)+(D3446*G3446)+(D3447*G3447),0)</f>
        <v>74136</v>
      </c>
      <c r="I3449" s="220"/>
      <c r="J3449" s="220"/>
      <c r="K3449" s="63"/>
    </row>
    <row r="3450" spans="1:14" x14ac:dyDescent="0.25">
      <c r="A3450" s="291"/>
      <c r="B3450" s="228"/>
      <c r="C3450" s="228"/>
      <c r="D3450" s="228"/>
      <c r="E3450" s="36"/>
      <c r="F3450" s="20" t="s">
        <v>104</v>
      </c>
      <c r="G3450" s="40"/>
      <c r="H3450" s="23">
        <f>SUM(H3448:H3449)</f>
        <v>1556865</v>
      </c>
      <c r="I3450" s="220"/>
      <c r="J3450" s="281" t="s">
        <v>394</v>
      </c>
      <c r="K3450" s="282"/>
      <c r="L3450" s="283"/>
      <c r="M3450" s="283"/>
      <c r="N3450" s="283"/>
    </row>
    <row r="3451" spans="1:14" x14ac:dyDescent="0.25">
      <c r="A3451" s="291" t="s">
        <v>105</v>
      </c>
      <c r="B3451" s="228"/>
      <c r="C3451" s="228"/>
      <c r="D3451" s="228"/>
      <c r="E3451" s="47"/>
      <c r="F3451" s="47"/>
      <c r="G3451" s="47"/>
      <c r="H3451" s="233"/>
      <c r="I3451" s="47"/>
      <c r="J3451" s="47"/>
      <c r="K3451" s="63"/>
    </row>
    <row r="3452" spans="1:14" x14ac:dyDescent="0.25">
      <c r="A3452" s="24" t="s">
        <v>0</v>
      </c>
      <c r="B3452" s="24"/>
      <c r="C3452" s="8" t="s">
        <v>106</v>
      </c>
      <c r="D3452" s="8" t="s">
        <v>107</v>
      </c>
      <c r="E3452" s="9" t="s">
        <v>108</v>
      </c>
      <c r="F3452" s="9" t="s">
        <v>109</v>
      </c>
      <c r="G3452" s="41" t="s">
        <v>96</v>
      </c>
      <c r="H3452" s="10"/>
      <c r="I3452" s="47"/>
      <c r="J3452" s="275"/>
      <c r="K3452" s="63"/>
    </row>
    <row r="3453" spans="1:14" x14ac:dyDescent="0.25">
      <c r="A3453" s="18" t="s">
        <v>110</v>
      </c>
      <c r="B3453" s="42"/>
      <c r="C3453" s="13">
        <v>104000</v>
      </c>
      <c r="D3453" s="13">
        <f>+C3453*0.16</f>
        <v>16640</v>
      </c>
      <c r="E3453" s="14">
        <f>C3453+D3453</f>
        <v>120640</v>
      </c>
      <c r="F3453" s="30"/>
      <c r="G3453" s="14">
        <f>ROUND(E3453*F3453,0)</f>
        <v>0</v>
      </c>
      <c r="H3453" s="15"/>
      <c r="I3453" s="47"/>
      <c r="J3453" s="230"/>
      <c r="K3453" s="63"/>
    </row>
    <row r="3454" spans="1:14" x14ac:dyDescent="0.25">
      <c r="A3454" s="18" t="s">
        <v>111</v>
      </c>
      <c r="B3454" s="42"/>
      <c r="C3454" s="13">
        <f>+(60400*5)</f>
        <v>302000</v>
      </c>
      <c r="D3454" s="13">
        <f>+(C3454*0.16)*5</f>
        <v>241600</v>
      </c>
      <c r="E3454" s="14">
        <f>C3454+D3454</f>
        <v>543600</v>
      </c>
      <c r="F3454" s="30"/>
      <c r="G3454" s="14">
        <f>ROUND(E3454*F3454,0)</f>
        <v>0</v>
      </c>
      <c r="H3454" s="15"/>
      <c r="I3454" s="47"/>
      <c r="J3454" s="230"/>
      <c r="K3454" s="63"/>
    </row>
    <row r="3455" spans="1:14" x14ac:dyDescent="0.25">
      <c r="A3455" s="18"/>
      <c r="B3455" s="42"/>
      <c r="C3455" s="43"/>
      <c r="D3455" s="43"/>
      <c r="E3455" s="44">
        <f>C3455+D3455</f>
        <v>0</v>
      </c>
      <c r="F3455" s="45"/>
      <c r="G3455" s="14">
        <f>ROUND(E3455*F3455,0)</f>
        <v>0</v>
      </c>
      <c r="H3455" s="15"/>
      <c r="I3455" s="47"/>
      <c r="J3455" s="47"/>
      <c r="K3455" s="63"/>
    </row>
    <row r="3456" spans="1:14" x14ac:dyDescent="0.25">
      <c r="A3456" s="291"/>
      <c r="B3456" s="228"/>
      <c r="C3456" s="228"/>
      <c r="D3456" s="228"/>
      <c r="E3456" s="277" t="s">
        <v>112</v>
      </c>
      <c r="F3456" s="277"/>
      <c r="G3456" s="277"/>
      <c r="H3456" s="23">
        <f>SUM(G3453:G3455)</f>
        <v>0</v>
      </c>
      <c r="I3456" s="220"/>
      <c r="J3456" s="277"/>
      <c r="K3456" s="63"/>
    </row>
    <row r="3457" spans="1:11" x14ac:dyDescent="0.25">
      <c r="A3457" s="291"/>
      <c r="B3457" s="228"/>
      <c r="C3457" s="228"/>
      <c r="D3457" s="228"/>
      <c r="E3457" s="47"/>
      <c r="F3457" s="47"/>
      <c r="G3457" s="47"/>
      <c r="H3457" s="233"/>
      <c r="I3457" s="47"/>
      <c r="J3457" s="47"/>
      <c r="K3457" s="63"/>
    </row>
    <row r="3458" spans="1:11" x14ac:dyDescent="0.25">
      <c r="A3458" s="18"/>
      <c r="B3458" s="19"/>
      <c r="C3458" s="19"/>
      <c r="D3458" s="19"/>
      <c r="E3458" s="48" t="s">
        <v>113</v>
      </c>
      <c r="F3458" s="48"/>
      <c r="G3458" s="48"/>
      <c r="H3458" s="25">
        <f>H3456+H3450+H3436</f>
        <v>2106865</v>
      </c>
      <c r="I3458" s="222"/>
      <c r="J3458" s="278"/>
      <c r="K3458" s="63"/>
    </row>
    <row r="3459" spans="1:11" x14ac:dyDescent="0.25">
      <c r="A3459" s="291"/>
      <c r="B3459" s="228"/>
      <c r="C3459" s="228"/>
      <c r="D3459" s="228"/>
      <c r="E3459" s="47"/>
      <c r="F3459" s="47"/>
      <c r="G3459" s="47"/>
      <c r="H3459" s="233"/>
      <c r="I3459" s="47"/>
      <c r="J3459" s="47"/>
      <c r="K3459" s="63"/>
    </row>
    <row r="3460" spans="1:11" x14ac:dyDescent="0.25">
      <c r="A3460" s="291" t="s">
        <v>114</v>
      </c>
      <c r="B3460" s="228"/>
      <c r="C3460" s="228"/>
      <c r="D3460" s="228"/>
      <c r="E3460" s="47"/>
      <c r="F3460" s="47"/>
      <c r="G3460" s="47"/>
      <c r="H3460" s="233"/>
      <c r="I3460" s="47"/>
      <c r="J3460" s="47"/>
      <c r="K3460" s="63"/>
    </row>
    <row r="3461" spans="1:11" x14ac:dyDescent="0.25">
      <c r="A3461" s="6" t="s">
        <v>0</v>
      </c>
      <c r="B3461" s="49"/>
      <c r="C3461" s="49"/>
      <c r="D3461" s="49"/>
      <c r="E3461" s="50"/>
      <c r="F3461" s="9" t="s">
        <v>115</v>
      </c>
      <c r="G3461" s="41" t="s">
        <v>116</v>
      </c>
      <c r="H3461" s="10"/>
      <c r="I3461" s="47"/>
      <c r="J3461" s="278"/>
      <c r="K3461" s="63"/>
    </row>
    <row r="3462" spans="1:11" x14ac:dyDescent="0.25">
      <c r="A3462" s="11" t="s">
        <v>117</v>
      </c>
      <c r="B3462" s="51"/>
      <c r="C3462" s="51"/>
      <c r="D3462" s="51"/>
      <c r="E3462" s="52"/>
      <c r="F3462" s="53"/>
      <c r="G3462" s="14">
        <f>F3462*H3458</f>
        <v>0</v>
      </c>
      <c r="H3462" s="15"/>
      <c r="I3462" s="47"/>
      <c r="J3462" s="230"/>
      <c r="K3462" s="63"/>
    </row>
    <row r="3463" spans="1:11" hidden="1" x14ac:dyDescent="0.25">
      <c r="A3463" s="11"/>
      <c r="B3463" s="51"/>
      <c r="C3463" s="51"/>
      <c r="D3463" s="51"/>
      <c r="E3463" s="52"/>
      <c r="F3463" s="53"/>
      <c r="G3463" s="14">
        <f>F3463*H3458</f>
        <v>0</v>
      </c>
      <c r="H3463" s="15"/>
      <c r="I3463" s="47"/>
      <c r="J3463" s="230"/>
      <c r="K3463" s="63"/>
    </row>
    <row r="3464" spans="1:11" hidden="1" x14ac:dyDescent="0.25">
      <c r="A3464" s="11"/>
      <c r="B3464" s="51"/>
      <c r="C3464" s="51"/>
      <c r="D3464" s="51"/>
      <c r="E3464" s="52"/>
      <c r="F3464" s="53"/>
      <c r="G3464" s="14">
        <f>F3464*H3458</f>
        <v>0</v>
      </c>
      <c r="H3464" s="17"/>
      <c r="I3464" s="47"/>
      <c r="J3464" s="230"/>
      <c r="K3464" s="63"/>
    </row>
    <row r="3465" spans="1:11" x14ac:dyDescent="0.25">
      <c r="A3465" s="291"/>
      <c r="B3465" s="228"/>
      <c r="C3465" s="228"/>
      <c r="D3465" s="228"/>
      <c r="E3465" s="277" t="s">
        <v>118</v>
      </c>
      <c r="F3465" s="277"/>
      <c r="G3465" s="277"/>
      <c r="H3465" s="23">
        <f>SUM(G3462:G3464)</f>
        <v>0</v>
      </c>
      <c r="I3465" s="220"/>
      <c r="J3465" s="277"/>
      <c r="K3465" s="63"/>
    </row>
    <row r="3466" spans="1:11" ht="15.75" thickBot="1" x14ac:dyDescent="0.3">
      <c r="A3466" s="291"/>
      <c r="B3466" s="228"/>
      <c r="C3466" s="228"/>
      <c r="D3466" s="228"/>
      <c r="E3466" s="47"/>
      <c r="F3466" s="47"/>
      <c r="G3466" s="47"/>
      <c r="H3466" s="233"/>
      <c r="I3466" s="47"/>
      <c r="J3466" s="47"/>
      <c r="K3466" s="63"/>
    </row>
    <row r="3467" spans="1:11" ht="15.75" thickBot="1" x14ac:dyDescent="0.3">
      <c r="A3467" s="291"/>
      <c r="B3467" s="228"/>
      <c r="C3467" s="228"/>
      <c r="D3467" s="228"/>
      <c r="E3467" s="279"/>
      <c r="F3467" s="279" t="s">
        <v>119</v>
      </c>
      <c r="G3467" s="279"/>
      <c r="H3467" s="292">
        <f>SUM(H3465+H3458)</f>
        <v>2106865</v>
      </c>
      <c r="I3467" s="112"/>
      <c r="J3467" s="279"/>
      <c r="K3467" s="63"/>
    </row>
    <row r="3468" spans="1:11" x14ac:dyDescent="0.25">
      <c r="A3468" s="297"/>
      <c r="B3468" s="255"/>
      <c r="C3468" s="255"/>
      <c r="D3468" s="255"/>
      <c r="E3468" s="255"/>
      <c r="F3468" s="255"/>
      <c r="G3468" s="255"/>
      <c r="H3468" s="298"/>
      <c r="J3468" s="255"/>
      <c r="K3468" s="63"/>
    </row>
    <row r="3469" spans="1:11" x14ac:dyDescent="0.25">
      <c r="A3469" s="297"/>
      <c r="B3469" s="255"/>
      <c r="C3469" s="255"/>
      <c r="D3469" s="255"/>
      <c r="E3469" s="255"/>
      <c r="F3469" s="255"/>
      <c r="G3469" s="255"/>
      <c r="H3469" s="298"/>
      <c r="J3469" s="255"/>
      <c r="K3469" s="63"/>
    </row>
    <row r="3470" spans="1:11" hidden="1" x14ac:dyDescent="0.25">
      <c r="A3470" s="297"/>
      <c r="B3470" s="255"/>
      <c r="C3470" s="255"/>
      <c r="D3470" s="255"/>
      <c r="E3470" s="255"/>
      <c r="F3470" s="255"/>
      <c r="G3470" s="255"/>
      <c r="H3470" s="298"/>
      <c r="J3470" s="255"/>
      <c r="K3470" s="63"/>
    </row>
    <row r="3471" spans="1:11" hidden="1" x14ac:dyDescent="0.25">
      <c r="A3471" s="297"/>
      <c r="B3471" s="255"/>
      <c r="C3471" s="255"/>
      <c r="D3471" s="255"/>
      <c r="E3471" s="255"/>
      <c r="F3471" s="255"/>
      <c r="G3471" s="255"/>
      <c r="H3471" s="298"/>
      <c r="J3471" s="255"/>
      <c r="K3471" s="63"/>
    </row>
    <row r="3472" spans="1:11" hidden="1" x14ac:dyDescent="0.25">
      <c r="A3472" s="297"/>
      <c r="B3472" s="255"/>
      <c r="C3472" s="255"/>
      <c r="D3472" s="255"/>
      <c r="E3472" s="255"/>
      <c r="F3472" s="255"/>
      <c r="G3472" s="255"/>
      <c r="H3472" s="298"/>
      <c r="J3472" s="255"/>
      <c r="K3472" s="63"/>
    </row>
    <row r="3473" spans="1:11" x14ac:dyDescent="0.25">
      <c r="A3473" s="297"/>
      <c r="B3473" s="255"/>
      <c r="C3473" s="255"/>
      <c r="D3473" s="255"/>
      <c r="E3473" s="255"/>
      <c r="F3473" s="255"/>
      <c r="G3473" s="255"/>
      <c r="H3473" s="298"/>
      <c r="J3473" s="255"/>
      <c r="K3473" s="63"/>
    </row>
    <row r="3474" spans="1:11" x14ac:dyDescent="0.25">
      <c r="A3474" s="297"/>
      <c r="B3474" s="255"/>
      <c r="C3474" s="255"/>
      <c r="D3474" s="255"/>
      <c r="E3474" s="255"/>
      <c r="F3474" s="255"/>
      <c r="G3474" s="255"/>
      <c r="H3474" s="298"/>
      <c r="J3474" s="255"/>
      <c r="K3474" s="63"/>
    </row>
    <row r="3475" spans="1:11" x14ac:dyDescent="0.25">
      <c r="A3475" s="297"/>
      <c r="B3475" s="255"/>
      <c r="C3475" s="255"/>
      <c r="D3475" s="255"/>
      <c r="E3475" s="255"/>
      <c r="F3475" s="255"/>
      <c r="G3475" s="255"/>
      <c r="H3475" s="298"/>
      <c r="J3475" s="255"/>
      <c r="K3475" s="63"/>
    </row>
    <row r="3476" spans="1:11" x14ac:dyDescent="0.25">
      <c r="A3476" s="297"/>
      <c r="B3476" s="255"/>
      <c r="C3476" s="255"/>
      <c r="D3476" s="255"/>
      <c r="E3476" s="255"/>
      <c r="F3476" s="255"/>
      <c r="G3476" s="255"/>
      <c r="H3476" s="298"/>
      <c r="J3476" s="255"/>
      <c r="K3476" s="63"/>
    </row>
    <row r="3477" spans="1:11" ht="37.15" customHeight="1" x14ac:dyDescent="0.25">
      <c r="A3477" s="297"/>
      <c r="B3477" s="255"/>
      <c r="C3477" s="255"/>
      <c r="D3477" s="255"/>
      <c r="E3477" s="255"/>
      <c r="F3477" s="255"/>
      <c r="G3477" s="255"/>
      <c r="H3477" s="298"/>
      <c r="K3477" s="63"/>
    </row>
    <row r="3478" spans="1:11" x14ac:dyDescent="0.25">
      <c r="A3478" s="297"/>
      <c r="B3478" s="255"/>
      <c r="C3478" s="255"/>
      <c r="D3478" s="255"/>
      <c r="E3478" s="255"/>
      <c r="F3478" s="255"/>
      <c r="G3478" s="255"/>
      <c r="H3478" s="298"/>
      <c r="K3478" s="63"/>
    </row>
    <row r="3479" spans="1:11" x14ac:dyDescent="0.25">
      <c r="A3479" s="297"/>
      <c r="B3479" s="255"/>
      <c r="C3479" s="255"/>
      <c r="D3479" s="255"/>
      <c r="E3479" s="255"/>
      <c r="F3479" s="255"/>
      <c r="G3479" s="255"/>
      <c r="H3479" s="298"/>
      <c r="K3479" s="63"/>
    </row>
    <row r="3480" spans="1:11" x14ac:dyDescent="0.25">
      <c r="A3480" s="297"/>
      <c r="B3480" s="255"/>
      <c r="C3480" s="255"/>
      <c r="D3480" s="255"/>
      <c r="E3480" s="255"/>
      <c r="F3480" s="255"/>
      <c r="G3480" s="255"/>
      <c r="H3480" s="298"/>
      <c r="K3480" s="63"/>
    </row>
    <row r="3481" spans="1:11" x14ac:dyDescent="0.25">
      <c r="A3481" s="297"/>
      <c r="B3481" s="255"/>
      <c r="C3481" s="255"/>
      <c r="D3481" s="255"/>
      <c r="E3481" s="255"/>
      <c r="F3481" s="255"/>
      <c r="G3481" s="255"/>
      <c r="H3481" s="298"/>
      <c r="K3481" s="63"/>
    </row>
    <row r="3482" spans="1:11" x14ac:dyDescent="0.25">
      <c r="A3482" s="439" t="s">
        <v>79</v>
      </c>
      <c r="B3482" s="440"/>
      <c r="C3482" s="440"/>
      <c r="D3482" s="440"/>
      <c r="E3482" s="440"/>
      <c r="F3482" s="440"/>
      <c r="G3482" s="440"/>
      <c r="H3482" s="441"/>
      <c r="I3482" s="250"/>
      <c r="K3482" s="63"/>
    </row>
    <row r="3483" spans="1:11" x14ac:dyDescent="0.25">
      <c r="A3483" s="291"/>
      <c r="B3483" s="228"/>
      <c r="C3483" s="228"/>
      <c r="D3483" s="228"/>
      <c r="E3483" s="47"/>
      <c r="F3483" s="47"/>
      <c r="G3483" s="438" t="s">
        <v>326</v>
      </c>
      <c r="H3483" s="442"/>
      <c r="I3483" s="251"/>
      <c r="J3483" s="5"/>
      <c r="K3483" s="63"/>
    </row>
    <row r="3484" spans="1:11" x14ac:dyDescent="0.25">
      <c r="A3484" s="443" t="s">
        <v>405</v>
      </c>
      <c r="B3484" s="444"/>
      <c r="C3484" s="444"/>
      <c r="D3484" s="444"/>
      <c r="E3484" s="444"/>
      <c r="F3484" s="444"/>
      <c r="G3484" s="444"/>
      <c r="H3484" s="445"/>
      <c r="I3484" s="252"/>
      <c r="K3484" s="63"/>
    </row>
    <row r="3485" spans="1:11" x14ac:dyDescent="0.25">
      <c r="A3485" s="291"/>
      <c r="B3485" s="228"/>
      <c r="C3485" s="228"/>
      <c r="D3485" s="228"/>
      <c r="E3485" s="47"/>
      <c r="F3485" s="47"/>
      <c r="G3485" s="446" t="s">
        <v>365</v>
      </c>
      <c r="H3485" s="447"/>
      <c r="I3485" s="253"/>
      <c r="J3485" s="5"/>
      <c r="K3485" s="63"/>
    </row>
    <row r="3486" spans="1:11" x14ac:dyDescent="0.25">
      <c r="A3486" s="291" t="s">
        <v>82</v>
      </c>
      <c r="B3486" s="228"/>
      <c r="C3486" s="228"/>
      <c r="D3486" s="228"/>
      <c r="E3486" s="47"/>
      <c r="F3486" s="47"/>
      <c r="G3486" s="47"/>
      <c r="H3486" s="233"/>
      <c r="I3486" s="47"/>
      <c r="J3486" s="5"/>
      <c r="K3486" s="63"/>
    </row>
    <row r="3487" spans="1:11" x14ac:dyDescent="0.25">
      <c r="A3487" s="6" t="s">
        <v>0</v>
      </c>
      <c r="B3487" s="7"/>
      <c r="C3487" s="8" t="s">
        <v>83</v>
      </c>
      <c r="D3487" s="8" t="s">
        <v>84</v>
      </c>
      <c r="E3487" s="9" t="s">
        <v>85</v>
      </c>
      <c r="F3487" s="9" t="s">
        <v>86</v>
      </c>
      <c r="G3487" s="9" t="s">
        <v>87</v>
      </c>
      <c r="H3487" s="10"/>
      <c r="I3487" s="47"/>
      <c r="J3487" s="275"/>
      <c r="K3487" s="63"/>
    </row>
    <row r="3488" spans="1:11" x14ac:dyDescent="0.25">
      <c r="A3488" s="11" t="s">
        <v>88</v>
      </c>
      <c r="B3488" s="12"/>
      <c r="C3488" s="13"/>
      <c r="D3488" s="13"/>
      <c r="E3488" s="14"/>
      <c r="F3488" s="14"/>
      <c r="G3488" s="14">
        <f>ROUND(H3512*0.05,0)</f>
        <v>0</v>
      </c>
      <c r="H3488" s="15"/>
      <c r="I3488" s="47"/>
      <c r="J3488" s="230"/>
      <c r="K3488" s="63"/>
    </row>
    <row r="3489" spans="1:12" x14ac:dyDescent="0.25">
      <c r="A3489" s="11" t="s">
        <v>366</v>
      </c>
      <c r="B3489" s="12"/>
      <c r="C3489" s="13"/>
      <c r="D3489" s="13"/>
      <c r="E3489" s="14">
        <v>200000</v>
      </c>
      <c r="F3489" s="14">
        <v>1</v>
      </c>
      <c r="G3489" s="14">
        <f>ROUND(E3489*F3489,0)</f>
        <v>200000</v>
      </c>
      <c r="H3489" s="15"/>
      <c r="I3489" s="47"/>
      <c r="J3489" s="230"/>
      <c r="K3489" s="63"/>
    </row>
    <row r="3490" spans="1:12" x14ac:dyDescent="0.25">
      <c r="A3490" s="11" t="s">
        <v>327</v>
      </c>
      <c r="B3490" s="12"/>
      <c r="C3490" s="13"/>
      <c r="D3490" s="13"/>
      <c r="E3490" s="14">
        <v>350000</v>
      </c>
      <c r="F3490" s="16">
        <v>1</v>
      </c>
      <c r="G3490" s="14">
        <f>ROUND(E3490*F3490,0)</f>
        <v>350000</v>
      </c>
      <c r="H3490" s="15"/>
      <c r="I3490" s="47"/>
      <c r="J3490" s="230"/>
      <c r="K3490" s="63"/>
    </row>
    <row r="3491" spans="1:12" x14ac:dyDescent="0.25">
      <c r="A3491" s="11"/>
      <c r="B3491" s="12"/>
      <c r="C3491" s="13"/>
      <c r="D3491" s="13"/>
      <c r="E3491" s="14"/>
      <c r="F3491" s="14"/>
      <c r="G3491" s="14">
        <f>ROUND(E3491*F3491,0)</f>
        <v>0</v>
      </c>
      <c r="H3491" s="17"/>
      <c r="I3491" s="47"/>
      <c r="J3491" s="230"/>
      <c r="K3491" s="63"/>
    </row>
    <row r="3492" spans="1:12" x14ac:dyDescent="0.25">
      <c r="A3492" s="18"/>
      <c r="B3492" s="19"/>
      <c r="C3492" s="19"/>
      <c r="D3492" s="19"/>
      <c r="E3492" s="20"/>
      <c r="F3492" s="21" t="s">
        <v>90</v>
      </c>
      <c r="G3492" s="22"/>
      <c r="H3492" s="23">
        <f>SUM(G3488:G3491)</f>
        <v>550000</v>
      </c>
      <c r="I3492" s="220"/>
      <c r="J3492" s="274"/>
      <c r="K3492" s="63"/>
    </row>
    <row r="3493" spans="1:12" x14ac:dyDescent="0.25">
      <c r="A3493" s="291" t="s">
        <v>91</v>
      </c>
      <c r="B3493" s="228"/>
      <c r="C3493" s="228"/>
      <c r="D3493" s="228"/>
      <c r="E3493" s="47"/>
      <c r="F3493" s="47"/>
      <c r="G3493" s="47"/>
      <c r="H3493" s="233"/>
      <c r="I3493" s="47"/>
      <c r="J3493" s="5"/>
      <c r="K3493" s="63"/>
    </row>
    <row r="3494" spans="1:12" ht="22.5" x14ac:dyDescent="0.25">
      <c r="A3494" s="24" t="s">
        <v>0</v>
      </c>
      <c r="B3494" s="24"/>
      <c r="C3494" s="8" t="s">
        <v>92</v>
      </c>
      <c r="D3494" s="8" t="s">
        <v>93</v>
      </c>
      <c r="E3494" s="9" t="s">
        <v>94</v>
      </c>
      <c r="F3494" s="9" t="s">
        <v>95</v>
      </c>
      <c r="G3494" s="25" t="s">
        <v>96</v>
      </c>
      <c r="H3494" s="10"/>
      <c r="I3494" s="47"/>
      <c r="J3494" s="249" t="s">
        <v>375</v>
      </c>
      <c r="K3494" s="63"/>
    </row>
    <row r="3495" spans="1:12" x14ac:dyDescent="0.25">
      <c r="A3495" s="196" t="s">
        <v>367</v>
      </c>
      <c r="B3495" s="12"/>
      <c r="C3495" s="35" t="s">
        <v>206</v>
      </c>
      <c r="D3495" s="34">
        <v>0.05</v>
      </c>
      <c r="E3495" s="30">
        <v>420</v>
      </c>
      <c r="F3495" s="14">
        <f>+(48000+7000)/42.5</f>
        <v>1294.1176470588234</v>
      </c>
      <c r="G3495" s="14">
        <f t="shared" ref="G3495:G3503" si="95">ROUND(E3495*F3495,0)</f>
        <v>543529</v>
      </c>
      <c r="H3495" s="15"/>
      <c r="I3495" s="47"/>
      <c r="J3495" s="285" t="s">
        <v>368</v>
      </c>
      <c r="K3495" s="63"/>
    </row>
    <row r="3496" spans="1:12" x14ac:dyDescent="0.25">
      <c r="A3496" s="11" t="s">
        <v>369</v>
      </c>
      <c r="B3496" s="12" t="s">
        <v>149</v>
      </c>
      <c r="C3496" s="35" t="s">
        <v>149</v>
      </c>
      <c r="D3496" s="31">
        <v>0.05</v>
      </c>
      <c r="E3496" s="30">
        <v>33.5</v>
      </c>
      <c r="F3496" s="14">
        <f>18000+5000</f>
        <v>23000</v>
      </c>
      <c r="G3496" s="14">
        <f t="shared" si="95"/>
        <v>770500</v>
      </c>
      <c r="H3496" s="15"/>
      <c r="I3496" s="47"/>
      <c r="J3496" s="285" t="s">
        <v>376</v>
      </c>
      <c r="K3496" s="63" t="s">
        <v>371</v>
      </c>
      <c r="L3496" t="s">
        <v>372</v>
      </c>
    </row>
    <row r="3497" spans="1:12" x14ac:dyDescent="0.25">
      <c r="A3497" s="81" t="s">
        <v>128</v>
      </c>
      <c r="B3497" s="12" t="s">
        <v>149</v>
      </c>
      <c r="C3497" s="35" t="s">
        <v>149</v>
      </c>
      <c r="D3497" s="34">
        <v>0.05</v>
      </c>
      <c r="E3497" s="30">
        <v>33.5</v>
      </c>
      <c r="F3497" s="14">
        <f>18000+5000</f>
        <v>23000</v>
      </c>
      <c r="G3497" s="14">
        <f t="shared" si="95"/>
        <v>770500</v>
      </c>
      <c r="H3497" s="15"/>
      <c r="I3497" s="47"/>
      <c r="J3497" s="286" t="s">
        <v>376</v>
      </c>
      <c r="K3497" s="63"/>
    </row>
    <row r="3498" spans="1:12" x14ac:dyDescent="0.25">
      <c r="A3498" s="11" t="s">
        <v>374</v>
      </c>
      <c r="B3498" s="12"/>
      <c r="C3498" s="35" t="s">
        <v>281</v>
      </c>
      <c r="D3498" s="31">
        <v>0.05</v>
      </c>
      <c r="E3498" s="30">
        <v>190</v>
      </c>
      <c r="F3498" s="74">
        <v>500</v>
      </c>
      <c r="G3498" s="14">
        <f t="shared" si="95"/>
        <v>95000</v>
      </c>
      <c r="H3498" s="15"/>
      <c r="I3498" s="47"/>
      <c r="J3498" s="287"/>
      <c r="K3498" s="63">
        <v>1</v>
      </c>
      <c r="L3498">
        <v>50</v>
      </c>
    </row>
    <row r="3499" spans="1:12" x14ac:dyDescent="0.25">
      <c r="A3499" s="11"/>
      <c r="B3499" s="12"/>
      <c r="C3499" s="35"/>
      <c r="D3499" s="34"/>
      <c r="E3499" s="30"/>
      <c r="F3499" s="14"/>
      <c r="G3499" s="14">
        <f t="shared" si="95"/>
        <v>0</v>
      </c>
      <c r="H3499" s="15"/>
      <c r="I3499" s="47"/>
      <c r="J3499" s="287"/>
      <c r="K3499" s="63">
        <v>0.67</v>
      </c>
    </row>
    <row r="3500" spans="1:12" hidden="1" x14ac:dyDescent="0.25">
      <c r="A3500" s="11"/>
      <c r="B3500" s="12"/>
      <c r="C3500" s="35"/>
      <c r="D3500" s="31"/>
      <c r="E3500" s="30"/>
      <c r="F3500" s="14"/>
      <c r="G3500" s="14">
        <f t="shared" si="95"/>
        <v>0</v>
      </c>
      <c r="H3500" s="15"/>
      <c r="I3500" s="47"/>
      <c r="J3500" s="287"/>
      <c r="K3500" s="63"/>
      <c r="L3500" s="64">
        <f>+(K3499*L3498)/K3498</f>
        <v>33.5</v>
      </c>
    </row>
    <row r="3501" spans="1:12" hidden="1" x14ac:dyDescent="0.25">
      <c r="A3501" s="11"/>
      <c r="B3501" s="12"/>
      <c r="C3501" s="35"/>
      <c r="D3501" s="34"/>
      <c r="E3501" s="30"/>
      <c r="F3501" s="14"/>
      <c r="G3501" s="14">
        <f t="shared" si="95"/>
        <v>0</v>
      </c>
      <c r="H3501" s="15"/>
      <c r="I3501" s="47"/>
      <c r="J3501" s="287"/>
      <c r="K3501" s="63"/>
    </row>
    <row r="3502" spans="1:12" hidden="1" x14ac:dyDescent="0.25">
      <c r="A3502" s="11"/>
      <c r="B3502" s="12"/>
      <c r="C3502" s="35"/>
      <c r="D3502" s="31"/>
      <c r="E3502" s="30"/>
      <c r="F3502" s="14"/>
      <c r="G3502" s="14">
        <f t="shared" si="95"/>
        <v>0</v>
      </c>
      <c r="H3502" s="15"/>
      <c r="I3502" s="47"/>
      <c r="J3502" s="287"/>
      <c r="K3502" s="63"/>
    </row>
    <row r="3503" spans="1:12" hidden="1" x14ac:dyDescent="0.25">
      <c r="A3503" s="11"/>
      <c r="B3503" s="12"/>
      <c r="C3503" s="35"/>
      <c r="D3503" s="31"/>
      <c r="E3503" s="30"/>
      <c r="F3503" s="14"/>
      <c r="G3503" s="14">
        <f t="shared" si="95"/>
        <v>0</v>
      </c>
      <c r="H3503" s="17"/>
      <c r="I3503" s="47"/>
      <c r="J3503" s="287"/>
      <c r="K3503" s="63"/>
    </row>
    <row r="3504" spans="1:12" x14ac:dyDescent="0.25">
      <c r="A3504" s="291"/>
      <c r="B3504" s="228"/>
      <c r="C3504" s="228"/>
      <c r="D3504" s="228"/>
      <c r="E3504" s="36"/>
      <c r="F3504" s="37" t="s">
        <v>102</v>
      </c>
      <c r="G3504" s="38"/>
      <c r="H3504" s="23">
        <f>SUM(G3495:G3503)</f>
        <v>2179529</v>
      </c>
      <c r="I3504" s="220"/>
      <c r="J3504" s="220"/>
      <c r="K3504" s="63"/>
    </row>
    <row r="3505" spans="1:11" x14ac:dyDescent="0.25">
      <c r="A3505" s="291"/>
      <c r="B3505" s="228"/>
      <c r="C3505" s="228"/>
      <c r="D3505" s="228"/>
      <c r="E3505" s="36"/>
      <c r="F3505" s="39" t="s">
        <v>103</v>
      </c>
      <c r="G3505" s="38"/>
      <c r="H3505" s="23">
        <f>ROUND((D3495*G3495)+(D3496*G3496)+(D3497*G3497)+(D3498*G3498)+(D3499*G3499)+(D3500*G3500)+(D3501*G3501)+(D3502*G3502)+(D3503*G3503),0)</f>
        <v>108976</v>
      </c>
      <c r="I3505" s="220"/>
      <c r="J3505" s="280" t="s">
        <v>395</v>
      </c>
      <c r="K3505" s="63"/>
    </row>
    <row r="3506" spans="1:11" x14ac:dyDescent="0.25">
      <c r="A3506" s="291"/>
      <c r="B3506" s="228"/>
      <c r="C3506" s="228"/>
      <c r="D3506" s="228"/>
      <c r="E3506" s="36"/>
      <c r="F3506" s="20" t="s">
        <v>104</v>
      </c>
      <c r="G3506" s="40"/>
      <c r="H3506" s="23">
        <f>SUM(H3504:H3505)</f>
        <v>2288505</v>
      </c>
      <c r="I3506" s="220"/>
      <c r="J3506" s="220"/>
      <c r="K3506" s="63"/>
    </row>
    <row r="3507" spans="1:11" x14ac:dyDescent="0.25">
      <c r="A3507" s="291" t="s">
        <v>105</v>
      </c>
      <c r="B3507" s="228"/>
      <c r="C3507" s="228"/>
      <c r="D3507" s="228"/>
      <c r="E3507" s="47"/>
      <c r="F3507" s="47"/>
      <c r="G3507" s="47"/>
      <c r="H3507" s="233"/>
      <c r="I3507" s="47"/>
      <c r="J3507" s="47"/>
      <c r="K3507" s="63"/>
    </row>
    <row r="3508" spans="1:11" x14ac:dyDescent="0.25">
      <c r="A3508" s="24" t="s">
        <v>0</v>
      </c>
      <c r="B3508" s="24"/>
      <c r="C3508" s="8" t="s">
        <v>106</v>
      </c>
      <c r="D3508" s="8" t="s">
        <v>107</v>
      </c>
      <c r="E3508" s="9" t="s">
        <v>108</v>
      </c>
      <c r="F3508" s="9" t="s">
        <v>109</v>
      </c>
      <c r="G3508" s="41" t="s">
        <v>96</v>
      </c>
      <c r="H3508" s="10"/>
      <c r="I3508" s="47"/>
      <c r="J3508" s="275"/>
      <c r="K3508" s="63"/>
    </row>
    <row r="3509" spans="1:11" x14ac:dyDescent="0.25">
      <c r="A3509" s="18" t="s">
        <v>110</v>
      </c>
      <c r="B3509" s="42"/>
      <c r="C3509" s="13">
        <v>104000</v>
      </c>
      <c r="D3509" s="13">
        <f>+C3509*0.16</f>
        <v>16640</v>
      </c>
      <c r="E3509" s="14">
        <f>C3509+D3509</f>
        <v>120640</v>
      </c>
      <c r="F3509" s="30"/>
      <c r="G3509" s="14">
        <f>ROUND(E3509*F3509,0)</f>
        <v>0</v>
      </c>
      <c r="H3509" s="15"/>
      <c r="I3509" s="47"/>
      <c r="J3509" s="230"/>
      <c r="K3509" s="63"/>
    </row>
    <row r="3510" spans="1:11" x14ac:dyDescent="0.25">
      <c r="A3510" s="18" t="s">
        <v>111</v>
      </c>
      <c r="B3510" s="42"/>
      <c r="C3510" s="13">
        <f>+(60400*5)</f>
        <v>302000</v>
      </c>
      <c r="D3510" s="13">
        <f>+(C3510*0.16)*5</f>
        <v>241600</v>
      </c>
      <c r="E3510" s="14">
        <f>C3510+D3510</f>
        <v>543600</v>
      </c>
      <c r="F3510" s="30"/>
      <c r="G3510" s="14">
        <f>ROUND(E3510*F3510,0)</f>
        <v>0</v>
      </c>
      <c r="H3510" s="15"/>
      <c r="I3510" s="47"/>
      <c r="J3510" s="230"/>
      <c r="K3510" s="63"/>
    </row>
    <row r="3511" spans="1:11" x14ac:dyDescent="0.25">
      <c r="A3511" s="18"/>
      <c r="B3511" s="42"/>
      <c r="C3511" s="43"/>
      <c r="D3511" s="43"/>
      <c r="E3511" s="44">
        <f>C3511+D3511</f>
        <v>0</v>
      </c>
      <c r="F3511" s="45"/>
      <c r="G3511" s="14">
        <f>ROUND(E3511*F3511,0)</f>
        <v>0</v>
      </c>
      <c r="H3511" s="15"/>
      <c r="I3511" s="47"/>
      <c r="J3511" s="47"/>
      <c r="K3511" s="63"/>
    </row>
    <row r="3512" spans="1:11" x14ac:dyDescent="0.25">
      <c r="A3512" s="291"/>
      <c r="B3512" s="228"/>
      <c r="C3512" s="228"/>
      <c r="D3512" s="228"/>
      <c r="E3512" s="277" t="s">
        <v>112</v>
      </c>
      <c r="F3512" s="277"/>
      <c r="G3512" s="277"/>
      <c r="H3512" s="23">
        <f>SUM(G3509:G3511)</f>
        <v>0</v>
      </c>
      <c r="I3512" s="220"/>
      <c r="J3512" s="277"/>
      <c r="K3512" s="63"/>
    </row>
    <row r="3513" spans="1:11" x14ac:dyDescent="0.25">
      <c r="A3513" s="291"/>
      <c r="B3513" s="228"/>
      <c r="C3513" s="228"/>
      <c r="D3513" s="228"/>
      <c r="E3513" s="47"/>
      <c r="F3513" s="47"/>
      <c r="G3513" s="47"/>
      <c r="H3513" s="233"/>
      <c r="I3513" s="47"/>
      <c r="J3513" s="47"/>
      <c r="K3513" s="63"/>
    </row>
    <row r="3514" spans="1:11" x14ac:dyDescent="0.25">
      <c r="A3514" s="18"/>
      <c r="B3514" s="19"/>
      <c r="C3514" s="19"/>
      <c r="D3514" s="19"/>
      <c r="E3514" s="48" t="s">
        <v>113</v>
      </c>
      <c r="F3514" s="48"/>
      <c r="G3514" s="48"/>
      <c r="H3514" s="25">
        <f>H3512+H3506+H3492</f>
        <v>2838505</v>
      </c>
      <c r="I3514" s="222"/>
      <c r="J3514" s="278"/>
      <c r="K3514" s="63"/>
    </row>
    <row r="3515" spans="1:11" x14ac:dyDescent="0.25">
      <c r="A3515" s="291"/>
      <c r="B3515" s="228"/>
      <c r="C3515" s="228"/>
      <c r="D3515" s="228"/>
      <c r="E3515" s="47"/>
      <c r="F3515" s="47"/>
      <c r="G3515" s="47"/>
      <c r="H3515" s="233"/>
      <c r="I3515" s="47"/>
      <c r="J3515" s="47"/>
      <c r="K3515" s="63"/>
    </row>
    <row r="3516" spans="1:11" x14ac:dyDescent="0.25">
      <c r="A3516" s="291" t="s">
        <v>114</v>
      </c>
      <c r="B3516" s="228"/>
      <c r="C3516" s="228"/>
      <c r="D3516" s="228"/>
      <c r="E3516" s="47"/>
      <c r="F3516" s="47"/>
      <c r="G3516" s="47"/>
      <c r="H3516" s="233"/>
      <c r="I3516" s="47"/>
      <c r="J3516" s="47"/>
      <c r="K3516" s="63"/>
    </row>
    <row r="3517" spans="1:11" x14ac:dyDescent="0.25">
      <c r="A3517" s="6" t="s">
        <v>0</v>
      </c>
      <c r="B3517" s="49"/>
      <c r="C3517" s="49"/>
      <c r="D3517" s="49"/>
      <c r="E3517" s="50"/>
      <c r="F3517" s="9" t="s">
        <v>115</v>
      </c>
      <c r="G3517" s="41" t="s">
        <v>116</v>
      </c>
      <c r="H3517" s="10"/>
      <c r="I3517" s="47"/>
      <c r="J3517" s="278"/>
      <c r="K3517" s="63"/>
    </row>
    <row r="3518" spans="1:11" x14ac:dyDescent="0.25">
      <c r="A3518" s="11" t="s">
        <v>117</v>
      </c>
      <c r="B3518" s="51"/>
      <c r="C3518" s="51"/>
      <c r="D3518" s="51"/>
      <c r="E3518" s="52"/>
      <c r="F3518" s="53"/>
      <c r="G3518" s="14">
        <f>F3518*H3514</f>
        <v>0</v>
      </c>
      <c r="H3518" s="15"/>
      <c r="I3518" s="47"/>
      <c r="J3518" s="230"/>
      <c r="K3518" s="63"/>
    </row>
    <row r="3519" spans="1:11" x14ac:dyDescent="0.25">
      <c r="A3519" s="11"/>
      <c r="B3519" s="51"/>
      <c r="C3519" s="51"/>
      <c r="D3519" s="51"/>
      <c r="E3519" s="52"/>
      <c r="F3519" s="53"/>
      <c r="G3519" s="14">
        <f>F3519*H3514</f>
        <v>0</v>
      </c>
      <c r="H3519" s="15"/>
      <c r="I3519" s="47"/>
      <c r="J3519" s="230"/>
      <c r="K3519" s="63"/>
    </row>
    <row r="3520" spans="1:11" x14ac:dyDescent="0.25">
      <c r="A3520" s="11"/>
      <c r="B3520" s="51"/>
      <c r="C3520" s="51"/>
      <c r="D3520" s="51"/>
      <c r="E3520" s="52"/>
      <c r="F3520" s="53"/>
      <c r="G3520" s="14">
        <f>F3520*H3514</f>
        <v>0</v>
      </c>
      <c r="H3520" s="17"/>
      <c r="I3520" s="47"/>
      <c r="J3520" s="230"/>
      <c r="K3520" s="63"/>
    </row>
    <row r="3521" spans="1:11" x14ac:dyDescent="0.25">
      <c r="A3521" s="291"/>
      <c r="B3521" s="228"/>
      <c r="C3521" s="228"/>
      <c r="D3521" s="228"/>
      <c r="E3521" s="277" t="s">
        <v>118</v>
      </c>
      <c r="F3521" s="277"/>
      <c r="G3521" s="277"/>
      <c r="H3521" s="23">
        <f>SUM(G3518:G3520)</f>
        <v>0</v>
      </c>
      <c r="I3521" s="220"/>
      <c r="J3521" s="46"/>
      <c r="K3521" s="63"/>
    </row>
    <row r="3522" spans="1:11" ht="15.75" thickBot="1" x14ac:dyDescent="0.3">
      <c r="A3522" s="291"/>
      <c r="B3522" s="228"/>
      <c r="C3522" s="228"/>
      <c r="D3522" s="228"/>
      <c r="E3522" s="47"/>
      <c r="F3522" s="47"/>
      <c r="G3522" s="47"/>
      <c r="H3522" s="233"/>
      <c r="I3522" s="47"/>
      <c r="J3522" s="5"/>
      <c r="K3522" s="63"/>
    </row>
    <row r="3523" spans="1:11" ht="15" customHeight="1" thickBot="1" x14ac:dyDescent="0.3">
      <c r="A3523" s="291"/>
      <c r="B3523" s="228"/>
      <c r="C3523" s="228"/>
      <c r="D3523" s="228"/>
      <c r="E3523" s="279"/>
      <c r="F3523" s="279" t="s">
        <v>119</v>
      </c>
      <c r="G3523" s="279"/>
      <c r="H3523" s="292">
        <f>SUM(H3521+H3514)</f>
        <v>2838505</v>
      </c>
      <c r="I3523" s="112"/>
      <c r="J3523" s="54"/>
      <c r="K3523" s="63"/>
    </row>
    <row r="3524" spans="1:11" ht="15" customHeight="1" x14ac:dyDescent="0.25">
      <c r="A3524" s="291"/>
      <c r="B3524" s="228"/>
      <c r="C3524" s="228"/>
      <c r="D3524" s="228"/>
      <c r="E3524" s="279"/>
      <c r="F3524" s="279"/>
      <c r="G3524" s="279"/>
      <c r="H3524" s="293"/>
      <c r="I3524" s="112"/>
      <c r="J3524" s="54"/>
      <c r="K3524" s="63"/>
    </row>
    <row r="3525" spans="1:11" ht="15" customHeight="1" x14ac:dyDescent="0.25">
      <c r="A3525" s="291"/>
      <c r="B3525" s="228"/>
      <c r="C3525" s="228"/>
      <c r="D3525" s="228"/>
      <c r="E3525" s="279"/>
      <c r="F3525" s="279"/>
      <c r="G3525" s="279"/>
      <c r="H3525" s="293"/>
      <c r="I3525" s="112"/>
      <c r="J3525" s="54"/>
      <c r="K3525" s="63"/>
    </row>
    <row r="3526" spans="1:11" ht="15" customHeight="1" x14ac:dyDescent="0.25">
      <c r="A3526" s="291"/>
      <c r="B3526" s="228"/>
      <c r="C3526" s="228"/>
      <c r="D3526" s="228"/>
      <c r="E3526" s="279"/>
      <c r="F3526" s="279"/>
      <c r="G3526" s="279"/>
      <c r="H3526" s="293"/>
      <c r="I3526" s="112"/>
      <c r="J3526" s="54"/>
      <c r="K3526" s="63"/>
    </row>
    <row r="3527" spans="1:11" ht="15" customHeight="1" x14ac:dyDescent="0.25">
      <c r="A3527" s="291"/>
      <c r="B3527" s="228"/>
      <c r="C3527" s="228"/>
      <c r="D3527" s="228"/>
      <c r="E3527" s="279"/>
      <c r="F3527" s="279"/>
      <c r="G3527" s="279"/>
      <c r="H3527" s="293"/>
      <c r="I3527" s="112"/>
      <c r="J3527" s="54"/>
      <c r="K3527" s="63"/>
    </row>
    <row r="3528" spans="1:11" ht="15" customHeight="1" x14ac:dyDescent="0.25">
      <c r="A3528" s="291"/>
      <c r="B3528" s="228"/>
      <c r="C3528" s="228"/>
      <c r="D3528" s="228"/>
      <c r="E3528" s="279"/>
      <c r="F3528" s="279"/>
      <c r="G3528" s="279"/>
      <c r="H3528" s="293"/>
      <c r="I3528" s="112"/>
      <c r="J3528" s="54"/>
      <c r="K3528" s="63"/>
    </row>
    <row r="3529" spans="1:11" ht="15" customHeight="1" x14ac:dyDescent="0.25">
      <c r="A3529" s="297"/>
      <c r="B3529" s="255"/>
      <c r="C3529" s="255"/>
      <c r="D3529" s="255"/>
      <c r="E3529" s="255"/>
      <c r="F3529" s="255"/>
      <c r="G3529" s="255"/>
      <c r="H3529" s="298"/>
    </row>
    <row r="3530" spans="1:11" x14ac:dyDescent="0.25">
      <c r="A3530" s="297"/>
      <c r="B3530" s="255"/>
      <c r="C3530" s="255"/>
      <c r="D3530" s="255"/>
      <c r="E3530" s="255"/>
      <c r="F3530" s="255"/>
      <c r="G3530" s="255"/>
      <c r="H3530" s="298"/>
    </row>
    <row r="3531" spans="1:11" x14ac:dyDescent="0.25">
      <c r="A3531" s="297"/>
      <c r="B3531" s="250"/>
      <c r="C3531" s="250"/>
      <c r="D3531" s="250" t="s">
        <v>79</v>
      </c>
      <c r="E3531" s="250"/>
      <c r="F3531" s="250"/>
      <c r="G3531" s="250"/>
      <c r="H3531" s="299"/>
      <c r="I3531" s="250"/>
      <c r="K3531" s="63"/>
    </row>
    <row r="3532" spans="1:11" x14ac:dyDescent="0.25">
      <c r="A3532" s="291"/>
      <c r="B3532" s="228"/>
      <c r="C3532" s="228"/>
      <c r="D3532" s="228"/>
      <c r="E3532" s="47"/>
      <c r="F3532" s="47"/>
      <c r="G3532" s="47"/>
      <c r="H3532" s="233"/>
      <c r="I3532" s="47"/>
      <c r="K3532" s="63"/>
    </row>
    <row r="3533" spans="1:11" x14ac:dyDescent="0.25">
      <c r="A3533" s="291"/>
      <c r="B3533" s="228"/>
      <c r="C3533" s="228"/>
      <c r="D3533" s="228"/>
      <c r="E3533" s="47"/>
      <c r="F3533" s="47"/>
      <c r="G3533" s="438" t="s">
        <v>326</v>
      </c>
      <c r="H3533" s="442"/>
      <c r="I3533" s="251"/>
      <c r="K3533" s="63"/>
    </row>
    <row r="3534" spans="1:11" x14ac:dyDescent="0.25">
      <c r="A3534" s="448" t="s">
        <v>377</v>
      </c>
      <c r="B3534" s="449"/>
      <c r="C3534" s="449"/>
      <c r="D3534" s="449"/>
      <c r="E3534" s="449"/>
      <c r="F3534" s="449"/>
      <c r="G3534" s="449"/>
      <c r="H3534" s="450"/>
      <c r="I3534" s="270"/>
      <c r="K3534" s="63"/>
    </row>
    <row r="3535" spans="1:11" x14ac:dyDescent="0.25">
      <c r="A3535" s="291"/>
      <c r="B3535" s="228"/>
      <c r="C3535" s="228"/>
      <c r="D3535" s="228"/>
      <c r="E3535" s="47"/>
      <c r="F3535" s="47"/>
      <c r="G3535" s="261" t="s">
        <v>365</v>
      </c>
      <c r="H3535" s="300"/>
      <c r="I3535" s="261"/>
      <c r="K3535" s="63"/>
    </row>
    <row r="3536" spans="1:11" x14ac:dyDescent="0.25">
      <c r="A3536" s="291" t="s">
        <v>82</v>
      </c>
      <c r="B3536" s="228"/>
      <c r="C3536" s="228"/>
      <c r="D3536" s="228"/>
      <c r="E3536" s="47"/>
      <c r="F3536" s="47"/>
      <c r="G3536" s="47"/>
      <c r="H3536" s="233"/>
      <c r="I3536" s="47"/>
      <c r="K3536" s="63"/>
    </row>
    <row r="3537" spans="1:11" x14ac:dyDescent="0.25">
      <c r="A3537" s="6" t="s">
        <v>0</v>
      </c>
      <c r="B3537" s="7"/>
      <c r="C3537" s="8" t="s">
        <v>83</v>
      </c>
      <c r="D3537" s="8" t="s">
        <v>84</v>
      </c>
      <c r="E3537" s="9" t="s">
        <v>85</v>
      </c>
      <c r="F3537" s="9" t="s">
        <v>86</v>
      </c>
      <c r="G3537" s="9" t="s">
        <v>87</v>
      </c>
      <c r="H3537" s="10"/>
      <c r="I3537" s="47"/>
      <c r="K3537" s="63"/>
    </row>
    <row r="3538" spans="1:11" x14ac:dyDescent="0.25">
      <c r="A3538" s="11" t="s">
        <v>88</v>
      </c>
      <c r="B3538" s="12"/>
      <c r="C3538" s="13"/>
      <c r="D3538" s="13"/>
      <c r="E3538" s="14"/>
      <c r="F3538" s="14"/>
      <c r="G3538" s="14">
        <f>ROUND(H3562*0.05,0)</f>
        <v>0</v>
      </c>
      <c r="H3538" s="15"/>
      <c r="I3538" s="47"/>
      <c r="K3538" s="63"/>
    </row>
    <row r="3539" spans="1:11" x14ac:dyDescent="0.25">
      <c r="A3539" s="11" t="s">
        <v>328</v>
      </c>
      <c r="B3539" s="12"/>
      <c r="C3539" s="13"/>
      <c r="D3539" s="13"/>
      <c r="E3539" s="14">
        <v>50000</v>
      </c>
      <c r="F3539" s="14"/>
      <c r="G3539" s="14">
        <f>ROUND(E3539*F3539,0)</f>
        <v>0</v>
      </c>
      <c r="H3539" s="15"/>
      <c r="I3539" s="47"/>
      <c r="K3539" s="63"/>
    </row>
    <row r="3540" spans="1:11" x14ac:dyDescent="0.25">
      <c r="A3540" s="11" t="s">
        <v>378</v>
      </c>
      <c r="B3540" s="12"/>
      <c r="C3540" s="13"/>
      <c r="D3540" s="13"/>
      <c r="E3540" s="14">
        <v>200000</v>
      </c>
      <c r="F3540" s="16">
        <v>1</v>
      </c>
      <c r="G3540" s="14">
        <f>ROUND(E3540*F3540,0)</f>
        <v>200000</v>
      </c>
      <c r="H3540" s="15"/>
      <c r="I3540" s="47"/>
      <c r="K3540" s="63"/>
    </row>
    <row r="3541" spans="1:11" x14ac:dyDescent="0.25">
      <c r="A3541" s="11"/>
      <c r="B3541" s="12"/>
      <c r="C3541" s="13"/>
      <c r="D3541" s="13"/>
      <c r="E3541" s="14"/>
      <c r="F3541" s="14"/>
      <c r="G3541" s="14">
        <f>ROUND(E3541*F3541,0)</f>
        <v>0</v>
      </c>
      <c r="H3541" s="17"/>
      <c r="I3541" s="47"/>
      <c r="K3541" s="63"/>
    </row>
    <row r="3542" spans="1:11" x14ac:dyDescent="0.25">
      <c r="A3542" s="18"/>
      <c r="B3542" s="19"/>
      <c r="C3542" s="19"/>
      <c r="D3542" s="19"/>
      <c r="E3542" s="98"/>
      <c r="F3542" s="21" t="s">
        <v>90</v>
      </c>
      <c r="G3542" s="22"/>
      <c r="H3542" s="23">
        <f>SUM(G3538:G3541)</f>
        <v>200000</v>
      </c>
      <c r="I3542" s="220"/>
      <c r="J3542" s="436" t="s">
        <v>393</v>
      </c>
      <c r="K3542" s="63"/>
    </row>
    <row r="3543" spans="1:11" x14ac:dyDescent="0.25">
      <c r="A3543" s="291" t="s">
        <v>91</v>
      </c>
      <c r="B3543" s="228"/>
      <c r="C3543" s="228"/>
      <c r="D3543" s="228"/>
      <c r="E3543" s="47"/>
      <c r="F3543" s="47"/>
      <c r="G3543" s="47"/>
      <c r="H3543" s="233"/>
      <c r="I3543" s="47"/>
      <c r="J3543" s="436"/>
      <c r="K3543" s="63"/>
    </row>
    <row r="3544" spans="1:11" x14ac:dyDescent="0.25">
      <c r="A3544" s="24" t="s">
        <v>0</v>
      </c>
      <c r="B3544" s="24"/>
      <c r="C3544" s="8" t="s">
        <v>92</v>
      </c>
      <c r="D3544" s="8" t="s">
        <v>93</v>
      </c>
      <c r="E3544" s="9" t="s">
        <v>94</v>
      </c>
      <c r="F3544" s="9" t="s">
        <v>95</v>
      </c>
      <c r="G3544" s="25" t="s">
        <v>96</v>
      </c>
      <c r="H3544" s="10"/>
      <c r="I3544" s="47"/>
      <c r="K3544" s="63"/>
    </row>
    <row r="3545" spans="1:11" x14ac:dyDescent="0.25">
      <c r="A3545" s="81" t="s">
        <v>379</v>
      </c>
      <c r="B3545" s="12"/>
      <c r="C3545" s="35" t="s">
        <v>212</v>
      </c>
      <c r="D3545" s="34">
        <v>0.05</v>
      </c>
      <c r="E3545" s="30">
        <v>1.1599999999999999</v>
      </c>
      <c r="F3545" s="14">
        <f>560000+85000</f>
        <v>645000</v>
      </c>
      <c r="G3545" s="14">
        <f t="shared" ref="G3545:G3553" si="96">ROUND(E3545*F3545,0)</f>
        <v>748200</v>
      </c>
      <c r="H3545" s="15"/>
      <c r="I3545" s="47"/>
      <c r="J3545" s="284" t="s">
        <v>380</v>
      </c>
      <c r="K3545" s="63"/>
    </row>
    <row r="3546" spans="1:11" x14ac:dyDescent="0.25">
      <c r="A3546" s="11" t="s">
        <v>381</v>
      </c>
      <c r="B3546" s="12"/>
      <c r="C3546" s="35" t="s">
        <v>206</v>
      </c>
      <c r="D3546" s="31">
        <v>0.05</v>
      </c>
      <c r="E3546" s="30">
        <v>364</v>
      </c>
      <c r="F3546" s="14">
        <f>+(48000+7000)/42.5</f>
        <v>1294.1176470588234</v>
      </c>
      <c r="G3546" s="14">
        <f t="shared" si="96"/>
        <v>471059</v>
      </c>
      <c r="H3546" s="15"/>
      <c r="I3546" s="47"/>
      <c r="J3546" s="285" t="s">
        <v>368</v>
      </c>
      <c r="K3546" s="63"/>
    </row>
    <row r="3547" spans="1:11" x14ac:dyDescent="0.25">
      <c r="A3547" s="81" t="s">
        <v>374</v>
      </c>
      <c r="B3547" s="127"/>
      <c r="C3547" s="35" t="s">
        <v>281</v>
      </c>
      <c r="D3547" s="34">
        <v>0.05</v>
      </c>
      <c r="E3547" s="30">
        <v>185</v>
      </c>
      <c r="F3547" s="74">
        <v>500</v>
      </c>
      <c r="G3547" s="14">
        <f t="shared" si="96"/>
        <v>92500</v>
      </c>
      <c r="H3547" s="15"/>
      <c r="I3547" s="47"/>
      <c r="K3547" s="63"/>
    </row>
    <row r="3548" spans="1:11" x14ac:dyDescent="0.25">
      <c r="A3548" s="11"/>
      <c r="B3548" s="12"/>
      <c r="C3548" s="35"/>
      <c r="D3548" s="31"/>
      <c r="E3548" s="30"/>
      <c r="F3548" s="14"/>
      <c r="G3548" s="14">
        <f t="shared" si="96"/>
        <v>0</v>
      </c>
      <c r="H3548" s="15"/>
      <c r="I3548" s="47"/>
      <c r="K3548" s="63"/>
    </row>
    <row r="3549" spans="1:11" hidden="1" x14ac:dyDescent="0.25">
      <c r="A3549" s="11"/>
      <c r="B3549" s="12"/>
      <c r="C3549" s="35"/>
      <c r="D3549" s="34"/>
      <c r="E3549" s="30"/>
      <c r="F3549" s="14"/>
      <c r="G3549" s="14">
        <f t="shared" si="96"/>
        <v>0</v>
      </c>
      <c r="H3549" s="15"/>
      <c r="I3549" s="47"/>
      <c r="K3549" s="63"/>
    </row>
    <row r="3550" spans="1:11" hidden="1" x14ac:dyDescent="0.25">
      <c r="A3550" s="11"/>
      <c r="B3550" s="12"/>
      <c r="C3550" s="35"/>
      <c r="D3550" s="31"/>
      <c r="E3550" s="30"/>
      <c r="F3550" s="14"/>
      <c r="G3550" s="14">
        <f t="shared" si="96"/>
        <v>0</v>
      </c>
      <c r="H3550" s="15"/>
      <c r="I3550" s="47"/>
      <c r="K3550" s="63"/>
    </row>
    <row r="3551" spans="1:11" hidden="1" x14ac:dyDescent="0.25">
      <c r="A3551" s="11"/>
      <c r="B3551" s="12"/>
      <c r="C3551" s="35"/>
      <c r="D3551" s="34"/>
      <c r="E3551" s="30"/>
      <c r="F3551" s="14"/>
      <c r="G3551" s="14">
        <f t="shared" si="96"/>
        <v>0</v>
      </c>
      <c r="H3551" s="15"/>
      <c r="I3551" s="47"/>
      <c r="K3551" s="63"/>
    </row>
    <row r="3552" spans="1:11" hidden="1" x14ac:dyDescent="0.25">
      <c r="A3552" s="11"/>
      <c r="B3552" s="12"/>
      <c r="C3552" s="35"/>
      <c r="D3552" s="31"/>
      <c r="E3552" s="30"/>
      <c r="F3552" s="14"/>
      <c r="G3552" s="14">
        <f t="shared" si="96"/>
        <v>0</v>
      </c>
      <c r="H3552" s="15"/>
      <c r="I3552" s="47"/>
      <c r="K3552" s="63"/>
    </row>
    <row r="3553" spans="1:11" x14ac:dyDescent="0.25">
      <c r="A3553" s="11"/>
      <c r="B3553" s="12"/>
      <c r="C3553" s="35"/>
      <c r="D3553" s="31"/>
      <c r="E3553" s="30"/>
      <c r="F3553" s="14"/>
      <c r="G3553" s="14">
        <f t="shared" si="96"/>
        <v>0</v>
      </c>
      <c r="H3553" s="17"/>
      <c r="I3553" s="47"/>
      <c r="K3553" s="63"/>
    </row>
    <row r="3554" spans="1:11" x14ac:dyDescent="0.25">
      <c r="A3554" s="291"/>
      <c r="B3554" s="228"/>
      <c r="C3554" s="228"/>
      <c r="D3554" s="228"/>
      <c r="E3554" s="36"/>
      <c r="F3554" s="37" t="s">
        <v>102</v>
      </c>
      <c r="G3554" s="38"/>
      <c r="H3554" s="23">
        <f>SUM(G3545:G3553)</f>
        <v>1311759</v>
      </c>
      <c r="I3554" s="220"/>
      <c r="K3554" s="63"/>
    </row>
    <row r="3555" spans="1:11" x14ac:dyDescent="0.25">
      <c r="A3555" s="291"/>
      <c r="B3555" s="228"/>
      <c r="C3555" s="228"/>
      <c r="D3555" s="228"/>
      <c r="E3555" s="36"/>
      <c r="F3555" s="39" t="s">
        <v>103</v>
      </c>
      <c r="G3555" s="38"/>
      <c r="H3555" s="23">
        <f>ROUND((D3545*G3545)+(D3546*G3546)+(D3547*G3547)+(D3548*G3548)+(D3549*G3549)+(D3550*G3550)+(D3551*G3551)+(D3552*G3552)+(D3553*G3553),0)</f>
        <v>65588</v>
      </c>
      <c r="I3555" s="220"/>
      <c r="K3555" s="63"/>
    </row>
    <row r="3556" spans="1:11" x14ac:dyDescent="0.25">
      <c r="A3556" s="291"/>
      <c r="B3556" s="228"/>
      <c r="C3556" s="228"/>
      <c r="D3556" s="228"/>
      <c r="E3556" s="36"/>
      <c r="F3556" s="20" t="s">
        <v>104</v>
      </c>
      <c r="G3556" s="40"/>
      <c r="H3556" s="23">
        <f>SUM(H3554:H3555)</f>
        <v>1377347</v>
      </c>
      <c r="I3556" s="220"/>
      <c r="K3556" s="63"/>
    </row>
    <row r="3557" spans="1:11" x14ac:dyDescent="0.25">
      <c r="A3557" s="291" t="s">
        <v>105</v>
      </c>
      <c r="B3557" s="228"/>
      <c r="C3557" s="228"/>
      <c r="D3557" s="228"/>
      <c r="E3557" s="47"/>
      <c r="F3557" s="47"/>
      <c r="G3557" s="47"/>
      <c r="H3557" s="233"/>
      <c r="I3557" s="47"/>
      <c r="K3557" s="63"/>
    </row>
    <row r="3558" spans="1:11" x14ac:dyDescent="0.25">
      <c r="A3558" s="24" t="s">
        <v>0</v>
      </c>
      <c r="B3558" s="24"/>
      <c r="C3558" s="8" t="s">
        <v>106</v>
      </c>
      <c r="D3558" s="8" t="s">
        <v>107</v>
      </c>
      <c r="E3558" s="9" t="s">
        <v>108</v>
      </c>
      <c r="F3558" s="9" t="s">
        <v>109</v>
      </c>
      <c r="G3558" s="41" t="s">
        <v>96</v>
      </c>
      <c r="H3558" s="10"/>
      <c r="I3558" s="47"/>
      <c r="K3558" s="63"/>
    </row>
    <row r="3559" spans="1:11" x14ac:dyDescent="0.25">
      <c r="A3559" s="18" t="s">
        <v>110</v>
      </c>
      <c r="B3559" s="42"/>
      <c r="C3559" s="13">
        <v>104000</v>
      </c>
      <c r="D3559" s="13">
        <f>+C3559*0.16</f>
        <v>16640</v>
      </c>
      <c r="E3559" s="14">
        <f>C3559+D3559</f>
        <v>120640</v>
      </c>
      <c r="F3559" s="30"/>
      <c r="G3559" s="14">
        <f>ROUND(E3559*F3559,0)</f>
        <v>0</v>
      </c>
      <c r="H3559" s="15"/>
      <c r="I3559" s="47"/>
      <c r="K3559" s="63"/>
    </row>
    <row r="3560" spans="1:11" x14ac:dyDescent="0.25">
      <c r="A3560" s="18" t="s">
        <v>111</v>
      </c>
      <c r="B3560" s="42"/>
      <c r="C3560" s="13">
        <v>60400</v>
      </c>
      <c r="D3560" s="13">
        <f>+C3560*0.16</f>
        <v>9664</v>
      </c>
      <c r="E3560" s="14">
        <f>C3560+D3560</f>
        <v>70064</v>
      </c>
      <c r="F3560" s="30"/>
      <c r="G3560" s="14">
        <f>ROUND(E3560*F3560,0)</f>
        <v>0</v>
      </c>
      <c r="H3560" s="15"/>
      <c r="I3560" s="47"/>
      <c r="K3560" s="63"/>
    </row>
    <row r="3561" spans="1:11" x14ac:dyDescent="0.25">
      <c r="A3561" s="18"/>
      <c r="B3561" s="42"/>
      <c r="C3561" s="43"/>
      <c r="D3561" s="43"/>
      <c r="E3561" s="44">
        <f>C3561+D3561</f>
        <v>0</v>
      </c>
      <c r="F3561" s="45"/>
      <c r="G3561" s="14">
        <f>ROUND(E3561*F3561,0)</f>
        <v>0</v>
      </c>
      <c r="H3561" s="15"/>
      <c r="I3561" s="47"/>
      <c r="K3561" s="63"/>
    </row>
    <row r="3562" spans="1:11" x14ac:dyDescent="0.25">
      <c r="A3562" s="291"/>
      <c r="B3562" s="228"/>
      <c r="C3562" s="228"/>
      <c r="D3562" s="228"/>
      <c r="E3562" s="277" t="s">
        <v>112</v>
      </c>
      <c r="F3562" s="277"/>
      <c r="G3562" s="277"/>
      <c r="H3562" s="82">
        <f>SUM(G3559:G3561)</f>
        <v>0</v>
      </c>
      <c r="I3562" s="221"/>
      <c r="K3562" s="63"/>
    </row>
    <row r="3563" spans="1:11" x14ac:dyDescent="0.25">
      <c r="A3563" s="291"/>
      <c r="B3563" s="228"/>
      <c r="C3563" s="228"/>
      <c r="D3563" s="228"/>
      <c r="E3563" s="47"/>
      <c r="F3563" s="47"/>
      <c r="G3563" s="47"/>
      <c r="H3563" s="233"/>
      <c r="I3563" s="47"/>
      <c r="K3563" s="63"/>
    </row>
    <row r="3564" spans="1:11" x14ac:dyDescent="0.25">
      <c r="A3564" s="18"/>
      <c r="B3564" s="19"/>
      <c r="C3564" s="19"/>
      <c r="D3564" s="19"/>
      <c r="E3564" s="48" t="s">
        <v>113</v>
      </c>
      <c r="F3564" s="48"/>
      <c r="G3564" s="48"/>
      <c r="H3564" s="25">
        <f>H3562+H3556+H3542</f>
        <v>1577347</v>
      </c>
      <c r="I3564" s="222"/>
      <c r="K3564" s="63"/>
    </row>
    <row r="3565" spans="1:11" x14ac:dyDescent="0.25">
      <c r="A3565" s="291"/>
      <c r="B3565" s="228"/>
      <c r="C3565" s="228"/>
      <c r="D3565" s="228"/>
      <c r="E3565" s="47"/>
      <c r="F3565" s="47"/>
      <c r="G3565" s="47"/>
      <c r="H3565" s="233"/>
      <c r="I3565" s="47"/>
      <c r="K3565" s="63"/>
    </row>
    <row r="3566" spans="1:11" x14ac:dyDescent="0.25">
      <c r="A3566" s="291" t="s">
        <v>114</v>
      </c>
      <c r="B3566" s="228"/>
      <c r="C3566" s="228"/>
      <c r="D3566" s="228"/>
      <c r="E3566" s="47"/>
      <c r="F3566" s="47"/>
      <c r="G3566" s="47"/>
      <c r="H3566" s="233"/>
      <c r="I3566" s="47"/>
      <c r="K3566" s="63"/>
    </row>
    <row r="3567" spans="1:11" x14ac:dyDescent="0.25">
      <c r="A3567" s="6" t="s">
        <v>0</v>
      </c>
      <c r="B3567" s="49"/>
      <c r="C3567" s="49"/>
      <c r="D3567" s="49"/>
      <c r="E3567" s="50"/>
      <c r="F3567" s="9" t="s">
        <v>115</v>
      </c>
      <c r="G3567" s="41" t="s">
        <v>116</v>
      </c>
      <c r="H3567" s="10"/>
      <c r="I3567" s="47"/>
      <c r="K3567" s="63"/>
    </row>
    <row r="3568" spans="1:11" x14ac:dyDescent="0.25">
      <c r="A3568" s="11" t="s">
        <v>192</v>
      </c>
      <c r="B3568" s="51"/>
      <c r="C3568" s="51"/>
      <c r="D3568" s="51"/>
      <c r="E3568" s="52"/>
      <c r="F3568" s="53"/>
      <c r="G3568" s="14">
        <f>F3568*H3564</f>
        <v>0</v>
      </c>
      <c r="H3568" s="15"/>
      <c r="I3568" s="47"/>
      <c r="K3568" s="63"/>
    </row>
    <row r="3569" spans="1:11" hidden="1" x14ac:dyDescent="0.25">
      <c r="A3569" s="11"/>
      <c r="B3569" s="51"/>
      <c r="C3569" s="51"/>
      <c r="D3569" s="51"/>
      <c r="E3569" s="52"/>
      <c r="F3569" s="53"/>
      <c r="G3569" s="14">
        <f>F3569*H3564</f>
        <v>0</v>
      </c>
      <c r="H3569" s="15"/>
      <c r="I3569" s="47"/>
      <c r="K3569" s="63"/>
    </row>
    <row r="3570" spans="1:11" hidden="1" x14ac:dyDescent="0.25">
      <c r="A3570" s="11"/>
      <c r="B3570" s="51"/>
      <c r="C3570" s="51"/>
      <c r="D3570" s="51"/>
      <c r="E3570" s="52"/>
      <c r="F3570" s="53"/>
      <c r="G3570" s="14">
        <f>F3570*H3564</f>
        <v>0</v>
      </c>
      <c r="H3570" s="17"/>
      <c r="I3570" s="47"/>
      <c r="K3570" s="63"/>
    </row>
    <row r="3571" spans="1:11" x14ac:dyDescent="0.25">
      <c r="A3571" s="4"/>
      <c r="B3571" s="4"/>
      <c r="C3571" s="4"/>
      <c r="D3571" s="4"/>
      <c r="E3571" s="46" t="s">
        <v>118</v>
      </c>
      <c r="F3571" s="46"/>
      <c r="G3571" s="46"/>
      <c r="H3571" s="36">
        <f>SUM(G3568:G3570)</f>
        <v>0</v>
      </c>
      <c r="I3571" s="220"/>
      <c r="K3571" s="63"/>
    </row>
    <row r="3572" spans="1:11" x14ac:dyDescent="0.25">
      <c r="A3572" s="4"/>
      <c r="B3572" s="4"/>
      <c r="C3572" s="4"/>
      <c r="D3572" s="4"/>
      <c r="E3572" s="5"/>
      <c r="F3572" s="5"/>
      <c r="G3572" s="47"/>
      <c r="H3572" s="47"/>
      <c r="I3572" s="47"/>
      <c r="K3572" s="63"/>
    </row>
    <row r="3573" spans="1:11" x14ac:dyDescent="0.25">
      <c r="A3573" s="4"/>
      <c r="B3573" s="4"/>
      <c r="C3573" s="4"/>
      <c r="D3573" s="4"/>
      <c r="E3573" s="54"/>
      <c r="F3573" s="54" t="s">
        <v>119</v>
      </c>
      <c r="G3573" s="54"/>
      <c r="H3573" s="246">
        <f>SUM(H3571+H3564)</f>
        <v>1577347</v>
      </c>
      <c r="I3573" s="112"/>
      <c r="K3573" s="63"/>
    </row>
    <row r="3578" spans="1:11" hidden="1" x14ac:dyDescent="0.25"/>
    <row r="3579" spans="1:11" hidden="1" x14ac:dyDescent="0.25"/>
    <row r="3580" spans="1:11" hidden="1" x14ac:dyDescent="0.25"/>
    <row r="3581" spans="1:11" hidden="1" x14ac:dyDescent="0.25"/>
    <row r="3592" spans="1:11" x14ac:dyDescent="0.25">
      <c r="B3592" s="184"/>
      <c r="C3592" s="184"/>
      <c r="D3592" s="184" t="s">
        <v>79</v>
      </c>
      <c r="E3592" s="184"/>
      <c r="F3592" s="184"/>
      <c r="G3592" s="184"/>
      <c r="H3592" s="184"/>
      <c r="I3592" s="250"/>
      <c r="K3592" s="63"/>
    </row>
    <row r="3593" spans="1:11" x14ac:dyDescent="0.25">
      <c r="A3593" s="4"/>
      <c r="B3593" s="4"/>
      <c r="C3593" s="4"/>
      <c r="D3593" s="4"/>
      <c r="E3593" s="5"/>
      <c r="F3593" s="5"/>
      <c r="G3593" s="5"/>
      <c r="H3593" s="5"/>
      <c r="I3593" s="47"/>
      <c r="K3593" s="63"/>
    </row>
    <row r="3594" spans="1:11" x14ac:dyDescent="0.25">
      <c r="A3594" s="4"/>
      <c r="B3594" s="4"/>
      <c r="C3594" s="4"/>
      <c r="D3594" s="4"/>
      <c r="E3594" s="5"/>
      <c r="F3594" s="5"/>
      <c r="G3594" s="411" t="s">
        <v>326</v>
      </c>
      <c r="H3594" s="411"/>
      <c r="I3594" s="251"/>
      <c r="K3594" s="63"/>
    </row>
    <row r="3595" spans="1:11" x14ac:dyDescent="0.25">
      <c r="A3595" s="451" t="s">
        <v>377</v>
      </c>
      <c r="B3595" s="451"/>
      <c r="C3595" s="451"/>
      <c r="D3595" s="451"/>
      <c r="E3595" s="451"/>
      <c r="F3595" s="451"/>
      <c r="G3595" s="451"/>
      <c r="H3595" s="451"/>
      <c r="I3595" s="270"/>
      <c r="K3595" s="63"/>
    </row>
    <row r="3596" spans="1:11" x14ac:dyDescent="0.25">
      <c r="A3596" s="4"/>
      <c r="B3596" s="4"/>
      <c r="C3596" s="4"/>
      <c r="D3596" s="4"/>
      <c r="E3596" s="5"/>
      <c r="F3596" s="5"/>
      <c r="G3596" s="91" t="s">
        <v>365</v>
      </c>
      <c r="H3596" s="91"/>
      <c r="I3596" s="261"/>
      <c r="K3596" s="63"/>
    </row>
    <row r="3597" spans="1:11" x14ac:dyDescent="0.25">
      <c r="A3597" s="4" t="s">
        <v>82</v>
      </c>
      <c r="B3597" s="4"/>
      <c r="C3597" s="4"/>
      <c r="D3597" s="4"/>
      <c r="E3597" s="5"/>
      <c r="F3597" s="5"/>
      <c r="G3597" s="5"/>
      <c r="H3597" s="5"/>
      <c r="I3597" s="47"/>
      <c r="K3597" s="63"/>
    </row>
    <row r="3598" spans="1:11" x14ac:dyDescent="0.25">
      <c r="A3598" s="6" t="s">
        <v>0</v>
      </c>
      <c r="B3598" s="7"/>
      <c r="C3598" s="8" t="s">
        <v>83</v>
      </c>
      <c r="D3598" s="8" t="s">
        <v>84</v>
      </c>
      <c r="E3598" s="9" t="s">
        <v>85</v>
      </c>
      <c r="F3598" s="9" t="s">
        <v>86</v>
      </c>
      <c r="G3598" s="9" t="s">
        <v>87</v>
      </c>
      <c r="H3598" s="10"/>
      <c r="I3598" s="47"/>
      <c r="K3598" s="63"/>
    </row>
    <row r="3599" spans="1:11" x14ac:dyDescent="0.25">
      <c r="A3599" s="11" t="s">
        <v>88</v>
      </c>
      <c r="B3599" s="12"/>
      <c r="C3599" s="13"/>
      <c r="D3599" s="13"/>
      <c r="E3599" s="14"/>
      <c r="F3599" s="14"/>
      <c r="G3599" s="14">
        <f>ROUND(H3623*0.05,0)</f>
        <v>0</v>
      </c>
      <c r="H3599" s="15"/>
      <c r="I3599" s="47"/>
      <c r="K3599" s="63"/>
    </row>
    <row r="3600" spans="1:11" x14ac:dyDescent="0.25">
      <c r="A3600" s="11" t="s">
        <v>89</v>
      </c>
      <c r="B3600" s="12"/>
      <c r="C3600" s="13"/>
      <c r="D3600" s="13"/>
      <c r="E3600" s="14">
        <v>45000</v>
      </c>
      <c r="F3600" s="14"/>
      <c r="G3600" s="14">
        <f>ROUND(E3600*F3600,0)</f>
        <v>0</v>
      </c>
      <c r="H3600" s="15"/>
      <c r="I3600" s="47"/>
      <c r="K3600" s="63"/>
    </row>
    <row r="3601" spans="1:15" x14ac:dyDescent="0.25">
      <c r="A3601" s="11" t="s">
        <v>378</v>
      </c>
      <c r="B3601" s="12"/>
      <c r="C3601" s="13"/>
      <c r="D3601" s="13"/>
      <c r="E3601" s="14">
        <v>200000</v>
      </c>
      <c r="F3601" s="16">
        <v>1</v>
      </c>
      <c r="G3601" s="14">
        <f>ROUND(E3601*F3601,0)</f>
        <v>200000</v>
      </c>
      <c r="H3601" s="15"/>
      <c r="I3601" s="47"/>
      <c r="K3601" s="63"/>
    </row>
    <row r="3602" spans="1:15" x14ac:dyDescent="0.25">
      <c r="A3602" s="11"/>
      <c r="B3602" s="12"/>
      <c r="C3602" s="13"/>
      <c r="D3602" s="13"/>
      <c r="E3602" s="14"/>
      <c r="F3602" s="14"/>
      <c r="G3602" s="14">
        <f>ROUND(E3602*F3602,0)</f>
        <v>0</v>
      </c>
      <c r="H3602" s="17"/>
      <c r="I3602" s="47"/>
      <c r="J3602" s="436" t="s">
        <v>393</v>
      </c>
      <c r="K3602" s="63"/>
    </row>
    <row r="3603" spans="1:15" x14ac:dyDescent="0.25">
      <c r="A3603" s="18"/>
      <c r="B3603" s="19"/>
      <c r="C3603" s="19"/>
      <c r="D3603" s="19"/>
      <c r="E3603" s="98"/>
      <c r="F3603" s="21" t="s">
        <v>90</v>
      </c>
      <c r="G3603" s="22"/>
      <c r="H3603" s="23">
        <f>SUM(G3599:G3602)</f>
        <v>200000</v>
      </c>
      <c r="I3603" s="220"/>
      <c r="J3603" s="436"/>
      <c r="K3603" s="63"/>
    </row>
    <row r="3604" spans="1:15" x14ac:dyDescent="0.25">
      <c r="A3604" s="291" t="s">
        <v>91</v>
      </c>
      <c r="B3604" s="228"/>
      <c r="C3604" s="228"/>
      <c r="D3604" s="228"/>
      <c r="E3604" s="47"/>
      <c r="F3604" s="47"/>
      <c r="G3604" s="47"/>
      <c r="H3604" s="233"/>
      <c r="I3604" s="47"/>
      <c r="K3604" s="63"/>
    </row>
    <row r="3605" spans="1:15" x14ac:dyDescent="0.25">
      <c r="A3605" s="24" t="s">
        <v>0</v>
      </c>
      <c r="B3605" s="24"/>
      <c r="C3605" s="8" t="s">
        <v>92</v>
      </c>
      <c r="D3605" s="8" t="s">
        <v>93</v>
      </c>
      <c r="E3605" s="9" t="s">
        <v>94</v>
      </c>
      <c r="F3605" s="9" t="s">
        <v>95</v>
      </c>
      <c r="G3605" s="25" t="s">
        <v>96</v>
      </c>
      <c r="H3605" s="10"/>
      <c r="I3605" s="47"/>
      <c r="K3605" s="63"/>
    </row>
    <row r="3606" spans="1:15" x14ac:dyDescent="0.25">
      <c r="A3606" s="81" t="s">
        <v>379</v>
      </c>
      <c r="B3606" s="12"/>
      <c r="C3606" s="35" t="s">
        <v>149</v>
      </c>
      <c r="D3606" s="34">
        <v>0.05</v>
      </c>
      <c r="E3606" s="30">
        <v>80</v>
      </c>
      <c r="F3606" s="14">
        <f>23000+5000</f>
        <v>28000</v>
      </c>
      <c r="G3606" s="14">
        <f t="shared" ref="G3606:G3614" si="97">ROUND(E3606*F3606,0)</f>
        <v>2240000</v>
      </c>
      <c r="H3606" s="15"/>
      <c r="I3606" s="47"/>
      <c r="J3606" s="284" t="s">
        <v>376</v>
      </c>
      <c r="K3606" s="63"/>
      <c r="M3606" s="72">
        <v>1</v>
      </c>
      <c r="N3606" s="72">
        <v>50</v>
      </c>
      <c r="O3606" t="s">
        <v>382</v>
      </c>
    </row>
    <row r="3607" spans="1:15" x14ac:dyDescent="0.25">
      <c r="A3607" s="11" t="s">
        <v>381</v>
      </c>
      <c r="B3607" s="12"/>
      <c r="C3607" s="35" t="s">
        <v>206</v>
      </c>
      <c r="D3607" s="31">
        <v>0.05</v>
      </c>
      <c r="E3607" s="30">
        <v>364</v>
      </c>
      <c r="F3607" s="14">
        <f>+(48000+7000)/42.5</f>
        <v>1294.1176470588234</v>
      </c>
      <c r="G3607" s="14">
        <f t="shared" si="97"/>
        <v>471059</v>
      </c>
      <c r="H3607" s="15"/>
      <c r="I3607" s="47"/>
      <c r="J3607" s="285" t="s">
        <v>368</v>
      </c>
      <c r="K3607" s="63"/>
      <c r="M3607" s="72">
        <v>1.6</v>
      </c>
      <c r="N3607" s="69"/>
    </row>
    <row r="3608" spans="1:15" x14ac:dyDescent="0.25">
      <c r="A3608" s="81" t="s">
        <v>374</v>
      </c>
      <c r="B3608" s="127"/>
      <c r="C3608" s="35" t="s">
        <v>281</v>
      </c>
      <c r="D3608" s="34">
        <v>0.05</v>
      </c>
      <c r="E3608" s="30">
        <v>185</v>
      </c>
      <c r="F3608" s="74">
        <v>500</v>
      </c>
      <c r="G3608" s="14">
        <f t="shared" si="97"/>
        <v>92500</v>
      </c>
      <c r="H3608" s="15"/>
      <c r="I3608" s="47"/>
      <c r="K3608" s="63"/>
    </row>
    <row r="3609" spans="1:15" x14ac:dyDescent="0.25">
      <c r="A3609" s="11"/>
      <c r="B3609" s="12"/>
      <c r="C3609" s="35"/>
      <c r="D3609" s="31"/>
      <c r="E3609" s="30"/>
      <c r="F3609" s="14"/>
      <c r="G3609" s="14">
        <f t="shared" si="97"/>
        <v>0</v>
      </c>
      <c r="H3609" s="15"/>
      <c r="I3609" s="47"/>
      <c r="K3609" s="63"/>
      <c r="N3609">
        <f>+M3607*N3606</f>
        <v>80</v>
      </c>
    </row>
    <row r="3610" spans="1:15" x14ac:dyDescent="0.25">
      <c r="A3610" s="11"/>
      <c r="B3610" s="12"/>
      <c r="C3610" s="35"/>
      <c r="D3610" s="34"/>
      <c r="E3610" s="30"/>
      <c r="F3610" s="14"/>
      <c r="G3610" s="14">
        <f t="shared" si="97"/>
        <v>0</v>
      </c>
      <c r="H3610" s="15"/>
      <c r="I3610" s="47"/>
      <c r="K3610" s="63"/>
    </row>
    <row r="3611" spans="1:15" x14ac:dyDescent="0.25">
      <c r="A3611" s="11"/>
      <c r="B3611" s="12"/>
      <c r="C3611" s="35"/>
      <c r="D3611" s="31"/>
      <c r="E3611" s="30"/>
      <c r="F3611" s="14"/>
      <c r="G3611" s="14">
        <f t="shared" si="97"/>
        <v>0</v>
      </c>
      <c r="H3611" s="15"/>
      <c r="I3611" s="47"/>
      <c r="J3611" s="280" t="s">
        <v>395</v>
      </c>
      <c r="K3611" s="63"/>
    </row>
    <row r="3612" spans="1:15" x14ac:dyDescent="0.25">
      <c r="A3612" s="11"/>
      <c r="B3612" s="12"/>
      <c r="C3612" s="35"/>
      <c r="D3612" s="34"/>
      <c r="E3612" s="30"/>
      <c r="F3612" s="14"/>
      <c r="G3612" s="14">
        <f t="shared" si="97"/>
        <v>0</v>
      </c>
      <c r="H3612" s="15"/>
      <c r="I3612" s="47"/>
      <c r="K3612" s="63"/>
    </row>
    <row r="3613" spans="1:15" x14ac:dyDescent="0.25">
      <c r="A3613" s="11"/>
      <c r="B3613" s="12"/>
      <c r="C3613" s="35"/>
      <c r="D3613" s="31"/>
      <c r="E3613" s="30"/>
      <c r="F3613" s="14"/>
      <c r="G3613" s="14">
        <f t="shared" si="97"/>
        <v>0</v>
      </c>
      <c r="H3613" s="15"/>
      <c r="I3613" s="47"/>
      <c r="K3613" s="63"/>
    </row>
    <row r="3614" spans="1:15" x14ac:dyDescent="0.25">
      <c r="A3614" s="11"/>
      <c r="B3614" s="12"/>
      <c r="C3614" s="35"/>
      <c r="D3614" s="31"/>
      <c r="E3614" s="30"/>
      <c r="F3614" s="14"/>
      <c r="G3614" s="14">
        <f t="shared" si="97"/>
        <v>0</v>
      </c>
      <c r="H3614" s="17"/>
      <c r="I3614" s="47"/>
      <c r="K3614" s="63"/>
    </row>
    <row r="3615" spans="1:15" x14ac:dyDescent="0.25">
      <c r="A3615" s="291"/>
      <c r="B3615" s="228"/>
      <c r="C3615" s="228"/>
      <c r="D3615" s="228"/>
      <c r="E3615" s="36"/>
      <c r="F3615" s="37" t="s">
        <v>102</v>
      </c>
      <c r="G3615" s="38"/>
      <c r="H3615" s="23">
        <f>SUM(G3606:G3614)</f>
        <v>2803559</v>
      </c>
      <c r="I3615" s="220"/>
      <c r="K3615" s="63"/>
    </row>
    <row r="3616" spans="1:15" x14ac:dyDescent="0.25">
      <c r="A3616" s="291"/>
      <c r="B3616" s="228"/>
      <c r="C3616" s="228"/>
      <c r="D3616" s="228"/>
      <c r="E3616" s="36"/>
      <c r="F3616" s="39" t="s">
        <v>103</v>
      </c>
      <c r="G3616" s="38"/>
      <c r="H3616" s="23">
        <f>ROUND((D3606*G3606)+(D3607*G3607)+(D3608*G3608)+(D3609*G3609)+(D3610*G3610)+(D3611*G3611)+(D3612*G3612)+(D3613*G3613)+(D3614*G3614),0)</f>
        <v>140178</v>
      </c>
      <c r="I3616" s="220"/>
      <c r="K3616" s="63"/>
    </row>
    <row r="3617" spans="1:11" x14ac:dyDescent="0.25">
      <c r="A3617" s="291"/>
      <c r="B3617" s="228"/>
      <c r="C3617" s="228"/>
      <c r="D3617" s="228"/>
      <c r="E3617" s="36"/>
      <c r="F3617" s="20" t="s">
        <v>104</v>
      </c>
      <c r="G3617" s="40"/>
      <c r="H3617" s="23">
        <f>SUM(H3615:H3616)</f>
        <v>2943737</v>
      </c>
      <c r="I3617" s="220"/>
      <c r="K3617" s="63"/>
    </row>
    <row r="3618" spans="1:11" x14ac:dyDescent="0.25">
      <c r="A3618" s="291" t="s">
        <v>105</v>
      </c>
      <c r="B3618" s="228"/>
      <c r="C3618" s="228"/>
      <c r="D3618" s="228"/>
      <c r="E3618" s="47"/>
      <c r="F3618" s="47"/>
      <c r="G3618" s="47"/>
      <c r="H3618" s="233"/>
      <c r="I3618" s="47"/>
      <c r="K3618" s="63"/>
    </row>
    <row r="3619" spans="1:11" x14ac:dyDescent="0.25">
      <c r="A3619" s="24" t="s">
        <v>0</v>
      </c>
      <c r="B3619" s="24"/>
      <c r="C3619" s="8" t="s">
        <v>106</v>
      </c>
      <c r="D3619" s="8" t="s">
        <v>107</v>
      </c>
      <c r="E3619" s="9" t="s">
        <v>108</v>
      </c>
      <c r="F3619" s="9" t="s">
        <v>109</v>
      </c>
      <c r="G3619" s="41" t="s">
        <v>96</v>
      </c>
      <c r="H3619" s="10"/>
      <c r="I3619" s="47"/>
      <c r="K3619" s="63"/>
    </row>
    <row r="3620" spans="1:11" x14ac:dyDescent="0.25">
      <c r="A3620" s="18" t="s">
        <v>110</v>
      </c>
      <c r="B3620" s="42"/>
      <c r="C3620" s="13">
        <v>104000</v>
      </c>
      <c r="D3620" s="13">
        <f>+C3620*0.16</f>
        <v>16640</v>
      </c>
      <c r="E3620" s="14">
        <f>C3620+D3620</f>
        <v>120640</v>
      </c>
      <c r="F3620" s="30"/>
      <c r="G3620" s="14">
        <f>ROUND(E3620*F3620,0)</f>
        <v>0</v>
      </c>
      <c r="H3620" s="15"/>
      <c r="I3620" s="47"/>
      <c r="K3620" s="63"/>
    </row>
    <row r="3621" spans="1:11" x14ac:dyDescent="0.25">
      <c r="A3621" s="18" t="s">
        <v>111</v>
      </c>
      <c r="B3621" s="42"/>
      <c r="C3621" s="13">
        <v>60400</v>
      </c>
      <c r="D3621" s="13">
        <f>+C3621*0.16</f>
        <v>9664</v>
      </c>
      <c r="E3621" s="14">
        <f>C3621+D3621</f>
        <v>70064</v>
      </c>
      <c r="F3621" s="30"/>
      <c r="G3621" s="14">
        <f>ROUND(E3621*F3621,0)</f>
        <v>0</v>
      </c>
      <c r="H3621" s="15"/>
      <c r="I3621" s="47"/>
      <c r="K3621" s="63"/>
    </row>
    <row r="3622" spans="1:11" x14ac:dyDescent="0.25">
      <c r="A3622" s="18"/>
      <c r="B3622" s="42"/>
      <c r="C3622" s="43"/>
      <c r="D3622" s="43"/>
      <c r="E3622" s="44">
        <f>C3622+D3622</f>
        <v>0</v>
      </c>
      <c r="F3622" s="45"/>
      <c r="G3622" s="14">
        <f>ROUND(E3622*F3622,0)</f>
        <v>0</v>
      </c>
      <c r="H3622" s="15"/>
      <c r="I3622" s="47"/>
      <c r="K3622" s="63"/>
    </row>
    <row r="3623" spans="1:11" x14ac:dyDescent="0.25">
      <c r="A3623" s="291"/>
      <c r="B3623" s="228"/>
      <c r="C3623" s="228"/>
      <c r="D3623" s="228"/>
      <c r="E3623" s="277" t="s">
        <v>112</v>
      </c>
      <c r="F3623" s="277"/>
      <c r="G3623" s="277"/>
      <c r="H3623" s="82">
        <f>SUM(G3620:G3622)</f>
        <v>0</v>
      </c>
      <c r="I3623" s="221"/>
      <c r="K3623" s="63"/>
    </row>
    <row r="3624" spans="1:11" x14ac:dyDescent="0.25">
      <c r="A3624" s="291"/>
      <c r="B3624" s="228"/>
      <c r="C3624" s="228"/>
      <c r="D3624" s="228"/>
      <c r="E3624" s="47"/>
      <c r="F3624" s="47"/>
      <c r="G3624" s="47"/>
      <c r="H3624" s="233"/>
      <c r="I3624" s="47"/>
      <c r="K3624" s="63"/>
    </row>
    <row r="3625" spans="1:11" x14ac:dyDescent="0.25">
      <c r="A3625" s="18"/>
      <c r="B3625" s="19"/>
      <c r="C3625" s="19"/>
      <c r="D3625" s="19"/>
      <c r="E3625" s="48" t="s">
        <v>113</v>
      </c>
      <c r="F3625" s="48"/>
      <c r="G3625" s="48"/>
      <c r="H3625" s="25">
        <f>H3623+H3617+H3603</f>
        <v>3143737</v>
      </c>
      <c r="I3625" s="222"/>
      <c r="K3625" s="63"/>
    </row>
    <row r="3626" spans="1:11" x14ac:dyDescent="0.25">
      <c r="A3626" s="291"/>
      <c r="B3626" s="228"/>
      <c r="C3626" s="228"/>
      <c r="D3626" s="228"/>
      <c r="E3626" s="47"/>
      <c r="F3626" s="47"/>
      <c r="G3626" s="47"/>
      <c r="H3626" s="233"/>
      <c r="I3626" s="47"/>
      <c r="K3626" s="63"/>
    </row>
    <row r="3627" spans="1:11" x14ac:dyDescent="0.25">
      <c r="A3627" s="291" t="s">
        <v>114</v>
      </c>
      <c r="B3627" s="228"/>
      <c r="C3627" s="228"/>
      <c r="D3627" s="228"/>
      <c r="E3627" s="47"/>
      <c r="F3627" s="47"/>
      <c r="G3627" s="47"/>
      <c r="H3627" s="233"/>
      <c r="I3627" s="47"/>
      <c r="K3627" s="63"/>
    </row>
    <row r="3628" spans="1:11" x14ac:dyDescent="0.25">
      <c r="A3628" s="6" t="s">
        <v>0</v>
      </c>
      <c r="B3628" s="49"/>
      <c r="C3628" s="49"/>
      <c r="D3628" s="49"/>
      <c r="E3628" s="50"/>
      <c r="F3628" s="9" t="s">
        <v>115</v>
      </c>
      <c r="G3628" s="41" t="s">
        <v>116</v>
      </c>
      <c r="H3628" s="10"/>
      <c r="I3628" s="47"/>
      <c r="K3628" s="63"/>
    </row>
    <row r="3629" spans="1:11" x14ac:dyDescent="0.25">
      <c r="A3629" s="11" t="s">
        <v>192</v>
      </c>
      <c r="B3629" s="51"/>
      <c r="C3629" s="51"/>
      <c r="D3629" s="51"/>
      <c r="E3629" s="52"/>
      <c r="F3629" s="53"/>
      <c r="G3629" s="14">
        <f>F3629*H3625</f>
        <v>0</v>
      </c>
      <c r="H3629" s="15"/>
      <c r="I3629" s="47"/>
      <c r="K3629" s="63"/>
    </row>
    <row r="3630" spans="1:11" x14ac:dyDescent="0.25">
      <c r="A3630" s="11"/>
      <c r="B3630" s="51"/>
      <c r="C3630" s="51"/>
      <c r="D3630" s="51"/>
      <c r="E3630" s="52"/>
      <c r="F3630" s="53"/>
      <c r="G3630" s="14">
        <f>F3630*H3625</f>
        <v>0</v>
      </c>
      <c r="H3630" s="15"/>
      <c r="I3630" s="47"/>
      <c r="K3630" s="63"/>
    </row>
    <row r="3631" spans="1:11" x14ac:dyDescent="0.25">
      <c r="A3631" s="11"/>
      <c r="B3631" s="51"/>
      <c r="C3631" s="51"/>
      <c r="D3631" s="51"/>
      <c r="E3631" s="52"/>
      <c r="F3631" s="53"/>
      <c r="G3631" s="14">
        <f>F3631*H3625</f>
        <v>0</v>
      </c>
      <c r="H3631" s="17"/>
      <c r="I3631" s="47"/>
      <c r="K3631" s="63"/>
    </row>
    <row r="3632" spans="1:11" x14ac:dyDescent="0.25">
      <c r="A3632" s="4"/>
      <c r="B3632" s="4"/>
      <c r="C3632" s="4"/>
      <c r="D3632" s="4"/>
      <c r="E3632" s="46" t="s">
        <v>118</v>
      </c>
      <c r="F3632" s="46"/>
      <c r="G3632" s="46"/>
      <c r="H3632" s="36">
        <f>SUM(G3629:G3631)</f>
        <v>0</v>
      </c>
      <c r="I3632" s="220"/>
      <c r="K3632" s="63"/>
    </row>
    <row r="3633" spans="1:11" x14ac:dyDescent="0.25">
      <c r="A3633" s="4"/>
      <c r="B3633" s="4"/>
      <c r="C3633" s="4"/>
      <c r="D3633" s="4"/>
      <c r="E3633" s="5"/>
      <c r="F3633" s="5"/>
      <c r="G3633" s="47"/>
      <c r="H3633" s="47"/>
      <c r="I3633" s="47"/>
      <c r="K3633" s="63"/>
    </row>
    <row r="3634" spans="1:11" x14ac:dyDescent="0.25">
      <c r="A3634" s="4"/>
      <c r="B3634" s="4"/>
      <c r="C3634" s="4"/>
      <c r="D3634" s="4"/>
      <c r="E3634" s="54"/>
      <c r="F3634" s="54" t="s">
        <v>119</v>
      </c>
      <c r="G3634" s="54"/>
      <c r="H3634" s="246">
        <f>SUM(H3632+H3625)</f>
        <v>3143737</v>
      </c>
      <c r="I3634" s="112"/>
      <c r="K3634" s="63"/>
    </row>
    <row r="3637" spans="1:11" hidden="1" x14ac:dyDescent="0.25"/>
    <row r="3638" spans="1:11" hidden="1" x14ac:dyDescent="0.25"/>
    <row r="3639" spans="1:11" hidden="1" x14ac:dyDescent="0.25"/>
    <row r="3640" spans="1:11" hidden="1" x14ac:dyDescent="0.25"/>
    <row r="3644" spans="1:11" x14ac:dyDescent="0.25">
      <c r="A3644" s="412" t="s">
        <v>79</v>
      </c>
      <c r="B3644" s="412"/>
      <c r="C3644" s="412"/>
      <c r="D3644" s="412"/>
      <c r="E3644" s="412"/>
      <c r="F3644" s="412"/>
      <c r="G3644" s="412"/>
      <c r="H3644" s="412"/>
      <c r="I3644" s="250"/>
      <c r="K3644" s="63"/>
    </row>
    <row r="3645" spans="1:11" x14ac:dyDescent="0.25">
      <c r="A3645" s="4"/>
      <c r="B3645" s="4"/>
      <c r="C3645" s="4"/>
      <c r="D3645" s="4"/>
      <c r="E3645" s="5"/>
      <c r="F3645" s="5"/>
      <c r="G3645" s="411" t="s">
        <v>326</v>
      </c>
      <c r="H3645" s="411"/>
      <c r="I3645" s="251"/>
      <c r="K3645" s="63"/>
    </row>
    <row r="3646" spans="1:11" x14ac:dyDescent="0.25">
      <c r="A3646" s="410" t="s">
        <v>383</v>
      </c>
      <c r="B3646" s="410"/>
      <c r="C3646" s="410"/>
      <c r="D3646" s="410"/>
      <c r="E3646" s="410"/>
      <c r="F3646" s="410"/>
      <c r="G3646" s="410"/>
      <c r="H3646" s="410"/>
      <c r="I3646" s="254"/>
      <c r="K3646" s="63"/>
    </row>
    <row r="3647" spans="1:11" x14ac:dyDescent="0.25">
      <c r="A3647" s="4"/>
      <c r="B3647" s="4"/>
      <c r="C3647" s="4"/>
      <c r="D3647" s="4"/>
      <c r="E3647" s="5"/>
      <c r="F3647" s="5"/>
      <c r="G3647" s="414" t="s">
        <v>160</v>
      </c>
      <c r="H3647" s="414"/>
      <c r="I3647" s="253"/>
      <c r="K3647" s="63"/>
    </row>
    <row r="3648" spans="1:11" x14ac:dyDescent="0.25">
      <c r="A3648" s="4" t="s">
        <v>82</v>
      </c>
      <c r="B3648" s="4"/>
      <c r="C3648" s="4"/>
      <c r="D3648" s="4"/>
      <c r="E3648" s="5"/>
      <c r="F3648" s="5"/>
      <c r="G3648" s="5"/>
      <c r="H3648" s="5"/>
      <c r="I3648" s="47"/>
      <c r="K3648" s="63"/>
    </row>
    <row r="3649" spans="1:11" x14ac:dyDescent="0.25">
      <c r="A3649" s="6" t="s">
        <v>0</v>
      </c>
      <c r="B3649" s="7"/>
      <c r="C3649" s="8" t="s">
        <v>83</v>
      </c>
      <c r="D3649" s="8" t="s">
        <v>84</v>
      </c>
      <c r="E3649" s="9" t="s">
        <v>85</v>
      </c>
      <c r="F3649" s="9" t="s">
        <v>86</v>
      </c>
      <c r="G3649" s="9" t="s">
        <v>87</v>
      </c>
      <c r="H3649" s="10"/>
      <c r="I3649" s="47"/>
      <c r="K3649" s="63"/>
    </row>
    <row r="3650" spans="1:11" x14ac:dyDescent="0.25">
      <c r="A3650" s="11" t="s">
        <v>88</v>
      </c>
      <c r="B3650" s="12"/>
      <c r="C3650" s="13"/>
      <c r="D3650" s="13"/>
      <c r="E3650" s="14"/>
      <c r="F3650" s="14"/>
      <c r="G3650" s="14">
        <f>ROUND(H3673*0.05,0)+8-16</f>
        <v>2201</v>
      </c>
      <c r="H3650" s="15"/>
      <c r="I3650" s="47"/>
      <c r="K3650" s="63"/>
    </row>
    <row r="3651" spans="1:11" x14ac:dyDescent="0.25">
      <c r="A3651" s="11" t="s">
        <v>328</v>
      </c>
      <c r="B3651" s="12"/>
      <c r="C3651" s="13"/>
      <c r="D3651" s="13"/>
      <c r="E3651" s="14">
        <v>50000</v>
      </c>
      <c r="F3651" s="14">
        <v>0.1</v>
      </c>
      <c r="G3651" s="14">
        <f>ROUND(E3651*F3651,0)</f>
        <v>5000</v>
      </c>
      <c r="H3651" s="15"/>
      <c r="I3651" s="47"/>
      <c r="K3651" s="63"/>
    </row>
    <row r="3652" spans="1:11" x14ac:dyDescent="0.25">
      <c r="A3652" s="11" t="s">
        <v>390</v>
      </c>
      <c r="B3652" s="12"/>
      <c r="C3652" s="13"/>
      <c r="D3652" s="13"/>
      <c r="E3652" s="14">
        <v>15000</v>
      </c>
      <c r="F3652" s="16">
        <v>0.35</v>
      </c>
      <c r="G3652" s="14">
        <f>ROUND(E3652*F3652,0)</f>
        <v>5250</v>
      </c>
      <c r="H3652" s="15"/>
      <c r="I3652" s="47"/>
      <c r="K3652" s="63"/>
    </row>
    <row r="3653" spans="1:11" x14ac:dyDescent="0.25">
      <c r="A3653" s="11" t="s">
        <v>391</v>
      </c>
      <c r="B3653" s="12"/>
      <c r="C3653" s="13"/>
      <c r="D3653" s="13"/>
      <c r="E3653" s="14">
        <v>350000</v>
      </c>
      <c r="F3653" s="14">
        <v>0.35</v>
      </c>
      <c r="G3653" s="14">
        <f>ROUND(E3653*F3653,0)</f>
        <v>122500</v>
      </c>
      <c r="H3653" s="17"/>
      <c r="I3653" s="47"/>
      <c r="K3653" s="63"/>
    </row>
    <row r="3654" spans="1:11" x14ac:dyDescent="0.25">
      <c r="A3654" s="18"/>
      <c r="B3654" s="19"/>
      <c r="C3654" s="19"/>
      <c r="D3654" s="19"/>
      <c r="E3654" s="20"/>
      <c r="F3654" s="21" t="s">
        <v>90</v>
      </c>
      <c r="G3654" s="22"/>
      <c r="H3654" s="23">
        <f>SUM(G3650:G3653)</f>
        <v>134951</v>
      </c>
      <c r="I3654" s="220"/>
      <c r="K3654" s="63"/>
    </row>
    <row r="3655" spans="1:11" x14ac:dyDescent="0.25">
      <c r="A3655" s="291" t="s">
        <v>91</v>
      </c>
      <c r="B3655" s="228"/>
      <c r="C3655" s="228"/>
      <c r="D3655" s="228"/>
      <c r="E3655" s="47"/>
      <c r="F3655" s="47"/>
      <c r="G3655" s="47"/>
      <c r="H3655" s="233"/>
      <c r="I3655" s="47"/>
      <c r="K3655" s="63"/>
    </row>
    <row r="3656" spans="1:11" x14ac:dyDescent="0.25">
      <c r="A3656" s="24" t="s">
        <v>0</v>
      </c>
      <c r="B3656" s="24"/>
      <c r="C3656" s="8" t="s">
        <v>92</v>
      </c>
      <c r="D3656" s="8" t="s">
        <v>93</v>
      </c>
      <c r="E3656" s="9" t="s">
        <v>94</v>
      </c>
      <c r="F3656" s="9" t="s">
        <v>95</v>
      </c>
      <c r="G3656" s="25" t="s">
        <v>96</v>
      </c>
      <c r="H3656" s="10"/>
      <c r="I3656" s="47"/>
      <c r="J3656" s="288" t="s">
        <v>393</v>
      </c>
      <c r="K3656" s="63"/>
    </row>
    <row r="3657" spans="1:11" x14ac:dyDescent="0.25">
      <c r="A3657" s="11" t="s">
        <v>384</v>
      </c>
      <c r="B3657" s="12"/>
      <c r="C3657" s="35" t="s">
        <v>18</v>
      </c>
      <c r="D3657" s="34">
        <v>0.05</v>
      </c>
      <c r="E3657" s="30">
        <v>13</v>
      </c>
      <c r="F3657" s="14">
        <f>6200+800</f>
        <v>7000</v>
      </c>
      <c r="G3657" s="14">
        <f t="shared" ref="G3657:G3664" si="98">ROUND(E3657*F3657,0)</f>
        <v>91000</v>
      </c>
      <c r="H3657" s="15"/>
      <c r="I3657" s="47"/>
      <c r="J3657" s="283" t="s">
        <v>385</v>
      </c>
      <c r="K3657" s="63"/>
    </row>
    <row r="3658" spans="1:11" x14ac:dyDescent="0.25">
      <c r="A3658" s="11" t="s">
        <v>386</v>
      </c>
      <c r="B3658" s="12"/>
      <c r="C3658" s="35" t="s">
        <v>212</v>
      </c>
      <c r="D3658" s="31">
        <v>0.05</v>
      </c>
      <c r="E3658" s="77">
        <f>8*0.15*0.025</f>
        <v>0.03</v>
      </c>
      <c r="F3658" s="197">
        <f>+$H$3634</f>
        <v>3143737</v>
      </c>
      <c r="G3658" s="14">
        <f t="shared" si="98"/>
        <v>94312</v>
      </c>
      <c r="H3658" s="15"/>
      <c r="I3658" s="47"/>
      <c r="K3658" s="63"/>
    </row>
    <row r="3659" spans="1:11" x14ac:dyDescent="0.25">
      <c r="A3659" s="81"/>
      <c r="B3659" s="12"/>
      <c r="C3659" s="35"/>
      <c r="D3659" s="31"/>
      <c r="E3659" s="30"/>
      <c r="F3659" s="14"/>
      <c r="G3659" s="14">
        <f t="shared" si="98"/>
        <v>0</v>
      </c>
      <c r="H3659" s="15"/>
      <c r="I3659" s="47"/>
      <c r="K3659" s="63"/>
    </row>
    <row r="3660" spans="1:11" x14ac:dyDescent="0.25">
      <c r="A3660" s="198"/>
      <c r="B3660" s="12"/>
      <c r="C3660" s="35"/>
      <c r="D3660" s="34"/>
      <c r="E3660" s="30"/>
      <c r="F3660" s="14"/>
      <c r="G3660" s="14">
        <f t="shared" si="98"/>
        <v>0</v>
      </c>
      <c r="H3660" s="15"/>
      <c r="I3660" s="47"/>
      <c r="K3660" s="63"/>
    </row>
    <row r="3661" spans="1:11" x14ac:dyDescent="0.25">
      <c r="A3661" s="198"/>
      <c r="B3661" s="12"/>
      <c r="C3661" s="35"/>
      <c r="D3661" s="31"/>
      <c r="E3661" s="30"/>
      <c r="F3661" s="14"/>
      <c r="G3661" s="14">
        <f t="shared" si="98"/>
        <v>0</v>
      </c>
      <c r="H3661" s="15"/>
      <c r="I3661" s="47"/>
      <c r="K3661" s="63"/>
    </row>
    <row r="3662" spans="1:11" x14ac:dyDescent="0.25">
      <c r="A3662" s="11"/>
      <c r="B3662" s="12"/>
      <c r="C3662" s="35"/>
      <c r="D3662" s="34"/>
      <c r="E3662" s="30"/>
      <c r="F3662" s="14"/>
      <c r="G3662" s="14">
        <f t="shared" si="98"/>
        <v>0</v>
      </c>
      <c r="H3662" s="15"/>
      <c r="I3662" s="47"/>
      <c r="K3662" s="63"/>
    </row>
    <row r="3663" spans="1:11" x14ac:dyDescent="0.25">
      <c r="A3663" s="11"/>
      <c r="B3663" s="12"/>
      <c r="C3663" s="35"/>
      <c r="D3663" s="31"/>
      <c r="E3663" s="30"/>
      <c r="F3663" s="14"/>
      <c r="G3663" s="14">
        <f t="shared" si="98"/>
        <v>0</v>
      </c>
      <c r="H3663" s="15"/>
      <c r="I3663" s="47"/>
      <c r="K3663" s="63"/>
    </row>
    <row r="3664" spans="1:11" x14ac:dyDescent="0.25">
      <c r="A3664" s="11"/>
      <c r="B3664" s="12"/>
      <c r="C3664" s="35"/>
      <c r="D3664" s="31"/>
      <c r="E3664" s="30"/>
      <c r="F3664" s="14"/>
      <c r="G3664" s="14">
        <f t="shared" si="98"/>
        <v>0</v>
      </c>
      <c r="H3664" s="17"/>
      <c r="I3664" s="47"/>
      <c r="K3664" s="63"/>
    </row>
    <row r="3665" spans="1:11" x14ac:dyDescent="0.25">
      <c r="A3665" s="291"/>
      <c r="B3665" s="228"/>
      <c r="C3665" s="228"/>
      <c r="D3665" s="228"/>
      <c r="E3665" s="36"/>
      <c r="F3665" s="37" t="s">
        <v>102</v>
      </c>
      <c r="G3665" s="38"/>
      <c r="H3665" s="23">
        <f>SUM(G3657:G3664)</f>
        <v>185312</v>
      </c>
      <c r="I3665" s="220"/>
      <c r="K3665" s="63"/>
    </row>
    <row r="3666" spans="1:11" x14ac:dyDescent="0.25">
      <c r="A3666" s="291"/>
      <c r="B3666" s="228"/>
      <c r="C3666" s="228"/>
      <c r="D3666" s="228"/>
      <c r="E3666" s="36"/>
      <c r="F3666" s="39" t="s">
        <v>103</v>
      </c>
      <c r="G3666" s="38"/>
      <c r="H3666" s="23">
        <f>ROUND((D3657*G3657)+(D3658*G3658)+(D3659*G3659)+(D3660*G3660)+(D3661*G3661)+(D3662*G3662)+(D3663*G3663)+(D3664*G3664),0)</f>
        <v>9266</v>
      </c>
      <c r="I3666" s="220"/>
      <c r="K3666" s="63"/>
    </row>
    <row r="3667" spans="1:11" x14ac:dyDescent="0.25">
      <c r="A3667" s="291"/>
      <c r="B3667" s="228"/>
      <c r="C3667" s="228"/>
      <c r="D3667" s="228"/>
      <c r="E3667" s="36"/>
      <c r="F3667" s="20" t="s">
        <v>104</v>
      </c>
      <c r="G3667" s="40"/>
      <c r="H3667" s="23">
        <f>SUM(H3665:H3666)</f>
        <v>194578</v>
      </c>
      <c r="I3667" s="220"/>
      <c r="K3667" s="63"/>
    </row>
    <row r="3668" spans="1:11" x14ac:dyDescent="0.25">
      <c r="A3668" s="291" t="s">
        <v>105</v>
      </c>
      <c r="B3668" s="228"/>
      <c r="C3668" s="228"/>
      <c r="D3668" s="228"/>
      <c r="E3668" s="47"/>
      <c r="F3668" s="47"/>
      <c r="G3668" s="47"/>
      <c r="H3668" s="233"/>
      <c r="I3668" s="47"/>
      <c r="K3668" s="63"/>
    </row>
    <row r="3669" spans="1:11" x14ac:dyDescent="0.25">
      <c r="A3669" s="24" t="s">
        <v>0</v>
      </c>
      <c r="B3669" s="24"/>
      <c r="C3669" s="8" t="s">
        <v>106</v>
      </c>
      <c r="D3669" s="8" t="s">
        <v>107</v>
      </c>
      <c r="E3669" s="9" t="s">
        <v>108</v>
      </c>
      <c r="F3669" s="9" t="s">
        <v>109</v>
      </c>
      <c r="G3669" s="41" t="s">
        <v>96</v>
      </c>
      <c r="H3669" s="10"/>
      <c r="I3669" s="47"/>
      <c r="K3669" s="63"/>
    </row>
    <row r="3670" spans="1:11" x14ac:dyDescent="0.25">
      <c r="A3670" s="18" t="s">
        <v>110</v>
      </c>
      <c r="B3670" s="42"/>
      <c r="C3670" s="13">
        <v>104000</v>
      </c>
      <c r="D3670" s="13">
        <f>+C3670*0.16</f>
        <v>16640</v>
      </c>
      <c r="E3670" s="14">
        <f>C3670+D3670</f>
        <v>120640</v>
      </c>
      <c r="F3670" s="30">
        <v>0.25</v>
      </c>
      <c r="G3670" s="14">
        <f>ROUND(E3670*F3670,0)</f>
        <v>30160</v>
      </c>
      <c r="H3670" s="15"/>
      <c r="I3670" s="47"/>
      <c r="K3670" s="63"/>
    </row>
    <row r="3671" spans="1:11" x14ac:dyDescent="0.25">
      <c r="A3671" s="18" t="s">
        <v>111</v>
      </c>
      <c r="B3671" s="42"/>
      <c r="C3671" s="13">
        <v>60400</v>
      </c>
      <c r="D3671" s="13">
        <f>+C3671*0.16</f>
        <v>9664</v>
      </c>
      <c r="E3671" s="14">
        <f>C3671+D3671</f>
        <v>70064</v>
      </c>
      <c r="F3671" s="30">
        <v>0.2</v>
      </c>
      <c r="G3671" s="14">
        <f>ROUND(E3671*F3671,0)</f>
        <v>14013</v>
      </c>
      <c r="H3671" s="15"/>
      <c r="I3671" s="47"/>
      <c r="K3671" s="63"/>
    </row>
    <row r="3672" spans="1:11" x14ac:dyDescent="0.25">
      <c r="A3672" s="18"/>
      <c r="B3672" s="42"/>
      <c r="C3672" s="43"/>
      <c r="D3672" s="43"/>
      <c r="E3672" s="44">
        <f>C3672+D3672</f>
        <v>0</v>
      </c>
      <c r="F3672" s="45"/>
      <c r="G3672" s="14">
        <f>ROUND(E3672*F3672,0)</f>
        <v>0</v>
      </c>
      <c r="H3672" s="15"/>
      <c r="I3672" s="47"/>
      <c r="K3672" s="63"/>
    </row>
    <row r="3673" spans="1:11" x14ac:dyDescent="0.25">
      <c r="A3673" s="291"/>
      <c r="B3673" s="228"/>
      <c r="C3673" s="228"/>
      <c r="D3673" s="228"/>
      <c r="E3673" s="277" t="s">
        <v>112</v>
      </c>
      <c r="F3673" s="277"/>
      <c r="G3673" s="277"/>
      <c r="H3673" s="23">
        <f>SUM(G3670:G3672)</f>
        <v>44173</v>
      </c>
      <c r="I3673" s="220"/>
      <c r="K3673" s="63"/>
    </row>
    <row r="3674" spans="1:11" x14ac:dyDescent="0.25">
      <c r="A3674" s="291"/>
      <c r="B3674" s="228"/>
      <c r="C3674" s="228"/>
      <c r="D3674" s="228"/>
      <c r="E3674" s="47"/>
      <c r="F3674" s="47"/>
      <c r="G3674" s="47"/>
      <c r="H3674" s="233"/>
      <c r="I3674" s="47"/>
      <c r="K3674" s="63"/>
    </row>
    <row r="3675" spans="1:11" x14ac:dyDescent="0.25">
      <c r="A3675" s="18"/>
      <c r="B3675" s="19"/>
      <c r="C3675" s="19"/>
      <c r="D3675" s="19"/>
      <c r="E3675" s="48" t="s">
        <v>113</v>
      </c>
      <c r="F3675" s="48"/>
      <c r="G3675" s="48"/>
      <c r="H3675" s="25">
        <f>H3673+H3667+H3654</f>
        <v>373702</v>
      </c>
      <c r="I3675" s="222"/>
      <c r="K3675" s="63"/>
    </row>
    <row r="3676" spans="1:11" x14ac:dyDescent="0.25">
      <c r="A3676" s="291"/>
      <c r="B3676" s="228"/>
      <c r="C3676" s="228"/>
      <c r="D3676" s="228"/>
      <c r="E3676" s="47"/>
      <c r="F3676" s="47"/>
      <c r="G3676" s="47"/>
      <c r="H3676" s="233"/>
      <c r="I3676" s="47"/>
      <c r="K3676" s="63"/>
    </row>
    <row r="3677" spans="1:11" x14ac:dyDescent="0.25">
      <c r="A3677" s="291" t="s">
        <v>114</v>
      </c>
      <c r="B3677" s="228"/>
      <c r="C3677" s="228"/>
      <c r="D3677" s="228"/>
      <c r="E3677" s="47"/>
      <c r="F3677" s="47"/>
      <c r="G3677" s="47"/>
      <c r="H3677" s="233"/>
      <c r="I3677" s="47"/>
      <c r="K3677" s="63"/>
    </row>
    <row r="3678" spans="1:11" x14ac:dyDescent="0.25">
      <c r="A3678" s="6" t="s">
        <v>0</v>
      </c>
      <c r="B3678" s="49"/>
      <c r="C3678" s="49"/>
      <c r="D3678" s="49"/>
      <c r="E3678" s="50"/>
      <c r="F3678" s="9" t="s">
        <v>115</v>
      </c>
      <c r="G3678" s="41" t="s">
        <v>116</v>
      </c>
      <c r="H3678" s="10"/>
      <c r="I3678" s="47"/>
      <c r="K3678" s="63"/>
    </row>
    <row r="3679" spans="1:11" x14ac:dyDescent="0.25">
      <c r="A3679" s="11" t="s">
        <v>117</v>
      </c>
      <c r="B3679" s="51"/>
      <c r="C3679" s="51"/>
      <c r="D3679" s="51"/>
      <c r="E3679" s="52"/>
      <c r="F3679" s="53"/>
      <c r="G3679" s="14">
        <f>F3679*H3675</f>
        <v>0</v>
      </c>
      <c r="H3679" s="15"/>
      <c r="I3679" s="47"/>
      <c r="K3679" s="63"/>
    </row>
    <row r="3680" spans="1:11" x14ac:dyDescent="0.25">
      <c r="A3680" s="11"/>
      <c r="B3680" s="51"/>
      <c r="C3680" s="51"/>
      <c r="D3680" s="51"/>
      <c r="E3680" s="52"/>
      <c r="F3680" s="53"/>
      <c r="G3680" s="14">
        <f>F3680*H3675</f>
        <v>0</v>
      </c>
      <c r="H3680" s="15"/>
      <c r="I3680" s="47"/>
      <c r="K3680" s="63"/>
    </row>
    <row r="3681" spans="1:11" x14ac:dyDescent="0.25">
      <c r="A3681" s="11"/>
      <c r="B3681" s="51"/>
      <c r="C3681" s="51"/>
      <c r="D3681" s="51"/>
      <c r="E3681" s="52"/>
      <c r="F3681" s="53"/>
      <c r="G3681" s="14">
        <f>F3681*H3675</f>
        <v>0</v>
      </c>
      <c r="H3681" s="17"/>
      <c r="I3681" s="47"/>
      <c r="K3681" s="63"/>
    </row>
    <row r="3682" spans="1:11" x14ac:dyDescent="0.25">
      <c r="A3682" s="4"/>
      <c r="B3682" s="4"/>
      <c r="C3682" s="4"/>
      <c r="D3682" s="4"/>
      <c r="E3682" s="46" t="s">
        <v>118</v>
      </c>
      <c r="F3682" s="46"/>
      <c r="G3682" s="46"/>
      <c r="H3682" s="36">
        <f>SUM(G3679:G3681)</f>
        <v>0</v>
      </c>
      <c r="I3682" s="220"/>
      <c r="K3682" s="63"/>
    </row>
    <row r="3683" spans="1:11" ht="15.75" thickBot="1" x14ac:dyDescent="0.3">
      <c r="A3683" s="4"/>
      <c r="B3683" s="4"/>
      <c r="C3683" s="4"/>
      <c r="D3683" s="4"/>
      <c r="E3683" s="5"/>
      <c r="F3683" s="5"/>
      <c r="G3683" s="5"/>
      <c r="H3683" s="5"/>
      <c r="I3683" s="47"/>
      <c r="K3683" s="63"/>
    </row>
    <row r="3684" spans="1:11" ht="15.75" thickBot="1" x14ac:dyDescent="0.3">
      <c r="A3684" s="4"/>
      <c r="B3684" s="4"/>
      <c r="C3684" s="4"/>
      <c r="D3684" s="4"/>
      <c r="E3684" s="54"/>
      <c r="F3684" s="54" t="s">
        <v>119</v>
      </c>
      <c r="G3684" s="54"/>
      <c r="H3684" s="240">
        <f>SUM(H3682+H3675)</f>
        <v>373702</v>
      </c>
      <c r="I3684" s="112"/>
      <c r="K3684" s="63"/>
    </row>
    <row r="3685" spans="1:11" x14ac:dyDescent="0.25">
      <c r="A3685" s="4"/>
      <c r="B3685" s="4"/>
      <c r="C3685" s="4"/>
      <c r="D3685" s="4"/>
      <c r="E3685" s="54"/>
      <c r="F3685" s="54"/>
      <c r="G3685" s="54"/>
      <c r="H3685" s="112"/>
      <c r="I3685" s="112"/>
      <c r="K3685" s="63"/>
    </row>
    <row r="3686" spans="1:11" x14ac:dyDescent="0.25">
      <c r="A3686" s="4"/>
      <c r="B3686" s="4"/>
      <c r="C3686" s="4"/>
      <c r="D3686" s="4"/>
      <c r="E3686" s="54"/>
      <c r="F3686" s="54"/>
      <c r="G3686" s="54"/>
      <c r="H3686" s="112"/>
      <c r="I3686" s="112"/>
      <c r="K3686" s="63"/>
    </row>
    <row r="3687" spans="1:11" x14ac:dyDescent="0.25">
      <c r="A3687" s="4"/>
      <c r="B3687" s="4"/>
      <c r="C3687" s="4"/>
      <c r="D3687" s="4"/>
      <c r="E3687" s="54"/>
      <c r="F3687" s="54"/>
      <c r="G3687" s="54"/>
      <c r="H3687" s="112"/>
      <c r="I3687" s="112"/>
      <c r="K3687" s="63"/>
    </row>
    <row r="3688" spans="1:11" x14ac:dyDescent="0.25">
      <c r="A3688" s="4"/>
      <c r="B3688" s="4"/>
      <c r="C3688" s="4"/>
      <c r="D3688" s="4"/>
      <c r="E3688" s="54"/>
      <c r="F3688" s="54"/>
      <c r="G3688" s="54"/>
      <c r="H3688" s="112"/>
      <c r="I3688" s="112"/>
      <c r="K3688" s="63"/>
    </row>
    <row r="3689" spans="1:11" x14ac:dyDescent="0.25">
      <c r="A3689" s="4"/>
      <c r="B3689" s="4"/>
      <c r="C3689" s="4"/>
      <c r="D3689" s="4"/>
      <c r="E3689" s="54"/>
      <c r="F3689" s="54"/>
      <c r="G3689" s="54"/>
      <c r="H3689" s="112"/>
      <c r="I3689" s="112"/>
      <c r="K3689" s="63"/>
    </row>
    <row r="3690" spans="1:11" x14ac:dyDescent="0.25">
      <c r="A3690" s="4"/>
      <c r="B3690" s="4"/>
      <c r="C3690" s="4"/>
      <c r="D3690" s="4"/>
      <c r="E3690" s="54"/>
      <c r="F3690" s="54"/>
      <c r="G3690" s="54"/>
      <c r="H3690" s="112"/>
      <c r="I3690" s="112"/>
      <c r="K3690" s="63"/>
    </row>
    <row r="3691" spans="1:11" x14ac:dyDescent="0.25">
      <c r="K3691" s="63"/>
    </row>
    <row r="3692" spans="1:11" x14ac:dyDescent="0.25">
      <c r="A3692" s="4"/>
      <c r="B3692" s="4"/>
      <c r="C3692" s="4"/>
      <c r="D3692" s="4"/>
      <c r="E3692" s="54"/>
      <c r="F3692" s="54"/>
      <c r="G3692" s="54"/>
      <c r="H3692" s="112"/>
      <c r="I3692" s="112"/>
      <c r="K3692" s="63"/>
    </row>
    <row r="3693" spans="1:11" x14ac:dyDescent="0.25">
      <c r="K3693" s="63"/>
    </row>
    <row r="3694" spans="1:11" x14ac:dyDescent="0.25">
      <c r="A3694" s="412" t="s">
        <v>79</v>
      </c>
      <c r="B3694" s="412"/>
      <c r="C3694" s="412"/>
      <c r="D3694" s="412"/>
      <c r="E3694" s="412"/>
      <c r="F3694" s="412"/>
      <c r="G3694" s="412"/>
      <c r="H3694" s="412"/>
      <c r="I3694" s="250"/>
      <c r="K3694" s="63"/>
    </row>
    <row r="3695" spans="1:11" x14ac:dyDescent="0.25">
      <c r="A3695" s="4"/>
      <c r="B3695" s="4"/>
      <c r="C3695" s="4"/>
      <c r="D3695" s="4"/>
      <c r="E3695" s="5"/>
      <c r="F3695" s="5"/>
      <c r="G3695" s="411" t="s">
        <v>326</v>
      </c>
      <c r="H3695" s="411"/>
      <c r="I3695" s="251"/>
      <c r="K3695" s="63"/>
    </row>
    <row r="3696" spans="1:11" x14ac:dyDescent="0.25">
      <c r="A3696" s="410" t="s">
        <v>383</v>
      </c>
      <c r="B3696" s="410"/>
      <c r="C3696" s="410"/>
      <c r="D3696" s="410"/>
      <c r="E3696" s="410"/>
      <c r="F3696" s="410"/>
      <c r="G3696" s="410"/>
      <c r="H3696" s="410"/>
      <c r="I3696" s="254"/>
      <c r="K3696" s="63"/>
    </row>
    <row r="3697" spans="1:11" x14ac:dyDescent="0.25">
      <c r="A3697" s="4"/>
      <c r="B3697" s="4"/>
      <c r="C3697" s="4"/>
      <c r="D3697" s="4"/>
      <c r="E3697" s="5"/>
      <c r="F3697" s="5"/>
      <c r="G3697" s="414" t="s">
        <v>81</v>
      </c>
      <c r="H3697" s="414"/>
      <c r="I3697" s="253"/>
      <c r="K3697" s="63"/>
    </row>
    <row r="3698" spans="1:11" x14ac:dyDescent="0.25">
      <c r="A3698" s="4" t="s">
        <v>82</v>
      </c>
      <c r="B3698" s="4"/>
      <c r="C3698" s="4"/>
      <c r="D3698" s="4"/>
      <c r="E3698" s="5"/>
      <c r="F3698" s="5"/>
      <c r="G3698" s="5"/>
      <c r="H3698" s="5"/>
      <c r="I3698" s="47"/>
      <c r="K3698" s="63"/>
    </row>
    <row r="3699" spans="1:11" x14ac:dyDescent="0.25">
      <c r="A3699" s="6" t="s">
        <v>0</v>
      </c>
      <c r="B3699" s="7"/>
      <c r="C3699" s="8" t="s">
        <v>83</v>
      </c>
      <c r="D3699" s="8" t="s">
        <v>84</v>
      </c>
      <c r="E3699" s="9" t="s">
        <v>85</v>
      </c>
      <c r="F3699" s="9" t="s">
        <v>86</v>
      </c>
      <c r="G3699" s="9" t="s">
        <v>87</v>
      </c>
      <c r="H3699" s="10"/>
      <c r="I3699" s="47"/>
      <c r="K3699" s="63"/>
    </row>
    <row r="3700" spans="1:11" x14ac:dyDescent="0.25">
      <c r="A3700" s="11" t="s">
        <v>88</v>
      </c>
      <c r="B3700" s="12"/>
      <c r="C3700" s="13"/>
      <c r="D3700" s="13"/>
      <c r="E3700" s="14"/>
      <c r="F3700" s="14"/>
      <c r="G3700" s="14">
        <f>ROUND(H3723*0.05,0)</f>
        <v>778</v>
      </c>
      <c r="H3700" s="15"/>
      <c r="I3700" s="47"/>
      <c r="K3700" s="63"/>
    </row>
    <row r="3701" spans="1:11" x14ac:dyDescent="0.25">
      <c r="A3701" s="11" t="s">
        <v>328</v>
      </c>
      <c r="B3701" s="12"/>
      <c r="C3701" s="13"/>
      <c r="D3701" s="13"/>
      <c r="E3701" s="14">
        <v>50000</v>
      </c>
      <c r="F3701" s="14">
        <v>0</v>
      </c>
      <c r="G3701" s="14">
        <f>ROUND(E3701*F3701,0)</f>
        <v>0</v>
      </c>
      <c r="H3701" s="15"/>
      <c r="I3701" s="47"/>
      <c r="K3701" s="63"/>
    </row>
    <row r="3702" spans="1:11" x14ac:dyDescent="0.25">
      <c r="A3702" s="11" t="s">
        <v>392</v>
      </c>
      <c r="B3702" s="12"/>
      <c r="C3702" s="13"/>
      <c r="D3702" s="13"/>
      <c r="E3702" s="14">
        <v>15000</v>
      </c>
      <c r="F3702" s="16">
        <v>0.15</v>
      </c>
      <c r="G3702" s="14">
        <f>ROUND(E3702*F3702,0)</f>
        <v>2250</v>
      </c>
      <c r="H3702" s="15"/>
      <c r="I3702" s="47"/>
      <c r="K3702" s="63"/>
    </row>
    <row r="3703" spans="1:11" x14ac:dyDescent="0.25">
      <c r="A3703" s="11" t="s">
        <v>391</v>
      </c>
      <c r="B3703" s="12"/>
      <c r="C3703" s="13"/>
      <c r="D3703" s="13"/>
      <c r="E3703" s="14">
        <v>350000</v>
      </c>
      <c r="F3703" s="14">
        <v>0.15</v>
      </c>
      <c r="G3703" s="14">
        <f>ROUND(E3703*F3703,0)</f>
        <v>52500</v>
      </c>
      <c r="H3703" s="17"/>
      <c r="I3703" s="47"/>
      <c r="K3703" s="63"/>
    </row>
    <row r="3704" spans="1:11" x14ac:dyDescent="0.25">
      <c r="A3704" s="18"/>
      <c r="B3704" s="19"/>
      <c r="C3704" s="19"/>
      <c r="D3704" s="19"/>
      <c r="E3704" s="20"/>
      <c r="F3704" s="21" t="s">
        <v>90</v>
      </c>
      <c r="G3704" s="22"/>
      <c r="H3704" s="23">
        <f>SUM(G3700:G3703)</f>
        <v>55528</v>
      </c>
      <c r="I3704" s="220"/>
      <c r="K3704" s="63"/>
    </row>
    <row r="3705" spans="1:11" x14ac:dyDescent="0.25">
      <c r="A3705" s="291" t="s">
        <v>91</v>
      </c>
      <c r="B3705" s="228"/>
      <c r="C3705" s="228"/>
      <c r="D3705" s="228"/>
      <c r="E3705" s="47"/>
      <c r="F3705" s="47"/>
      <c r="G3705" s="47"/>
      <c r="H3705" s="233"/>
      <c r="I3705" s="47"/>
      <c r="K3705" s="63"/>
    </row>
    <row r="3706" spans="1:11" x14ac:dyDescent="0.25">
      <c r="A3706" s="24" t="s">
        <v>0</v>
      </c>
      <c r="B3706" s="24"/>
      <c r="C3706" s="8" t="s">
        <v>92</v>
      </c>
      <c r="D3706" s="8" t="s">
        <v>93</v>
      </c>
      <c r="E3706" s="9" t="s">
        <v>94</v>
      </c>
      <c r="F3706" s="9" t="s">
        <v>95</v>
      </c>
      <c r="G3706" s="25" t="s">
        <v>96</v>
      </c>
      <c r="H3706" s="10"/>
      <c r="I3706" s="47"/>
      <c r="K3706" s="63"/>
    </row>
    <row r="3707" spans="1:11" x14ac:dyDescent="0.25">
      <c r="A3707" s="11" t="s">
        <v>384</v>
      </c>
      <c r="B3707" s="12"/>
      <c r="C3707" s="35" t="s">
        <v>18</v>
      </c>
      <c r="D3707" s="34">
        <v>0.05</v>
      </c>
      <c r="E3707" s="30">
        <v>6</v>
      </c>
      <c r="F3707" s="14">
        <f>6200+800</f>
        <v>7000</v>
      </c>
      <c r="G3707" s="14">
        <f t="shared" ref="G3707:G3714" si="99">ROUND(E3707*F3707,0)</f>
        <v>42000</v>
      </c>
      <c r="H3707" s="15"/>
      <c r="I3707" s="47"/>
      <c r="K3707" s="63"/>
    </row>
    <row r="3708" spans="1:11" x14ac:dyDescent="0.25">
      <c r="A3708" s="11" t="s">
        <v>386</v>
      </c>
      <c r="B3708" s="12"/>
      <c r="C3708" s="35" t="s">
        <v>212</v>
      </c>
      <c r="D3708" s="31">
        <v>0.05</v>
      </c>
      <c r="E3708" s="77">
        <f>(8*0.15*0.025)*0.5</f>
        <v>1.4999999999999999E-2</v>
      </c>
      <c r="F3708" s="197">
        <f>+$H$3634</f>
        <v>3143737</v>
      </c>
      <c r="G3708" s="14">
        <f t="shared" si="99"/>
        <v>47156</v>
      </c>
      <c r="H3708" s="15"/>
      <c r="I3708" s="47"/>
      <c r="K3708" s="63"/>
    </row>
    <row r="3709" spans="1:11" x14ac:dyDescent="0.25">
      <c r="A3709" s="81"/>
      <c r="B3709" s="12"/>
      <c r="C3709" s="35"/>
      <c r="D3709" s="31"/>
      <c r="E3709" s="30"/>
      <c r="F3709" s="14"/>
      <c r="G3709" s="14">
        <f t="shared" si="99"/>
        <v>0</v>
      </c>
      <c r="H3709" s="15"/>
      <c r="I3709" s="47"/>
      <c r="K3709" s="63"/>
    </row>
    <row r="3710" spans="1:11" x14ac:dyDescent="0.25">
      <c r="A3710" s="198"/>
      <c r="B3710" s="12"/>
      <c r="C3710" s="35"/>
      <c r="D3710" s="34"/>
      <c r="E3710" s="30"/>
      <c r="F3710" s="14"/>
      <c r="G3710" s="14">
        <f t="shared" si="99"/>
        <v>0</v>
      </c>
      <c r="H3710" s="15"/>
      <c r="I3710" s="47"/>
      <c r="K3710" s="63"/>
    </row>
    <row r="3711" spans="1:11" x14ac:dyDescent="0.25">
      <c r="A3711" s="198"/>
      <c r="B3711" s="12"/>
      <c r="C3711" s="35"/>
      <c r="D3711" s="31"/>
      <c r="E3711" s="30"/>
      <c r="F3711" s="14"/>
      <c r="G3711" s="14">
        <f t="shared" si="99"/>
        <v>0</v>
      </c>
      <c r="H3711" s="15"/>
      <c r="I3711" s="47"/>
      <c r="K3711" s="63"/>
    </row>
    <row r="3712" spans="1:11" x14ac:dyDescent="0.25">
      <c r="A3712" s="11"/>
      <c r="B3712" s="12"/>
      <c r="C3712" s="35"/>
      <c r="D3712" s="34"/>
      <c r="E3712" s="30"/>
      <c r="F3712" s="14"/>
      <c r="G3712" s="14">
        <f t="shared" si="99"/>
        <v>0</v>
      </c>
      <c r="H3712" s="15"/>
      <c r="I3712" s="47"/>
      <c r="K3712" s="63"/>
    </row>
    <row r="3713" spans="1:11" x14ac:dyDescent="0.25">
      <c r="A3713" s="11"/>
      <c r="B3713" s="12"/>
      <c r="C3713" s="35"/>
      <c r="D3713" s="31"/>
      <c r="E3713" s="30"/>
      <c r="F3713" s="14"/>
      <c r="G3713" s="14">
        <f t="shared" si="99"/>
        <v>0</v>
      </c>
      <c r="H3713" s="15"/>
      <c r="I3713" s="47"/>
      <c r="K3713" s="63"/>
    </row>
    <row r="3714" spans="1:11" x14ac:dyDescent="0.25">
      <c r="A3714" s="11"/>
      <c r="B3714" s="12"/>
      <c r="C3714" s="35"/>
      <c r="D3714" s="31"/>
      <c r="E3714" s="30"/>
      <c r="F3714" s="14"/>
      <c r="G3714" s="14">
        <f t="shared" si="99"/>
        <v>0</v>
      </c>
      <c r="H3714" s="17"/>
      <c r="I3714" s="47"/>
      <c r="K3714" s="63"/>
    </row>
    <row r="3715" spans="1:11" x14ac:dyDescent="0.25">
      <c r="A3715" s="291"/>
      <c r="B3715" s="228"/>
      <c r="C3715" s="228"/>
      <c r="D3715" s="228"/>
      <c r="E3715" s="36"/>
      <c r="F3715" s="37" t="s">
        <v>102</v>
      </c>
      <c r="G3715" s="38"/>
      <c r="H3715" s="23">
        <f>SUM(G3707:G3714)</f>
        <v>89156</v>
      </c>
      <c r="I3715" s="220"/>
      <c r="K3715" s="63"/>
    </row>
    <row r="3716" spans="1:11" x14ac:dyDescent="0.25">
      <c r="A3716" s="291"/>
      <c r="B3716" s="228"/>
      <c r="C3716" s="228"/>
      <c r="D3716" s="228"/>
      <c r="E3716" s="36"/>
      <c r="F3716" s="39" t="s">
        <v>103</v>
      </c>
      <c r="G3716" s="38"/>
      <c r="H3716" s="23">
        <f>ROUND((D3707*G3707)+(D3708*G3708)+(D3709*G3709)+(D3710*G3710)+(D3711*G3711)+(D3712*G3712)+(D3713*G3713)+(D3714*G3714),0)</f>
        <v>4458</v>
      </c>
      <c r="I3716" s="220"/>
      <c r="K3716" s="63"/>
    </row>
    <row r="3717" spans="1:11" x14ac:dyDescent="0.25">
      <c r="A3717" s="291"/>
      <c r="B3717" s="228"/>
      <c r="C3717" s="228"/>
      <c r="D3717" s="228"/>
      <c r="E3717" s="36"/>
      <c r="F3717" s="20" t="s">
        <v>104</v>
      </c>
      <c r="G3717" s="40"/>
      <c r="H3717" s="23">
        <f>SUM(H3715:H3716)</f>
        <v>93614</v>
      </c>
      <c r="I3717" s="220"/>
      <c r="K3717" s="63"/>
    </row>
    <row r="3718" spans="1:11" x14ac:dyDescent="0.25">
      <c r="A3718" s="291" t="s">
        <v>105</v>
      </c>
      <c r="B3718" s="228"/>
      <c r="C3718" s="228"/>
      <c r="D3718" s="228"/>
      <c r="E3718" s="47"/>
      <c r="F3718" s="47"/>
      <c r="G3718" s="47"/>
      <c r="H3718" s="233"/>
      <c r="I3718" s="47"/>
      <c r="K3718" s="63"/>
    </row>
    <row r="3719" spans="1:11" x14ac:dyDescent="0.25">
      <c r="A3719" s="24" t="s">
        <v>0</v>
      </c>
      <c r="B3719" s="24"/>
      <c r="C3719" s="8" t="s">
        <v>106</v>
      </c>
      <c r="D3719" s="8" t="s">
        <v>107</v>
      </c>
      <c r="E3719" s="9" t="s">
        <v>108</v>
      </c>
      <c r="F3719" s="9" t="s">
        <v>109</v>
      </c>
      <c r="G3719" s="41" t="s">
        <v>96</v>
      </c>
      <c r="H3719" s="10"/>
      <c r="I3719" s="47"/>
      <c r="K3719" s="63"/>
    </row>
    <row r="3720" spans="1:11" x14ac:dyDescent="0.25">
      <c r="A3720" s="18" t="s">
        <v>110</v>
      </c>
      <c r="B3720" s="42"/>
      <c r="C3720" s="13">
        <v>104000</v>
      </c>
      <c r="D3720" s="13">
        <f>+C3720*0.16</f>
        <v>16640</v>
      </c>
      <c r="E3720" s="14">
        <f>C3720+D3720</f>
        <v>120640</v>
      </c>
      <c r="F3720" s="30">
        <v>0.1</v>
      </c>
      <c r="G3720" s="14">
        <f>ROUND(E3720*F3720,0)</f>
        <v>12064</v>
      </c>
      <c r="H3720" s="15"/>
      <c r="I3720" s="47"/>
      <c r="K3720" s="63"/>
    </row>
    <row r="3721" spans="1:11" x14ac:dyDescent="0.25">
      <c r="A3721" s="18" t="s">
        <v>111</v>
      </c>
      <c r="B3721" s="42"/>
      <c r="C3721" s="13">
        <v>60400</v>
      </c>
      <c r="D3721" s="13">
        <f>+C3721*0.16</f>
        <v>9664</v>
      </c>
      <c r="E3721" s="14">
        <f>C3721+D3721</f>
        <v>70064</v>
      </c>
      <c r="F3721" s="30">
        <v>0.05</v>
      </c>
      <c r="G3721" s="14">
        <f>ROUND(E3721*F3721,0)</f>
        <v>3503</v>
      </c>
      <c r="H3721" s="15"/>
      <c r="I3721" s="47"/>
      <c r="K3721" s="63"/>
    </row>
    <row r="3722" spans="1:11" x14ac:dyDescent="0.25">
      <c r="A3722" s="18"/>
      <c r="B3722" s="42"/>
      <c r="C3722" s="43"/>
      <c r="D3722" s="43"/>
      <c r="E3722" s="44">
        <f>C3722+D3722</f>
        <v>0</v>
      </c>
      <c r="F3722" s="45"/>
      <c r="G3722" s="14">
        <f>ROUND(E3722*F3722,0)</f>
        <v>0</v>
      </c>
      <c r="H3722" s="15"/>
      <c r="I3722" s="47"/>
      <c r="K3722" s="63"/>
    </row>
    <row r="3723" spans="1:11" x14ac:dyDescent="0.25">
      <c r="A3723" s="291"/>
      <c r="B3723" s="228"/>
      <c r="C3723" s="228"/>
      <c r="D3723" s="228"/>
      <c r="E3723" s="277" t="s">
        <v>112</v>
      </c>
      <c r="F3723" s="277"/>
      <c r="G3723" s="277"/>
      <c r="H3723" s="23">
        <f>SUM(G3720:G3722)</f>
        <v>15567</v>
      </c>
      <c r="I3723" s="220"/>
      <c r="K3723" s="63"/>
    </row>
    <row r="3724" spans="1:11" x14ac:dyDescent="0.25">
      <c r="A3724" s="291"/>
      <c r="B3724" s="228"/>
      <c r="C3724" s="228"/>
      <c r="D3724" s="228"/>
      <c r="E3724" s="47"/>
      <c r="F3724" s="47"/>
      <c r="G3724" s="47"/>
      <c r="H3724" s="233"/>
      <c r="I3724" s="47"/>
      <c r="K3724" s="63"/>
    </row>
    <row r="3725" spans="1:11" x14ac:dyDescent="0.25">
      <c r="A3725" s="18"/>
      <c r="B3725" s="19"/>
      <c r="C3725" s="19"/>
      <c r="D3725" s="19"/>
      <c r="E3725" s="48" t="s">
        <v>113</v>
      </c>
      <c r="F3725" s="48"/>
      <c r="G3725" s="48"/>
      <c r="H3725" s="25">
        <f>H3723+H3717+H3704</f>
        <v>164709</v>
      </c>
      <c r="I3725" s="222"/>
      <c r="K3725" s="63"/>
    </row>
    <row r="3726" spans="1:11" x14ac:dyDescent="0.25">
      <c r="A3726" s="291"/>
      <c r="B3726" s="228"/>
      <c r="C3726" s="228"/>
      <c r="D3726" s="228"/>
      <c r="E3726" s="47"/>
      <c r="F3726" s="47"/>
      <c r="G3726" s="47"/>
      <c r="H3726" s="233"/>
      <c r="I3726" s="47"/>
      <c r="K3726" s="63"/>
    </row>
    <row r="3727" spans="1:11" x14ac:dyDescent="0.25">
      <c r="A3727" s="291" t="s">
        <v>114</v>
      </c>
      <c r="B3727" s="228"/>
      <c r="C3727" s="228"/>
      <c r="D3727" s="228"/>
      <c r="E3727" s="47"/>
      <c r="F3727" s="47"/>
      <c r="G3727" s="47"/>
      <c r="H3727" s="233"/>
      <c r="I3727" s="47"/>
      <c r="K3727" s="63"/>
    </row>
    <row r="3728" spans="1:11" x14ac:dyDescent="0.25">
      <c r="A3728" s="6" t="s">
        <v>0</v>
      </c>
      <c r="B3728" s="49"/>
      <c r="C3728" s="49"/>
      <c r="D3728" s="49"/>
      <c r="E3728" s="50"/>
      <c r="F3728" s="9" t="s">
        <v>115</v>
      </c>
      <c r="G3728" s="41" t="s">
        <v>116</v>
      </c>
      <c r="H3728" s="10"/>
      <c r="I3728" s="47"/>
      <c r="K3728" s="63"/>
    </row>
    <row r="3729" spans="1:17" x14ac:dyDescent="0.25">
      <c r="A3729" s="11" t="s">
        <v>117</v>
      </c>
      <c r="B3729" s="51"/>
      <c r="C3729" s="51"/>
      <c r="D3729" s="51"/>
      <c r="E3729" s="52"/>
      <c r="F3729" s="53"/>
      <c r="G3729" s="14">
        <f>F3729*H3725</f>
        <v>0</v>
      </c>
      <c r="H3729" s="15"/>
      <c r="I3729" s="47"/>
      <c r="K3729" s="63"/>
    </row>
    <row r="3730" spans="1:17" x14ac:dyDescent="0.25">
      <c r="A3730" s="11"/>
      <c r="B3730" s="51"/>
      <c r="C3730" s="51"/>
      <c r="D3730" s="51"/>
      <c r="E3730" s="52"/>
      <c r="F3730" s="53"/>
      <c r="G3730" s="14">
        <f>F3730*H3725</f>
        <v>0</v>
      </c>
      <c r="H3730" s="15"/>
      <c r="I3730" s="47"/>
      <c r="K3730" s="63"/>
    </row>
    <row r="3731" spans="1:17" x14ac:dyDescent="0.25">
      <c r="A3731" s="11"/>
      <c r="B3731" s="51"/>
      <c r="C3731" s="51"/>
      <c r="D3731" s="51"/>
      <c r="E3731" s="52"/>
      <c r="F3731" s="53"/>
      <c r="G3731" s="14">
        <f>F3731*H3725</f>
        <v>0</v>
      </c>
      <c r="H3731" s="17"/>
      <c r="I3731" s="47"/>
      <c r="K3731" s="63"/>
    </row>
    <row r="3732" spans="1:17" x14ac:dyDescent="0.25">
      <c r="A3732" s="291"/>
      <c r="B3732" s="228"/>
      <c r="C3732" s="228"/>
      <c r="D3732" s="228"/>
      <c r="E3732" s="277" t="s">
        <v>118</v>
      </c>
      <c r="F3732" s="277"/>
      <c r="G3732" s="277"/>
      <c r="H3732" s="23">
        <f>SUM(G3729:G3731)</f>
        <v>0</v>
      </c>
      <c r="I3732" s="220"/>
      <c r="K3732" s="63"/>
    </row>
    <row r="3733" spans="1:17" ht="15.75" thickBot="1" x14ac:dyDescent="0.3">
      <c r="A3733" s="291"/>
      <c r="B3733" s="228"/>
      <c r="C3733" s="228"/>
      <c r="D3733" s="228"/>
      <c r="E3733" s="47"/>
      <c r="F3733" s="47"/>
      <c r="G3733" s="47"/>
      <c r="H3733" s="233"/>
      <c r="I3733" s="47"/>
      <c r="K3733" s="63"/>
    </row>
    <row r="3734" spans="1:17" ht="15.75" thickBot="1" x14ac:dyDescent="0.3">
      <c r="A3734" s="291"/>
      <c r="B3734" s="228"/>
      <c r="C3734" s="228"/>
      <c r="D3734" s="228"/>
      <c r="E3734" s="279"/>
      <c r="F3734" s="279" t="s">
        <v>119</v>
      </c>
      <c r="G3734" s="279"/>
      <c r="H3734" s="55">
        <f>SUM(H3732+H3725)</f>
        <v>164709</v>
      </c>
      <c r="I3734" s="112"/>
      <c r="K3734" s="63"/>
    </row>
    <row r="3735" spans="1:17" x14ac:dyDescent="0.25">
      <c r="A3735" s="291"/>
      <c r="B3735" s="228"/>
      <c r="C3735" s="228"/>
      <c r="D3735" s="228"/>
      <c r="E3735" s="279"/>
      <c r="F3735" s="279"/>
      <c r="G3735" s="279"/>
      <c r="H3735" s="112"/>
      <c r="I3735" s="112"/>
      <c r="K3735" s="63"/>
    </row>
    <row r="3736" spans="1:17" x14ac:dyDescent="0.25">
      <c r="A3736" s="228"/>
      <c r="B3736" s="228"/>
      <c r="C3736" s="228"/>
      <c r="D3736" s="228"/>
      <c r="E3736" s="279"/>
      <c r="F3736" s="279"/>
      <c r="G3736" s="279"/>
      <c r="H3736" s="112"/>
      <c r="I3736" s="112"/>
      <c r="K3736" s="63"/>
    </row>
    <row r="3737" spans="1:17" x14ac:dyDescent="0.25">
      <c r="A3737" s="228"/>
      <c r="B3737" s="228"/>
      <c r="C3737" s="228"/>
      <c r="D3737" s="228"/>
      <c r="E3737" s="279"/>
      <c r="F3737" s="279"/>
      <c r="G3737" s="279"/>
      <c r="H3737" s="112"/>
      <c r="I3737" s="112"/>
      <c r="K3737" s="63"/>
    </row>
    <row r="3738" spans="1:17" ht="15.75" x14ac:dyDescent="0.25">
      <c r="I3738" s="271"/>
      <c r="J3738" s="4"/>
      <c r="K3738" s="199"/>
      <c r="L3738" s="4"/>
      <c r="M3738" s="4"/>
      <c r="N3738" s="4"/>
      <c r="O3738" s="4"/>
      <c r="P3738" s="4"/>
      <c r="Q3738" s="4"/>
    </row>
    <row r="3739" spans="1:17" ht="15.75" x14ac:dyDescent="0.25">
      <c r="I3739" s="344"/>
      <c r="J3739" s="4"/>
      <c r="K3739" s="199"/>
      <c r="L3739" s="4"/>
      <c r="M3739" s="4"/>
      <c r="N3739" s="4"/>
      <c r="O3739" s="4"/>
      <c r="P3739" s="4"/>
      <c r="Q3739" s="4"/>
    </row>
    <row r="3740" spans="1:17" ht="15.75" x14ac:dyDescent="0.25">
      <c r="I3740" s="344"/>
      <c r="J3740" s="4"/>
      <c r="K3740" s="199"/>
      <c r="L3740" s="4"/>
      <c r="M3740" s="4"/>
      <c r="N3740" s="4"/>
      <c r="O3740" s="4"/>
      <c r="P3740" s="4"/>
      <c r="Q3740" s="4"/>
    </row>
    <row r="3741" spans="1:17" ht="15.75" x14ac:dyDescent="0.25">
      <c r="I3741" s="344"/>
      <c r="J3741" s="4"/>
      <c r="K3741" s="199"/>
      <c r="L3741" s="4"/>
      <c r="M3741" s="4"/>
      <c r="N3741" s="4"/>
      <c r="O3741" s="4"/>
      <c r="P3741" s="4"/>
      <c r="Q3741" s="4"/>
    </row>
    <row r="3742" spans="1:17" ht="15.75" x14ac:dyDescent="0.25">
      <c r="A3742" s="437" t="s">
        <v>79</v>
      </c>
      <c r="B3742" s="437"/>
      <c r="C3742" s="437"/>
      <c r="D3742" s="437"/>
      <c r="E3742" s="437"/>
      <c r="F3742" s="437"/>
      <c r="G3742" s="437"/>
      <c r="H3742" s="437"/>
      <c r="I3742" s="344"/>
      <c r="J3742" s="4"/>
      <c r="K3742" s="199"/>
      <c r="L3742" s="4"/>
      <c r="M3742" s="4"/>
      <c r="N3742" s="4"/>
      <c r="O3742" s="4"/>
      <c r="P3742" s="4"/>
      <c r="Q3742" s="4"/>
    </row>
    <row r="3743" spans="1:17" x14ac:dyDescent="0.25">
      <c r="A3743" s="290"/>
      <c r="B3743" s="290"/>
      <c r="C3743" s="290"/>
      <c r="D3743" s="290"/>
      <c r="E3743" s="234"/>
      <c r="F3743" s="234"/>
      <c r="G3743" s="234"/>
      <c r="H3743" s="234"/>
      <c r="I3743" s="234"/>
      <c r="J3743" s="4"/>
      <c r="K3743" s="199"/>
      <c r="L3743" s="4"/>
      <c r="M3743" s="4"/>
      <c r="N3743" s="4"/>
      <c r="O3743" s="4"/>
      <c r="P3743" s="4"/>
      <c r="Q3743" s="4"/>
    </row>
    <row r="3744" spans="1:17" x14ac:dyDescent="0.25">
      <c r="A3744" s="294"/>
      <c r="B3744" s="294"/>
      <c r="C3744" s="294"/>
      <c r="D3744" s="294"/>
      <c r="E3744" s="295"/>
      <c r="F3744" s="295"/>
      <c r="G3744" s="234"/>
      <c r="H3744" s="234"/>
      <c r="I3744" s="234"/>
      <c r="J3744" s="4"/>
      <c r="K3744" s="199"/>
      <c r="L3744" s="4"/>
      <c r="M3744" s="4"/>
      <c r="N3744" s="4"/>
      <c r="O3744" s="4"/>
      <c r="P3744" s="4"/>
      <c r="Q3744" s="4"/>
    </row>
    <row r="3745" spans="1:17" x14ac:dyDescent="0.25">
      <c r="A3745" s="290"/>
      <c r="B3745" s="290"/>
      <c r="C3745" s="290"/>
      <c r="D3745" s="290"/>
      <c r="E3745" s="234"/>
      <c r="F3745" s="234"/>
      <c r="G3745" s="438" t="s">
        <v>326</v>
      </c>
      <c r="H3745" s="438"/>
      <c r="I3745" s="251"/>
      <c r="J3745" s="4"/>
      <c r="K3745" s="199"/>
      <c r="L3745" s="4"/>
      <c r="M3745" s="4"/>
      <c r="N3745" s="4"/>
      <c r="O3745" s="4"/>
      <c r="P3745" s="4"/>
      <c r="Q3745" s="4"/>
    </row>
    <row r="3746" spans="1:17" x14ac:dyDescent="0.25">
      <c r="A3746" s="314" t="s">
        <v>387</v>
      </c>
      <c r="B3746" s="290"/>
      <c r="C3746" s="290"/>
      <c r="D3746" s="290"/>
      <c r="E3746" s="234"/>
      <c r="F3746" s="234"/>
      <c r="G3746" s="272"/>
      <c r="H3746" s="272"/>
      <c r="I3746" s="272"/>
      <c r="J3746" s="4"/>
      <c r="K3746" s="199"/>
      <c r="L3746" s="4"/>
      <c r="M3746" s="4"/>
      <c r="N3746" s="4"/>
      <c r="O3746" s="4"/>
      <c r="P3746" s="4"/>
      <c r="Q3746" s="4"/>
    </row>
    <row r="3747" spans="1:17" x14ac:dyDescent="0.25">
      <c r="A3747" s="289"/>
      <c r="B3747" s="290"/>
      <c r="C3747" s="290"/>
      <c r="D3747" s="290"/>
      <c r="E3747" s="234"/>
      <c r="F3747" s="234"/>
      <c r="G3747" s="272" t="s">
        <v>160</v>
      </c>
      <c r="H3747" s="296"/>
      <c r="I3747" s="272"/>
      <c r="J3747" s="4"/>
      <c r="K3747" s="199"/>
      <c r="L3747" s="4"/>
      <c r="M3747" s="4"/>
      <c r="N3747" s="4"/>
      <c r="O3747" s="4"/>
      <c r="P3747" s="4"/>
      <c r="Q3747" s="4"/>
    </row>
    <row r="3748" spans="1:17" x14ac:dyDescent="0.25">
      <c r="A3748" s="289" t="s">
        <v>82</v>
      </c>
      <c r="B3748" s="290"/>
      <c r="C3748" s="290"/>
      <c r="D3748" s="290"/>
      <c r="E3748" s="234"/>
      <c r="F3748" s="234"/>
      <c r="G3748" s="234"/>
      <c r="H3748" s="234"/>
      <c r="I3748" s="234"/>
      <c r="J3748" s="4"/>
      <c r="K3748" s="199"/>
      <c r="L3748" s="4"/>
      <c r="M3748" s="4"/>
      <c r="N3748" s="4"/>
      <c r="O3748" s="4"/>
      <c r="P3748" s="4"/>
      <c r="Q3748" s="4"/>
    </row>
    <row r="3749" spans="1:17" x14ac:dyDescent="0.25">
      <c r="A3749" s="205" t="s">
        <v>0</v>
      </c>
      <c r="B3749" s="206"/>
      <c r="C3749" s="207" t="s">
        <v>83</v>
      </c>
      <c r="D3749" s="207" t="s">
        <v>84</v>
      </c>
      <c r="E3749" s="9" t="s">
        <v>85</v>
      </c>
      <c r="F3749" s="9" t="s">
        <v>86</v>
      </c>
      <c r="G3749" s="9" t="s">
        <v>87</v>
      </c>
      <c r="H3749" s="208"/>
      <c r="I3749" s="234"/>
      <c r="J3749" s="4"/>
      <c r="K3749" s="199"/>
      <c r="L3749" s="4"/>
      <c r="M3749" s="4"/>
      <c r="N3749" s="4"/>
      <c r="O3749" s="4"/>
      <c r="P3749" s="4"/>
      <c r="Q3749" s="4"/>
    </row>
    <row r="3750" spans="1:17" x14ac:dyDescent="0.25">
      <c r="A3750" s="209" t="s">
        <v>88</v>
      </c>
      <c r="B3750" s="210"/>
      <c r="C3750" s="211"/>
      <c r="D3750" s="211"/>
      <c r="E3750" s="14"/>
      <c r="F3750" s="14"/>
      <c r="G3750" s="14">
        <f>ROUND(H3774*0.05,0)</f>
        <v>2209</v>
      </c>
      <c r="H3750" s="15"/>
      <c r="I3750" s="47"/>
      <c r="J3750" s="4"/>
      <c r="K3750" s="199"/>
      <c r="L3750" s="4"/>
      <c r="M3750" s="4"/>
      <c r="N3750" s="4"/>
      <c r="O3750" s="4"/>
      <c r="P3750" s="4"/>
      <c r="Q3750" s="4"/>
    </row>
    <row r="3751" spans="1:17" x14ac:dyDescent="0.25">
      <c r="A3751" s="11" t="s">
        <v>392</v>
      </c>
      <c r="B3751" s="12"/>
      <c r="C3751" s="13"/>
      <c r="D3751" s="13"/>
      <c r="E3751" s="14">
        <v>15000</v>
      </c>
      <c r="F3751" s="16">
        <v>0.35</v>
      </c>
      <c r="G3751" s="14">
        <f>ROUND(E3751*F3751,0)</f>
        <v>5250</v>
      </c>
      <c r="H3751" s="15"/>
      <c r="I3751" s="47"/>
      <c r="J3751" s="4"/>
      <c r="K3751" s="199"/>
      <c r="L3751" s="4"/>
      <c r="M3751" s="4"/>
      <c r="N3751" s="4"/>
      <c r="O3751" s="4"/>
      <c r="P3751" s="4"/>
      <c r="Q3751" s="4"/>
    </row>
    <row r="3752" spans="1:17" x14ac:dyDescent="0.25">
      <c r="A3752" s="11"/>
      <c r="B3752" s="12"/>
      <c r="C3752" s="13"/>
      <c r="D3752" s="13"/>
      <c r="E3752" s="14"/>
      <c r="F3752" s="14"/>
      <c r="G3752" s="14">
        <f>ROUND(E3752*F3752,0)</f>
        <v>0</v>
      </c>
      <c r="H3752" s="15"/>
      <c r="I3752" s="47"/>
      <c r="J3752" s="4"/>
      <c r="K3752" s="199"/>
      <c r="L3752" s="4"/>
      <c r="M3752" s="4"/>
      <c r="N3752" s="4"/>
      <c r="O3752" s="4"/>
      <c r="P3752" s="4"/>
      <c r="Q3752" s="4"/>
    </row>
    <row r="3753" spans="1:17" x14ac:dyDescent="0.25">
      <c r="A3753" s="209"/>
      <c r="B3753" s="210"/>
      <c r="C3753" s="211"/>
      <c r="D3753" s="211"/>
      <c r="E3753" s="14"/>
      <c r="F3753" s="14"/>
      <c r="G3753" s="14">
        <f>ROUND(E3753*F3753,0)</f>
        <v>0</v>
      </c>
      <c r="H3753" s="17"/>
      <c r="I3753" s="47"/>
      <c r="J3753" s="4"/>
      <c r="K3753" s="199"/>
      <c r="L3753" s="4"/>
      <c r="M3753" s="4"/>
      <c r="N3753" s="4"/>
      <c r="O3753" s="4"/>
      <c r="P3753" s="4"/>
      <c r="Q3753" s="4"/>
    </row>
    <row r="3754" spans="1:17" x14ac:dyDescent="0.25">
      <c r="A3754" s="212"/>
      <c r="B3754" s="213"/>
      <c r="C3754" s="213"/>
      <c r="D3754" s="213"/>
      <c r="E3754" s="20"/>
      <c r="F3754" s="21" t="s">
        <v>90</v>
      </c>
      <c r="G3754" s="22"/>
      <c r="H3754" s="23">
        <f>SUM(G3750:G3753)</f>
        <v>7459</v>
      </c>
      <c r="I3754" s="220"/>
      <c r="J3754" s="4"/>
      <c r="K3754" s="199"/>
      <c r="L3754" s="4"/>
      <c r="M3754" s="4"/>
      <c r="N3754" s="4"/>
      <c r="O3754" s="4"/>
      <c r="P3754" s="4"/>
      <c r="Q3754" s="4"/>
    </row>
    <row r="3755" spans="1:17" x14ac:dyDescent="0.25">
      <c r="A3755" s="289" t="s">
        <v>91</v>
      </c>
      <c r="B3755" s="290"/>
      <c r="C3755" s="290"/>
      <c r="D3755" s="290"/>
      <c r="E3755" s="234"/>
      <c r="F3755" s="234"/>
      <c r="G3755" s="47"/>
      <c r="H3755" s="233"/>
      <c r="I3755" s="47"/>
      <c r="J3755" s="4"/>
      <c r="K3755" s="199"/>
      <c r="L3755" s="4"/>
      <c r="M3755" s="4"/>
      <c r="N3755" s="4"/>
      <c r="O3755" s="4"/>
      <c r="P3755" s="4"/>
      <c r="Q3755" s="4"/>
    </row>
    <row r="3756" spans="1:17" x14ac:dyDescent="0.25">
      <c r="A3756" s="214" t="s">
        <v>0</v>
      </c>
      <c r="B3756" s="214"/>
      <c r="C3756" s="207" t="s">
        <v>92</v>
      </c>
      <c r="D3756" s="207" t="s">
        <v>93</v>
      </c>
      <c r="E3756" s="9" t="s">
        <v>94</v>
      </c>
      <c r="F3756" s="9" t="s">
        <v>95</v>
      </c>
      <c r="G3756" s="25" t="s">
        <v>96</v>
      </c>
      <c r="H3756" s="10"/>
      <c r="I3756" s="47"/>
      <c r="J3756" s="4"/>
      <c r="K3756" s="199"/>
      <c r="L3756" s="4"/>
      <c r="M3756" s="4"/>
      <c r="N3756" s="4"/>
      <c r="O3756" s="4"/>
      <c r="P3756" s="4"/>
      <c r="Q3756" s="4"/>
    </row>
    <row r="3757" spans="1:17" x14ac:dyDescent="0.25">
      <c r="A3757" s="209" t="s">
        <v>388</v>
      </c>
      <c r="B3757" s="210"/>
      <c r="C3757" s="215" t="s">
        <v>212</v>
      </c>
      <c r="D3757" s="34">
        <v>0.05</v>
      </c>
      <c r="E3757" s="30">
        <v>2.8000000000000001E-2</v>
      </c>
      <c r="F3757" s="197">
        <f>+$H$3634</f>
        <v>3143737</v>
      </c>
      <c r="G3757" s="14">
        <f t="shared" ref="G3757:G3765" si="100">ROUND(E3757*F3757,0)</f>
        <v>88025</v>
      </c>
      <c r="H3757" s="15"/>
      <c r="I3757" s="47"/>
      <c r="J3757" s="4"/>
      <c r="K3757" s="199"/>
      <c r="L3757" s="4"/>
      <c r="M3757" s="4"/>
      <c r="N3757" s="4"/>
      <c r="O3757" s="4"/>
      <c r="P3757" s="4"/>
      <c r="Q3757" s="4"/>
    </row>
    <row r="3758" spans="1:17" x14ac:dyDescent="0.25">
      <c r="A3758" s="209"/>
      <c r="B3758" s="210"/>
      <c r="C3758" s="215"/>
      <c r="D3758" s="31"/>
      <c r="E3758" s="30"/>
      <c r="F3758" s="14"/>
      <c r="G3758" s="14">
        <f t="shared" si="100"/>
        <v>0</v>
      </c>
      <c r="H3758" s="15"/>
      <c r="I3758" s="47"/>
      <c r="J3758" s="4"/>
      <c r="K3758" s="199"/>
      <c r="L3758" s="4"/>
      <c r="M3758" s="4"/>
      <c r="N3758" s="4"/>
      <c r="O3758" s="4"/>
      <c r="P3758" s="4"/>
      <c r="Q3758" s="4"/>
    </row>
    <row r="3759" spans="1:17" x14ac:dyDescent="0.25">
      <c r="A3759" s="216"/>
      <c r="B3759" s="217"/>
      <c r="C3759" s="215"/>
      <c r="D3759" s="34"/>
      <c r="E3759" s="30"/>
      <c r="F3759" s="14"/>
      <c r="G3759" s="14">
        <f t="shared" si="100"/>
        <v>0</v>
      </c>
      <c r="H3759" s="15"/>
      <c r="I3759" s="47"/>
      <c r="J3759" s="4"/>
      <c r="K3759" s="199"/>
      <c r="L3759" s="4"/>
      <c r="M3759" s="4"/>
      <c r="N3759" s="4"/>
      <c r="O3759" s="4"/>
      <c r="P3759" s="4"/>
      <c r="Q3759" s="4"/>
    </row>
    <row r="3760" spans="1:17" x14ac:dyDescent="0.25">
      <c r="A3760" s="209"/>
      <c r="B3760" s="210"/>
      <c r="C3760" s="215"/>
      <c r="D3760" s="31"/>
      <c r="E3760" s="30"/>
      <c r="F3760" s="14"/>
      <c r="G3760" s="14">
        <f t="shared" si="100"/>
        <v>0</v>
      </c>
      <c r="H3760" s="15"/>
      <c r="I3760" s="47"/>
      <c r="J3760" s="4"/>
      <c r="K3760" s="199"/>
      <c r="L3760" s="4"/>
      <c r="M3760" s="4"/>
      <c r="N3760" s="4"/>
      <c r="O3760" s="4"/>
      <c r="P3760" s="4"/>
      <c r="Q3760" s="4"/>
    </row>
    <row r="3761" spans="1:17" x14ac:dyDescent="0.25">
      <c r="A3761" s="209"/>
      <c r="B3761" s="210"/>
      <c r="C3761" s="215"/>
      <c r="D3761" s="34"/>
      <c r="E3761" s="30"/>
      <c r="F3761" s="14"/>
      <c r="G3761" s="14">
        <f t="shared" si="100"/>
        <v>0</v>
      </c>
      <c r="H3761" s="15"/>
      <c r="I3761" s="47"/>
      <c r="J3761" s="4"/>
      <c r="K3761" s="199"/>
      <c r="L3761" s="4"/>
      <c r="M3761" s="4"/>
      <c r="N3761" s="4"/>
      <c r="O3761" s="4"/>
      <c r="P3761" s="4"/>
      <c r="Q3761" s="4"/>
    </row>
    <row r="3762" spans="1:17" x14ac:dyDescent="0.25">
      <c r="A3762" s="209"/>
      <c r="B3762" s="210"/>
      <c r="C3762" s="215"/>
      <c r="D3762" s="31"/>
      <c r="E3762" s="30"/>
      <c r="F3762" s="14"/>
      <c r="G3762" s="14">
        <f t="shared" si="100"/>
        <v>0</v>
      </c>
      <c r="H3762" s="15"/>
      <c r="I3762" s="47"/>
      <c r="J3762" s="4"/>
      <c r="K3762" s="199"/>
      <c r="L3762" s="4"/>
      <c r="M3762" s="4"/>
      <c r="N3762" s="4"/>
      <c r="O3762" s="4"/>
      <c r="P3762" s="4"/>
      <c r="Q3762" s="4"/>
    </row>
    <row r="3763" spans="1:17" x14ac:dyDescent="0.25">
      <c r="A3763" s="209"/>
      <c r="B3763" s="210"/>
      <c r="C3763" s="215"/>
      <c r="D3763" s="34"/>
      <c r="E3763" s="30"/>
      <c r="F3763" s="14"/>
      <c r="G3763" s="14">
        <f t="shared" si="100"/>
        <v>0</v>
      </c>
      <c r="H3763" s="15"/>
      <c r="I3763" s="47"/>
      <c r="J3763" s="4"/>
      <c r="K3763" s="199"/>
      <c r="L3763" s="4"/>
      <c r="M3763" s="4"/>
      <c r="N3763" s="4"/>
      <c r="O3763" s="4"/>
      <c r="P3763" s="4"/>
      <c r="Q3763" s="4"/>
    </row>
    <row r="3764" spans="1:17" x14ac:dyDescent="0.25">
      <c r="A3764" s="209"/>
      <c r="B3764" s="210"/>
      <c r="C3764" s="215"/>
      <c r="D3764" s="31"/>
      <c r="E3764" s="30"/>
      <c r="F3764" s="14"/>
      <c r="G3764" s="14">
        <f t="shared" si="100"/>
        <v>0</v>
      </c>
      <c r="H3764" s="15"/>
      <c r="I3764" s="47"/>
      <c r="J3764" s="4"/>
      <c r="K3764" s="199"/>
      <c r="L3764" s="4"/>
      <c r="M3764" s="4"/>
      <c r="N3764" s="4"/>
      <c r="O3764" s="4"/>
      <c r="P3764" s="4"/>
      <c r="Q3764" s="4"/>
    </row>
    <row r="3765" spans="1:17" x14ac:dyDescent="0.25">
      <c r="A3765" s="209"/>
      <c r="B3765" s="210"/>
      <c r="C3765" s="215"/>
      <c r="D3765" s="31"/>
      <c r="E3765" s="30"/>
      <c r="F3765" s="14"/>
      <c r="G3765" s="14">
        <f t="shared" si="100"/>
        <v>0</v>
      </c>
      <c r="H3765" s="17"/>
      <c r="I3765" s="47"/>
      <c r="J3765" s="4"/>
      <c r="K3765" s="199"/>
      <c r="L3765" s="4"/>
      <c r="M3765" s="4"/>
      <c r="N3765" s="4"/>
      <c r="O3765" s="4"/>
      <c r="P3765" s="4"/>
      <c r="Q3765" s="4"/>
    </row>
    <row r="3766" spans="1:17" x14ac:dyDescent="0.25">
      <c r="A3766" s="289"/>
      <c r="B3766" s="290"/>
      <c r="C3766" s="290"/>
      <c r="D3766" s="290"/>
      <c r="E3766" s="36"/>
      <c r="F3766" s="37" t="s">
        <v>102</v>
      </c>
      <c r="G3766" s="38"/>
      <c r="H3766" s="23">
        <f>SUM(G3757:G3765)</f>
        <v>88025</v>
      </c>
      <c r="I3766" s="220"/>
      <c r="J3766" s="4"/>
      <c r="K3766" s="199"/>
      <c r="L3766" s="4"/>
      <c r="M3766" s="4"/>
      <c r="N3766" s="4"/>
      <c r="O3766" s="4"/>
      <c r="P3766" s="4"/>
      <c r="Q3766" s="4"/>
    </row>
    <row r="3767" spans="1:17" x14ac:dyDescent="0.25">
      <c r="A3767" s="289"/>
      <c r="B3767" s="290"/>
      <c r="C3767" s="290"/>
      <c r="D3767" s="290"/>
      <c r="E3767" s="36"/>
      <c r="F3767" s="39" t="s">
        <v>103</v>
      </c>
      <c r="G3767" s="38"/>
      <c r="H3767" s="23">
        <f>ROUND((D3757*G3757)+(D3758*G3758)+(D3759*G3759)+(D3760*G3760)+(D3761*G3761)+(D3762*G3762)+(D3763*G3763)+(D3764*G3764)+(D3765*G3765),0)</f>
        <v>4401</v>
      </c>
      <c r="I3767" s="220"/>
      <c r="J3767" s="4"/>
      <c r="K3767" s="199"/>
      <c r="L3767" s="4"/>
      <c r="M3767" s="4"/>
      <c r="N3767" s="4"/>
      <c r="O3767" s="4"/>
      <c r="P3767" s="4"/>
      <c r="Q3767" s="4"/>
    </row>
    <row r="3768" spans="1:17" x14ac:dyDescent="0.25">
      <c r="A3768" s="289"/>
      <c r="B3768" s="290"/>
      <c r="C3768" s="290"/>
      <c r="D3768" s="290"/>
      <c r="E3768" s="36"/>
      <c r="F3768" s="20" t="s">
        <v>104</v>
      </c>
      <c r="G3768" s="40"/>
      <c r="H3768" s="23">
        <f>SUM(H3766:H3767)</f>
        <v>92426</v>
      </c>
      <c r="I3768" s="220"/>
      <c r="J3768" s="4"/>
      <c r="K3768" s="199"/>
      <c r="L3768" s="4"/>
      <c r="M3768" s="4"/>
      <c r="N3768" s="4"/>
      <c r="O3768" s="4"/>
      <c r="P3768" s="4"/>
      <c r="Q3768" s="4"/>
    </row>
    <row r="3769" spans="1:17" x14ac:dyDescent="0.25">
      <c r="A3769" s="289" t="s">
        <v>105</v>
      </c>
      <c r="B3769" s="290"/>
      <c r="C3769" s="290"/>
      <c r="D3769" s="290"/>
      <c r="E3769" s="234"/>
      <c r="F3769" s="234"/>
      <c r="G3769" s="47"/>
      <c r="H3769" s="233"/>
      <c r="I3769" s="47"/>
      <c r="J3769" s="4"/>
      <c r="K3769" s="199"/>
      <c r="L3769" s="4"/>
      <c r="M3769" s="4"/>
      <c r="N3769" s="4"/>
      <c r="O3769" s="4"/>
      <c r="P3769" s="4"/>
      <c r="Q3769" s="4"/>
    </row>
    <row r="3770" spans="1:17" x14ac:dyDescent="0.25">
      <c r="A3770" s="214" t="s">
        <v>0</v>
      </c>
      <c r="B3770" s="214"/>
      <c r="C3770" s="207" t="s">
        <v>106</v>
      </c>
      <c r="D3770" s="207" t="s">
        <v>107</v>
      </c>
      <c r="E3770" s="9" t="s">
        <v>108</v>
      </c>
      <c r="F3770" s="9" t="s">
        <v>109</v>
      </c>
      <c r="G3770" s="41" t="s">
        <v>96</v>
      </c>
      <c r="H3770" s="10"/>
      <c r="I3770" s="47"/>
      <c r="J3770" s="4"/>
      <c r="K3770" s="199"/>
      <c r="L3770" s="4"/>
      <c r="M3770" s="4"/>
      <c r="N3770" s="4"/>
      <c r="O3770" s="4"/>
      <c r="P3770" s="4"/>
      <c r="Q3770" s="4"/>
    </row>
    <row r="3771" spans="1:17" x14ac:dyDescent="0.25">
      <c r="A3771" s="209" t="s">
        <v>110</v>
      </c>
      <c r="B3771" s="210"/>
      <c r="C3771" s="13">
        <v>104000</v>
      </c>
      <c r="D3771" s="13">
        <f>+C3771*0.16</f>
        <v>16640</v>
      </c>
      <c r="E3771" s="14">
        <f>C3771+D3771</f>
        <v>120640</v>
      </c>
      <c r="F3771" s="122">
        <v>0.25</v>
      </c>
      <c r="G3771" s="14">
        <f>ROUND(E3771*F3771,0)</f>
        <v>30160</v>
      </c>
      <c r="H3771" s="15"/>
      <c r="I3771" s="47"/>
      <c r="J3771" s="4"/>
      <c r="K3771" s="199"/>
      <c r="L3771" s="4"/>
      <c r="M3771" s="4"/>
      <c r="N3771" s="4"/>
      <c r="O3771" s="4"/>
      <c r="P3771" s="4"/>
      <c r="Q3771" s="4"/>
    </row>
    <row r="3772" spans="1:17" x14ac:dyDescent="0.25">
      <c r="A3772" s="209" t="s">
        <v>111</v>
      </c>
      <c r="B3772" s="210"/>
      <c r="C3772" s="13">
        <v>60400</v>
      </c>
      <c r="D3772" s="13">
        <f>+C3772*0.16</f>
        <v>9664</v>
      </c>
      <c r="E3772" s="14">
        <f>C3772+D3772</f>
        <v>70064</v>
      </c>
      <c r="F3772" s="122">
        <v>0.2</v>
      </c>
      <c r="G3772" s="14">
        <f>ROUND(E3772*F3772,0)</f>
        <v>14013</v>
      </c>
      <c r="H3772" s="15"/>
      <c r="I3772" s="47"/>
      <c r="J3772" s="4"/>
      <c r="K3772" s="199"/>
      <c r="L3772" s="4"/>
      <c r="M3772" s="4"/>
      <c r="N3772" s="4"/>
      <c r="O3772" s="4"/>
      <c r="P3772" s="4"/>
      <c r="Q3772" s="4"/>
    </row>
    <row r="3773" spans="1:17" x14ac:dyDescent="0.25">
      <c r="A3773" s="209"/>
      <c r="B3773" s="210"/>
      <c r="C3773" s="211"/>
      <c r="D3773" s="211"/>
      <c r="E3773" s="14">
        <f>C3773+D3773</f>
        <v>0</v>
      </c>
      <c r="F3773" s="30"/>
      <c r="G3773" s="14">
        <f>ROUND(E3773*F3773,0)</f>
        <v>0</v>
      </c>
      <c r="H3773" s="15"/>
      <c r="I3773" s="47"/>
      <c r="J3773" s="4"/>
      <c r="K3773" s="199"/>
      <c r="L3773" s="4"/>
      <c r="M3773" s="4"/>
      <c r="N3773" s="4"/>
      <c r="O3773" s="4"/>
      <c r="P3773" s="4"/>
      <c r="Q3773" s="4"/>
    </row>
    <row r="3774" spans="1:17" x14ac:dyDescent="0.25">
      <c r="A3774" s="289"/>
      <c r="B3774" s="290"/>
      <c r="C3774" s="290"/>
      <c r="D3774" s="290"/>
      <c r="E3774" s="101" t="s">
        <v>112</v>
      </c>
      <c r="F3774" s="37"/>
      <c r="G3774" s="277"/>
      <c r="H3774" s="23">
        <f>SUM(G3771:G3773)</f>
        <v>44173</v>
      </c>
      <c r="I3774" s="220"/>
      <c r="J3774" s="4"/>
      <c r="K3774" s="199"/>
      <c r="L3774" s="4"/>
      <c r="M3774" s="4"/>
      <c r="N3774" s="4"/>
      <c r="O3774" s="4"/>
      <c r="P3774" s="4"/>
      <c r="Q3774" s="4"/>
    </row>
    <row r="3775" spans="1:17" x14ac:dyDescent="0.25">
      <c r="A3775" s="289"/>
      <c r="B3775" s="290"/>
      <c r="C3775" s="290"/>
      <c r="D3775" s="290"/>
      <c r="E3775" s="234"/>
      <c r="F3775" s="234"/>
      <c r="G3775" s="47"/>
      <c r="H3775" s="233"/>
      <c r="I3775" s="47"/>
      <c r="J3775" s="4"/>
      <c r="K3775" s="199"/>
      <c r="L3775" s="4"/>
      <c r="M3775" s="4"/>
      <c r="N3775" s="4"/>
      <c r="O3775" s="4"/>
      <c r="P3775" s="4"/>
      <c r="Q3775" s="4"/>
    </row>
    <row r="3776" spans="1:17" x14ac:dyDescent="0.25">
      <c r="A3776" s="212"/>
      <c r="B3776" s="213"/>
      <c r="C3776" s="213"/>
      <c r="D3776" s="213"/>
      <c r="E3776" s="48" t="s">
        <v>113</v>
      </c>
      <c r="F3776" s="48"/>
      <c r="G3776" s="50"/>
      <c r="H3776" s="25">
        <f>H3774+H3768+H3754</f>
        <v>144058</v>
      </c>
      <c r="I3776" s="222"/>
      <c r="J3776" s="4"/>
      <c r="K3776" s="199"/>
      <c r="L3776" s="4"/>
      <c r="M3776" s="4"/>
      <c r="N3776" s="4"/>
      <c r="O3776" s="4"/>
      <c r="P3776" s="4"/>
      <c r="Q3776" s="4"/>
    </row>
    <row r="3777" spans="1:17" x14ac:dyDescent="0.25">
      <c r="A3777" s="289"/>
      <c r="B3777" s="290"/>
      <c r="C3777" s="290"/>
      <c r="D3777" s="290"/>
      <c r="E3777" s="234"/>
      <c r="F3777" s="234"/>
      <c r="G3777" s="47"/>
      <c r="H3777" s="233"/>
      <c r="I3777" s="47"/>
      <c r="J3777" s="4"/>
      <c r="K3777" s="199"/>
      <c r="L3777" s="4"/>
      <c r="M3777" s="4"/>
      <c r="N3777" s="4"/>
      <c r="O3777" s="4"/>
      <c r="P3777" s="4"/>
      <c r="Q3777" s="4"/>
    </row>
    <row r="3778" spans="1:17" x14ac:dyDescent="0.25">
      <c r="A3778" s="289" t="s">
        <v>114</v>
      </c>
      <c r="B3778" s="290"/>
      <c r="C3778" s="290"/>
      <c r="D3778" s="290"/>
      <c r="E3778" s="234"/>
      <c r="F3778" s="234"/>
      <c r="G3778" s="47"/>
      <c r="H3778" s="233"/>
      <c r="I3778" s="47"/>
      <c r="J3778" s="4"/>
      <c r="K3778" s="199"/>
      <c r="L3778" s="4"/>
      <c r="M3778" s="4"/>
      <c r="N3778" s="4"/>
      <c r="O3778" s="4"/>
      <c r="P3778" s="4"/>
      <c r="Q3778" s="4"/>
    </row>
    <row r="3779" spans="1:17" x14ac:dyDescent="0.25">
      <c r="A3779" s="205" t="s">
        <v>0</v>
      </c>
      <c r="B3779" s="218"/>
      <c r="C3779" s="218"/>
      <c r="D3779" s="218"/>
      <c r="E3779" s="50"/>
      <c r="F3779" s="9" t="s">
        <v>115</v>
      </c>
      <c r="G3779" s="9" t="s">
        <v>116</v>
      </c>
      <c r="H3779" s="10"/>
      <c r="I3779" s="47"/>
      <c r="J3779" s="4"/>
      <c r="K3779" s="199"/>
      <c r="L3779" s="4"/>
      <c r="M3779" s="4"/>
      <c r="N3779" s="4"/>
      <c r="O3779" s="4"/>
      <c r="P3779" s="4"/>
      <c r="Q3779" s="4"/>
    </row>
    <row r="3780" spans="1:17" x14ac:dyDescent="0.25">
      <c r="A3780" s="209" t="s">
        <v>117</v>
      </c>
      <c r="B3780" s="219"/>
      <c r="C3780" s="219"/>
      <c r="D3780" s="219"/>
      <c r="E3780" s="52"/>
      <c r="F3780" s="53"/>
      <c r="G3780" s="14">
        <f>F3780*H3776</f>
        <v>0</v>
      </c>
      <c r="H3780" s="15"/>
      <c r="I3780" s="47"/>
      <c r="J3780" s="4"/>
      <c r="K3780" s="199"/>
      <c r="L3780" s="4"/>
      <c r="M3780" s="4"/>
      <c r="N3780" s="4"/>
      <c r="O3780" s="4"/>
      <c r="P3780" s="4"/>
      <c r="Q3780" s="4"/>
    </row>
    <row r="3781" spans="1:17" x14ac:dyDescent="0.25">
      <c r="A3781" s="209"/>
      <c r="B3781" s="219"/>
      <c r="C3781" s="219"/>
      <c r="D3781" s="219"/>
      <c r="E3781" s="52"/>
      <c r="F3781" s="53"/>
      <c r="G3781" s="14">
        <f>F3781*H3776</f>
        <v>0</v>
      </c>
      <c r="H3781" s="15"/>
      <c r="I3781" s="47"/>
      <c r="J3781" s="4"/>
      <c r="K3781" s="199"/>
      <c r="L3781" s="4"/>
      <c r="M3781" s="4"/>
      <c r="N3781" s="4"/>
      <c r="O3781" s="4"/>
      <c r="P3781" s="4"/>
      <c r="Q3781" s="4"/>
    </row>
    <row r="3782" spans="1:17" x14ac:dyDescent="0.25">
      <c r="A3782" s="209"/>
      <c r="B3782" s="219"/>
      <c r="C3782" s="219"/>
      <c r="D3782" s="219"/>
      <c r="E3782" s="52"/>
      <c r="F3782" s="53"/>
      <c r="G3782" s="14">
        <f>F3782*H3776</f>
        <v>0</v>
      </c>
      <c r="H3782" s="17"/>
      <c r="I3782" s="47"/>
      <c r="J3782" s="4"/>
      <c r="K3782" s="199"/>
      <c r="L3782" s="4"/>
      <c r="M3782" s="4"/>
      <c r="N3782" s="4"/>
      <c r="O3782" s="4"/>
      <c r="P3782" s="4"/>
      <c r="Q3782" s="4"/>
    </row>
    <row r="3783" spans="1:17" x14ac:dyDescent="0.25">
      <c r="A3783" s="200"/>
      <c r="B3783" s="200"/>
      <c r="C3783" s="200"/>
      <c r="D3783" s="200"/>
      <c r="E3783" s="101" t="s">
        <v>118</v>
      </c>
      <c r="F3783" s="37"/>
      <c r="G3783" s="46"/>
      <c r="H3783" s="36">
        <f>SUM(G3780:G3782)</f>
        <v>0</v>
      </c>
      <c r="I3783" s="220"/>
      <c r="J3783" s="4"/>
      <c r="K3783" s="199"/>
      <c r="L3783" s="4"/>
      <c r="M3783" s="4"/>
      <c r="N3783" s="4"/>
      <c r="O3783" s="4"/>
      <c r="P3783" s="4"/>
      <c r="Q3783" s="4"/>
    </row>
    <row r="3784" spans="1:17" ht="15.75" thickBot="1" x14ac:dyDescent="0.3">
      <c r="A3784" s="200"/>
      <c r="B3784" s="200"/>
      <c r="C3784" s="200"/>
      <c r="D3784" s="200"/>
      <c r="E3784" s="201"/>
      <c r="F3784" s="201"/>
      <c r="G3784" s="201"/>
      <c r="H3784" s="201"/>
      <c r="I3784" s="234"/>
      <c r="J3784" s="4"/>
      <c r="K3784" s="199"/>
      <c r="L3784" s="4"/>
      <c r="M3784" s="4"/>
      <c r="N3784" s="4"/>
      <c r="O3784" s="4"/>
      <c r="P3784" s="4"/>
      <c r="Q3784" s="4"/>
    </row>
    <row r="3785" spans="1:17" ht="15.75" thickBot="1" x14ac:dyDescent="0.3">
      <c r="A3785" s="200"/>
      <c r="B3785" s="200"/>
      <c r="C3785" s="200"/>
      <c r="D3785" s="200"/>
      <c r="E3785" s="54"/>
      <c r="F3785" s="54" t="s">
        <v>119</v>
      </c>
      <c r="G3785" s="54"/>
      <c r="H3785" s="55">
        <f>SUM(H3783+H3776)</f>
        <v>144058</v>
      </c>
      <c r="I3785" s="112"/>
      <c r="J3785" s="4"/>
      <c r="K3785" s="199"/>
      <c r="L3785" s="4"/>
      <c r="M3785" s="4"/>
      <c r="N3785" s="4"/>
      <c r="O3785" s="4"/>
      <c r="P3785" s="4"/>
      <c r="Q3785" s="4"/>
    </row>
    <row r="3786" spans="1:17" x14ac:dyDescent="0.25">
      <c r="A3786" s="200"/>
      <c r="B3786" s="200"/>
      <c r="C3786" s="200"/>
      <c r="D3786" s="200"/>
      <c r="E3786" s="54"/>
      <c r="F3786" s="54"/>
      <c r="G3786" s="54"/>
      <c r="H3786" s="112"/>
      <c r="I3786" s="112"/>
      <c r="J3786" s="4"/>
      <c r="K3786" s="199"/>
      <c r="L3786" s="4"/>
      <c r="M3786" s="4"/>
      <c r="N3786" s="4"/>
      <c r="O3786" s="4"/>
      <c r="P3786" s="4"/>
      <c r="Q3786" s="4"/>
    </row>
    <row r="3787" spans="1:17" x14ac:dyDescent="0.25">
      <c r="A3787" s="200"/>
      <c r="B3787" s="200"/>
      <c r="C3787" s="200"/>
      <c r="D3787" s="200"/>
      <c r="E3787" s="54"/>
      <c r="F3787" s="54"/>
      <c r="G3787" s="54"/>
      <c r="H3787" s="112"/>
      <c r="I3787" s="112"/>
      <c r="J3787" s="4"/>
      <c r="K3787" s="199"/>
      <c r="L3787" s="4"/>
      <c r="M3787" s="4"/>
      <c r="N3787" s="4"/>
      <c r="O3787" s="4"/>
      <c r="P3787" s="4"/>
      <c r="Q3787" s="4"/>
    </row>
    <row r="3788" spans="1:17" x14ac:dyDescent="0.25">
      <c r="A3788" s="200"/>
      <c r="B3788" s="200"/>
      <c r="C3788" s="200"/>
      <c r="D3788" s="200"/>
      <c r="E3788" s="54"/>
      <c r="F3788" s="54"/>
      <c r="G3788" s="54"/>
      <c r="H3788" s="112"/>
      <c r="I3788" s="112"/>
      <c r="J3788" s="4"/>
      <c r="K3788" s="199"/>
      <c r="L3788" s="4"/>
      <c r="M3788" s="4"/>
      <c r="N3788" s="4"/>
      <c r="O3788" s="4"/>
      <c r="P3788" s="4"/>
      <c r="Q3788" s="4"/>
    </row>
    <row r="3789" spans="1:17" x14ac:dyDescent="0.25">
      <c r="A3789" s="200"/>
      <c r="B3789" s="200"/>
      <c r="C3789" s="200"/>
      <c r="D3789" s="200"/>
      <c r="E3789" s="54"/>
      <c r="F3789" s="54"/>
      <c r="G3789" s="54"/>
      <c r="H3789" s="112"/>
      <c r="I3789" s="112"/>
      <c r="J3789" s="4"/>
      <c r="K3789" s="199"/>
      <c r="L3789" s="4"/>
      <c r="M3789" s="4"/>
      <c r="N3789" s="4"/>
      <c r="O3789" s="4"/>
      <c r="P3789" s="4"/>
      <c r="Q3789" s="4"/>
    </row>
    <row r="3790" spans="1:17" x14ac:dyDescent="0.25">
      <c r="A3790" s="200"/>
      <c r="B3790" s="200"/>
      <c r="C3790" s="200"/>
      <c r="D3790" s="200"/>
      <c r="E3790" s="54"/>
      <c r="F3790" s="54"/>
      <c r="G3790" s="54"/>
      <c r="H3790" s="112"/>
      <c r="I3790" s="112"/>
      <c r="J3790" s="4"/>
      <c r="K3790" s="199"/>
      <c r="L3790" s="4"/>
      <c r="M3790" s="4"/>
      <c r="N3790" s="4"/>
      <c r="O3790" s="4"/>
      <c r="P3790" s="4"/>
      <c r="Q3790" s="4"/>
    </row>
    <row r="3791" spans="1:17" x14ac:dyDescent="0.25">
      <c r="A3791" s="200"/>
      <c r="B3791" s="200"/>
      <c r="C3791" s="200"/>
      <c r="D3791" s="200"/>
      <c r="E3791" s="54"/>
      <c r="F3791" s="54"/>
      <c r="G3791" s="54"/>
      <c r="H3791" s="112"/>
      <c r="I3791" s="112"/>
      <c r="J3791" s="4"/>
      <c r="K3791" s="199"/>
      <c r="L3791" s="4"/>
      <c r="M3791" s="4"/>
      <c r="N3791" s="4"/>
      <c r="O3791" s="4"/>
      <c r="P3791" s="4"/>
      <c r="Q3791" s="4"/>
    </row>
    <row r="3792" spans="1:17" x14ac:dyDescent="0.25">
      <c r="A3792" s="200"/>
      <c r="B3792" s="200"/>
      <c r="C3792" s="200"/>
      <c r="D3792" s="200"/>
      <c r="E3792" s="54"/>
      <c r="F3792" s="54"/>
      <c r="G3792" s="54"/>
      <c r="H3792" s="112"/>
      <c r="I3792" s="112"/>
      <c r="J3792" s="4"/>
      <c r="K3792" s="199"/>
      <c r="L3792" s="4"/>
      <c r="M3792" s="4"/>
      <c r="N3792" s="4"/>
      <c r="O3792" s="4"/>
      <c r="P3792" s="4"/>
      <c r="Q3792" s="4"/>
    </row>
    <row r="3793" spans="1:17" x14ac:dyDescent="0.25">
      <c r="A3793" s="200"/>
      <c r="B3793" s="200"/>
      <c r="C3793" s="200"/>
      <c r="D3793" s="200"/>
      <c r="E3793" s="54"/>
      <c r="F3793" s="54"/>
      <c r="G3793" s="54"/>
      <c r="H3793" s="112"/>
      <c r="I3793" s="112"/>
      <c r="J3793" s="4"/>
      <c r="K3793" s="199"/>
      <c r="L3793" s="4"/>
      <c r="M3793" s="4"/>
      <c r="N3793" s="4"/>
      <c r="O3793" s="4"/>
      <c r="P3793" s="4"/>
      <c r="Q3793" s="4"/>
    </row>
    <row r="3794" spans="1:17" x14ac:dyDescent="0.25">
      <c r="A3794" s="200"/>
      <c r="B3794" s="200"/>
      <c r="C3794" s="200"/>
      <c r="D3794" s="200"/>
      <c r="E3794" s="54"/>
      <c r="F3794" s="54"/>
      <c r="G3794" s="54"/>
      <c r="H3794" s="112"/>
      <c r="I3794" s="112"/>
      <c r="J3794" s="4"/>
      <c r="K3794" s="199"/>
      <c r="L3794" s="4"/>
      <c r="M3794" s="4"/>
      <c r="N3794" s="4"/>
      <c r="O3794" s="4"/>
      <c r="P3794" s="4"/>
      <c r="Q3794" s="4"/>
    </row>
    <row r="3795" spans="1:17" ht="15.75" x14ac:dyDescent="0.25">
      <c r="A3795" s="435" t="s">
        <v>79</v>
      </c>
      <c r="B3795" s="435"/>
      <c r="C3795" s="435"/>
      <c r="D3795" s="435"/>
      <c r="E3795" s="435"/>
      <c r="F3795" s="435"/>
      <c r="G3795" s="435"/>
      <c r="H3795" s="435"/>
      <c r="I3795" s="273"/>
      <c r="J3795" s="4"/>
      <c r="K3795" s="199"/>
      <c r="L3795" s="4"/>
      <c r="M3795" s="4"/>
      <c r="N3795" s="4"/>
      <c r="O3795" s="4"/>
      <c r="P3795" s="4"/>
      <c r="Q3795" s="4"/>
    </row>
    <row r="3796" spans="1:17" x14ac:dyDescent="0.25">
      <c r="A3796" s="200"/>
      <c r="B3796" s="200"/>
      <c r="C3796" s="200"/>
      <c r="D3796" s="200"/>
      <c r="E3796" s="201"/>
      <c r="F3796" s="201"/>
      <c r="G3796" s="201"/>
      <c r="H3796" s="201"/>
      <c r="I3796" s="234"/>
      <c r="J3796" s="4"/>
      <c r="K3796" s="199"/>
      <c r="L3796" s="4"/>
      <c r="M3796" s="4"/>
      <c r="N3796" s="4"/>
      <c r="O3796" s="4"/>
      <c r="P3796" s="4"/>
      <c r="Q3796" s="4"/>
    </row>
    <row r="3797" spans="1:17" x14ac:dyDescent="0.25">
      <c r="A3797" s="202"/>
      <c r="B3797" s="202"/>
      <c r="C3797" s="202"/>
      <c r="D3797" s="202"/>
      <c r="E3797" s="203"/>
      <c r="F3797" s="203"/>
      <c r="G3797" s="201"/>
      <c r="H3797" s="201"/>
      <c r="I3797" s="234"/>
      <c r="J3797" s="4"/>
      <c r="K3797" s="199"/>
      <c r="L3797" s="4"/>
      <c r="M3797" s="4"/>
      <c r="N3797" s="4"/>
      <c r="O3797" s="4"/>
      <c r="P3797" s="4"/>
      <c r="Q3797" s="4"/>
    </row>
    <row r="3798" spans="1:17" x14ac:dyDescent="0.25">
      <c r="A3798" s="200"/>
      <c r="B3798" s="200"/>
      <c r="C3798" s="200"/>
      <c r="D3798" s="200"/>
      <c r="E3798" s="201"/>
      <c r="F3798" s="201"/>
      <c r="G3798" s="411" t="s">
        <v>326</v>
      </c>
      <c r="H3798" s="411"/>
      <c r="I3798" s="251"/>
      <c r="J3798" s="4"/>
      <c r="K3798" s="199"/>
      <c r="L3798" s="4"/>
      <c r="M3798" s="4"/>
      <c r="N3798" s="4"/>
      <c r="O3798" s="4"/>
      <c r="P3798" s="4"/>
      <c r="Q3798" s="4"/>
    </row>
    <row r="3799" spans="1:17" x14ac:dyDescent="0.25">
      <c r="A3799" s="204" t="s">
        <v>387</v>
      </c>
      <c r="B3799" s="200"/>
      <c r="C3799" s="200"/>
      <c r="D3799" s="200"/>
      <c r="E3799" s="201"/>
      <c r="F3799" s="201"/>
      <c r="G3799" s="133"/>
      <c r="H3799" s="133"/>
      <c r="I3799" s="272"/>
      <c r="J3799" s="4"/>
      <c r="K3799" s="199"/>
      <c r="L3799" s="4"/>
      <c r="M3799" s="4"/>
      <c r="N3799" s="4"/>
      <c r="O3799" s="4"/>
      <c r="P3799" s="4"/>
      <c r="Q3799" s="4"/>
    </row>
    <row r="3800" spans="1:17" x14ac:dyDescent="0.25">
      <c r="A3800" s="200"/>
      <c r="B3800" s="200"/>
      <c r="C3800" s="200"/>
      <c r="D3800" s="200"/>
      <c r="E3800" s="201"/>
      <c r="F3800" s="201"/>
      <c r="G3800" s="133" t="s">
        <v>81</v>
      </c>
      <c r="H3800" s="133"/>
      <c r="I3800" s="272"/>
      <c r="J3800" s="4"/>
      <c r="K3800" s="199"/>
      <c r="L3800" s="4"/>
      <c r="M3800" s="4"/>
      <c r="N3800" s="4"/>
      <c r="O3800" s="4"/>
      <c r="P3800" s="4"/>
      <c r="Q3800" s="4"/>
    </row>
    <row r="3801" spans="1:17" x14ac:dyDescent="0.25">
      <c r="A3801" s="200" t="s">
        <v>82</v>
      </c>
      <c r="B3801" s="200"/>
      <c r="C3801" s="200"/>
      <c r="D3801" s="200"/>
      <c r="E3801" s="201"/>
      <c r="F3801" s="201"/>
      <c r="G3801" s="201"/>
      <c r="H3801" s="201"/>
      <c r="I3801" s="234"/>
      <c r="J3801" s="4"/>
      <c r="K3801" s="199"/>
      <c r="L3801" s="4"/>
      <c r="M3801" s="4"/>
      <c r="N3801" s="4"/>
      <c r="O3801" s="4"/>
      <c r="P3801" s="4"/>
      <c r="Q3801" s="4"/>
    </row>
    <row r="3802" spans="1:17" x14ac:dyDescent="0.25">
      <c r="A3802" s="205" t="s">
        <v>0</v>
      </c>
      <c r="B3802" s="206"/>
      <c r="C3802" s="207" t="s">
        <v>83</v>
      </c>
      <c r="D3802" s="207" t="s">
        <v>84</v>
      </c>
      <c r="E3802" s="9" t="s">
        <v>85</v>
      </c>
      <c r="F3802" s="9" t="s">
        <v>86</v>
      </c>
      <c r="G3802" s="9" t="s">
        <v>87</v>
      </c>
      <c r="H3802" s="208"/>
      <c r="I3802" s="234"/>
      <c r="J3802" s="4"/>
      <c r="K3802" s="199"/>
      <c r="L3802" s="4"/>
      <c r="M3802" s="4"/>
      <c r="N3802" s="4"/>
      <c r="O3802" s="4"/>
      <c r="P3802" s="4"/>
      <c r="Q3802" s="4"/>
    </row>
    <row r="3803" spans="1:17" x14ac:dyDescent="0.25">
      <c r="A3803" s="209" t="s">
        <v>88</v>
      </c>
      <c r="B3803" s="210"/>
      <c r="C3803" s="211"/>
      <c r="D3803" s="211"/>
      <c r="E3803" s="14"/>
      <c r="F3803" s="14"/>
      <c r="G3803" s="14">
        <f>ROUND(H3827*0.05,0)-81</f>
        <v>697</v>
      </c>
      <c r="H3803" s="15"/>
      <c r="I3803" s="47"/>
      <c r="J3803" s="4"/>
      <c r="K3803" s="199"/>
      <c r="L3803" s="4"/>
      <c r="M3803" s="4"/>
      <c r="N3803" s="4"/>
      <c r="O3803" s="4"/>
      <c r="P3803" s="4"/>
      <c r="Q3803" s="4"/>
    </row>
    <row r="3804" spans="1:17" x14ac:dyDescent="0.25">
      <c r="A3804" s="11" t="s">
        <v>392</v>
      </c>
      <c r="B3804" s="12"/>
      <c r="C3804" s="13"/>
      <c r="D3804" s="13"/>
      <c r="E3804" s="14">
        <v>15000</v>
      </c>
      <c r="F3804" s="16">
        <f>0.35*0.5</f>
        <v>0.17499999999999999</v>
      </c>
      <c r="G3804" s="14">
        <f>ROUND(E3804*F3804,0)</f>
        <v>2625</v>
      </c>
      <c r="H3804" s="15"/>
      <c r="I3804" s="47"/>
      <c r="J3804" s="4"/>
      <c r="K3804" s="199"/>
      <c r="L3804" s="4"/>
      <c r="M3804" s="4"/>
      <c r="N3804" s="4"/>
      <c r="O3804" s="4"/>
      <c r="P3804" s="4"/>
      <c r="Q3804" s="4"/>
    </row>
    <row r="3805" spans="1:17" x14ac:dyDescent="0.25">
      <c r="A3805" s="11"/>
      <c r="B3805" s="12"/>
      <c r="C3805" s="13"/>
      <c r="D3805" s="13"/>
      <c r="E3805" s="14"/>
      <c r="F3805" s="14"/>
      <c r="G3805" s="14">
        <f>ROUND(E3805*F3805,0)</f>
        <v>0</v>
      </c>
      <c r="H3805" s="15"/>
      <c r="I3805" s="47"/>
      <c r="J3805" s="4"/>
      <c r="K3805" s="199"/>
      <c r="L3805" s="4"/>
      <c r="M3805" s="4"/>
      <c r="N3805" s="4"/>
      <c r="O3805" s="4"/>
      <c r="P3805" s="4"/>
      <c r="Q3805" s="4"/>
    </row>
    <row r="3806" spans="1:17" x14ac:dyDescent="0.25">
      <c r="A3806" s="209"/>
      <c r="B3806" s="210"/>
      <c r="C3806" s="211"/>
      <c r="D3806" s="211"/>
      <c r="E3806" s="14"/>
      <c r="F3806" s="14"/>
      <c r="G3806" s="14">
        <f>ROUND(E3806*F3806,0)</f>
        <v>0</v>
      </c>
      <c r="H3806" s="17"/>
      <c r="I3806" s="47"/>
      <c r="J3806" s="4"/>
      <c r="K3806" s="199"/>
      <c r="L3806" s="4"/>
      <c r="M3806" s="4"/>
      <c r="N3806" s="4"/>
      <c r="O3806" s="4"/>
      <c r="P3806" s="4"/>
      <c r="Q3806" s="4"/>
    </row>
    <row r="3807" spans="1:17" x14ac:dyDescent="0.25">
      <c r="A3807" s="212"/>
      <c r="B3807" s="213"/>
      <c r="C3807" s="213"/>
      <c r="D3807" s="213"/>
      <c r="E3807" s="20"/>
      <c r="F3807" s="21" t="s">
        <v>90</v>
      </c>
      <c r="G3807" s="22"/>
      <c r="H3807" s="23">
        <f>SUM(G3803:G3806)</f>
        <v>3322</v>
      </c>
      <c r="I3807" s="220"/>
      <c r="J3807" s="4"/>
      <c r="K3807" s="199"/>
      <c r="L3807" s="4"/>
      <c r="M3807" s="4"/>
      <c r="N3807" s="4"/>
      <c r="O3807" s="4"/>
      <c r="P3807" s="4"/>
      <c r="Q3807" s="4"/>
    </row>
    <row r="3808" spans="1:17" x14ac:dyDescent="0.25">
      <c r="A3808" s="289" t="s">
        <v>91</v>
      </c>
      <c r="B3808" s="290"/>
      <c r="C3808" s="290"/>
      <c r="D3808" s="290"/>
      <c r="E3808" s="234"/>
      <c r="F3808" s="234"/>
      <c r="G3808" s="47"/>
      <c r="H3808" s="233"/>
      <c r="I3808" s="47"/>
      <c r="J3808" s="4"/>
      <c r="K3808" s="199"/>
      <c r="L3808" s="4"/>
      <c r="M3808" s="4"/>
      <c r="N3808" s="4"/>
      <c r="O3808" s="4"/>
      <c r="P3808" s="4"/>
      <c r="Q3808" s="4"/>
    </row>
    <row r="3809" spans="1:17" x14ac:dyDescent="0.25">
      <c r="A3809" s="214" t="s">
        <v>0</v>
      </c>
      <c r="B3809" s="214"/>
      <c r="C3809" s="207" t="s">
        <v>92</v>
      </c>
      <c r="D3809" s="207" t="s">
        <v>93</v>
      </c>
      <c r="E3809" s="9" t="s">
        <v>94</v>
      </c>
      <c r="F3809" s="9" t="s">
        <v>95</v>
      </c>
      <c r="G3809" s="25" t="s">
        <v>96</v>
      </c>
      <c r="H3809" s="10"/>
      <c r="I3809" s="47"/>
      <c r="J3809" s="4"/>
      <c r="K3809" s="199"/>
      <c r="L3809" s="4"/>
      <c r="M3809" s="4"/>
      <c r="N3809" s="4"/>
      <c r="O3809" s="4"/>
      <c r="P3809" s="4"/>
      <c r="Q3809" s="4"/>
    </row>
    <row r="3810" spans="1:17" x14ac:dyDescent="0.25">
      <c r="A3810" s="209" t="s">
        <v>388</v>
      </c>
      <c r="B3810" s="210"/>
      <c r="C3810" s="215" t="s">
        <v>212</v>
      </c>
      <c r="D3810" s="34">
        <v>0.05</v>
      </c>
      <c r="E3810" s="30">
        <f>0.025*0.5</f>
        <v>1.2500000000000001E-2</v>
      </c>
      <c r="F3810" s="197">
        <f>+$H$3634</f>
        <v>3143737</v>
      </c>
      <c r="G3810" s="14">
        <f t="shared" ref="G3810:G3818" si="101">ROUND(E3810*F3810,0)</f>
        <v>39297</v>
      </c>
      <c r="H3810" s="15"/>
      <c r="I3810" s="47"/>
      <c r="J3810" s="4"/>
      <c r="K3810" s="199"/>
      <c r="L3810" s="4"/>
      <c r="M3810" s="4"/>
      <c r="N3810" s="4"/>
      <c r="O3810" s="4"/>
      <c r="P3810" s="4"/>
      <c r="Q3810" s="4"/>
    </row>
    <row r="3811" spans="1:17" x14ac:dyDescent="0.25">
      <c r="A3811" s="209" t="s">
        <v>389</v>
      </c>
      <c r="B3811" s="210"/>
      <c r="C3811" s="215" t="s">
        <v>158</v>
      </c>
      <c r="D3811" s="31"/>
      <c r="E3811" s="30">
        <f>1*0.5</f>
        <v>0.5</v>
      </c>
      <c r="F3811" s="14">
        <v>3000</v>
      </c>
      <c r="G3811" s="14">
        <f t="shared" si="101"/>
        <v>1500</v>
      </c>
      <c r="H3811" s="15"/>
      <c r="I3811" s="47"/>
      <c r="J3811" s="4"/>
      <c r="K3811" s="199"/>
      <c r="L3811" s="4"/>
      <c r="M3811" s="4"/>
      <c r="N3811" s="4"/>
      <c r="O3811" s="4"/>
      <c r="P3811" s="4"/>
      <c r="Q3811" s="4"/>
    </row>
    <row r="3812" spans="1:17" x14ac:dyDescent="0.25">
      <c r="A3812" s="216"/>
      <c r="B3812" s="217"/>
      <c r="C3812" s="215"/>
      <c r="D3812" s="34"/>
      <c r="E3812" s="30"/>
      <c r="F3812" s="14"/>
      <c r="G3812" s="14">
        <f t="shared" si="101"/>
        <v>0</v>
      </c>
      <c r="H3812" s="15"/>
      <c r="I3812" s="47"/>
      <c r="J3812" s="4"/>
      <c r="K3812" s="199"/>
      <c r="L3812" s="4"/>
      <c r="M3812" s="4"/>
      <c r="N3812" s="4"/>
      <c r="O3812" s="4"/>
      <c r="P3812" s="4"/>
      <c r="Q3812" s="4"/>
    </row>
    <row r="3813" spans="1:17" x14ac:dyDescent="0.25">
      <c r="A3813" s="209"/>
      <c r="B3813" s="210"/>
      <c r="C3813" s="215"/>
      <c r="D3813" s="31"/>
      <c r="E3813" s="30"/>
      <c r="F3813" s="14"/>
      <c r="G3813" s="14">
        <f t="shared" si="101"/>
        <v>0</v>
      </c>
      <c r="H3813" s="15"/>
      <c r="I3813" s="47"/>
      <c r="J3813" s="4"/>
      <c r="K3813" s="199"/>
      <c r="L3813" s="4"/>
      <c r="M3813" s="4"/>
      <c r="N3813" s="4"/>
      <c r="O3813" s="4"/>
      <c r="P3813" s="4"/>
      <c r="Q3813" s="4"/>
    </row>
    <row r="3814" spans="1:17" hidden="1" x14ac:dyDescent="0.25">
      <c r="A3814" s="209"/>
      <c r="B3814" s="210"/>
      <c r="C3814" s="215"/>
      <c r="D3814" s="34"/>
      <c r="E3814" s="30"/>
      <c r="F3814" s="14"/>
      <c r="G3814" s="14">
        <f t="shared" si="101"/>
        <v>0</v>
      </c>
      <c r="H3814" s="15"/>
      <c r="I3814" s="47"/>
      <c r="J3814" s="4"/>
      <c r="K3814" s="199"/>
      <c r="L3814" s="4"/>
      <c r="M3814" s="4"/>
      <c r="N3814" s="4"/>
      <c r="O3814" s="4"/>
      <c r="P3814" s="4"/>
      <c r="Q3814" s="4"/>
    </row>
    <row r="3815" spans="1:17" hidden="1" x14ac:dyDescent="0.25">
      <c r="A3815" s="209"/>
      <c r="B3815" s="210"/>
      <c r="C3815" s="215"/>
      <c r="D3815" s="31"/>
      <c r="E3815" s="30"/>
      <c r="F3815" s="14"/>
      <c r="G3815" s="14">
        <f t="shared" si="101"/>
        <v>0</v>
      </c>
      <c r="H3815" s="15"/>
      <c r="I3815" s="47"/>
      <c r="J3815" s="4"/>
      <c r="K3815" s="199"/>
      <c r="L3815" s="4"/>
      <c r="M3815" s="4"/>
      <c r="N3815" s="4"/>
      <c r="O3815" s="4"/>
      <c r="P3815" s="4"/>
      <c r="Q3815" s="4"/>
    </row>
    <row r="3816" spans="1:17" hidden="1" x14ac:dyDescent="0.25">
      <c r="A3816" s="209"/>
      <c r="B3816" s="210"/>
      <c r="C3816" s="215"/>
      <c r="D3816" s="34"/>
      <c r="E3816" s="30"/>
      <c r="F3816" s="14"/>
      <c r="G3816" s="14">
        <f t="shared" si="101"/>
        <v>0</v>
      </c>
      <c r="H3816" s="15"/>
      <c r="I3816" s="47"/>
      <c r="J3816" s="4"/>
      <c r="K3816" s="199"/>
      <c r="L3816" s="4"/>
      <c r="M3816" s="4"/>
      <c r="N3816" s="4"/>
      <c r="O3816" s="4"/>
      <c r="P3816" s="4"/>
      <c r="Q3816" s="4"/>
    </row>
    <row r="3817" spans="1:17" x14ac:dyDescent="0.25">
      <c r="A3817" s="209"/>
      <c r="B3817" s="210"/>
      <c r="C3817" s="215"/>
      <c r="D3817" s="31"/>
      <c r="E3817" s="30"/>
      <c r="F3817" s="14"/>
      <c r="G3817" s="14">
        <f t="shared" si="101"/>
        <v>0</v>
      </c>
      <c r="H3817" s="15"/>
      <c r="I3817" s="47"/>
      <c r="J3817" s="4"/>
      <c r="K3817" s="199"/>
      <c r="L3817" s="4"/>
      <c r="M3817" s="4"/>
      <c r="N3817" s="4"/>
      <c r="O3817" s="4"/>
      <c r="P3817" s="4"/>
      <c r="Q3817" s="4"/>
    </row>
    <row r="3818" spans="1:17" x14ac:dyDescent="0.25">
      <c r="A3818" s="209"/>
      <c r="B3818" s="210"/>
      <c r="C3818" s="215"/>
      <c r="D3818" s="31"/>
      <c r="E3818" s="30"/>
      <c r="F3818" s="14"/>
      <c r="G3818" s="14">
        <f t="shared" si="101"/>
        <v>0</v>
      </c>
      <c r="H3818" s="17"/>
      <c r="I3818" s="47"/>
      <c r="J3818" s="4"/>
      <c r="K3818" s="199"/>
      <c r="L3818" s="4"/>
      <c r="M3818" s="4"/>
      <c r="N3818" s="4"/>
      <c r="O3818" s="4"/>
      <c r="P3818" s="4"/>
      <c r="Q3818" s="4"/>
    </row>
    <row r="3819" spans="1:17" x14ac:dyDescent="0.25">
      <c r="A3819" s="289"/>
      <c r="B3819" s="290"/>
      <c r="C3819" s="290"/>
      <c r="D3819" s="290"/>
      <c r="E3819" s="36"/>
      <c r="F3819" s="37" t="s">
        <v>102</v>
      </c>
      <c r="G3819" s="38"/>
      <c r="H3819" s="23">
        <f>SUM(G3810:G3818)</f>
        <v>40797</v>
      </c>
      <c r="I3819" s="220"/>
      <c r="J3819" s="4"/>
      <c r="K3819" s="199"/>
      <c r="L3819" s="4"/>
      <c r="M3819" s="4"/>
      <c r="N3819" s="4"/>
      <c r="O3819" s="4"/>
      <c r="P3819" s="4"/>
      <c r="Q3819" s="4"/>
    </row>
    <row r="3820" spans="1:17" x14ac:dyDescent="0.25">
      <c r="A3820" s="289"/>
      <c r="B3820" s="290"/>
      <c r="C3820" s="290"/>
      <c r="D3820" s="290"/>
      <c r="E3820" s="36"/>
      <c r="F3820" s="39" t="s">
        <v>103</v>
      </c>
      <c r="G3820" s="38"/>
      <c r="H3820" s="23">
        <f>ROUND((D3810*G3810)+(D3811*G3811)+(D3812*G3812)+(D3813*G3813)+(D3814*G3814)+(D3815*G3815)+(D3816*G3816)+(D3817*G3817)+(D3818*G3818),0)</f>
        <v>1965</v>
      </c>
      <c r="I3820" s="220"/>
      <c r="J3820" s="4"/>
      <c r="K3820" s="199"/>
      <c r="L3820" s="4"/>
      <c r="M3820" s="4"/>
      <c r="N3820" s="4"/>
      <c r="O3820" s="4"/>
      <c r="P3820" s="4"/>
      <c r="Q3820" s="4"/>
    </row>
    <row r="3821" spans="1:17" x14ac:dyDescent="0.25">
      <c r="A3821" s="289"/>
      <c r="B3821" s="290"/>
      <c r="C3821" s="290"/>
      <c r="D3821" s="290"/>
      <c r="E3821" s="36"/>
      <c r="F3821" s="20" t="s">
        <v>104</v>
      </c>
      <c r="G3821" s="40"/>
      <c r="H3821" s="23">
        <f>SUM(H3819:H3820)</f>
        <v>42762</v>
      </c>
      <c r="I3821" s="220"/>
      <c r="J3821" s="4"/>
      <c r="K3821" s="199"/>
      <c r="L3821" s="4"/>
      <c r="M3821" s="4"/>
      <c r="N3821" s="4"/>
      <c r="O3821" s="4"/>
      <c r="P3821" s="4"/>
      <c r="Q3821" s="4"/>
    </row>
    <row r="3822" spans="1:17" x14ac:dyDescent="0.25">
      <c r="A3822" s="289" t="s">
        <v>105</v>
      </c>
      <c r="B3822" s="290"/>
      <c r="C3822" s="290"/>
      <c r="D3822" s="290"/>
      <c r="E3822" s="234"/>
      <c r="F3822" s="234"/>
      <c r="G3822" s="47"/>
      <c r="H3822" s="233"/>
      <c r="I3822" s="47"/>
      <c r="J3822" s="4"/>
      <c r="K3822" s="199"/>
      <c r="L3822" s="4"/>
      <c r="M3822" s="4"/>
      <c r="N3822" s="4"/>
      <c r="O3822" s="4"/>
      <c r="P3822" s="4"/>
      <c r="Q3822" s="4"/>
    </row>
    <row r="3823" spans="1:17" x14ac:dyDescent="0.25">
      <c r="A3823" s="214" t="s">
        <v>0</v>
      </c>
      <c r="B3823" s="214"/>
      <c r="C3823" s="207" t="s">
        <v>106</v>
      </c>
      <c r="D3823" s="207" t="s">
        <v>107</v>
      </c>
      <c r="E3823" s="9" t="s">
        <v>108</v>
      </c>
      <c r="F3823" s="9" t="s">
        <v>109</v>
      </c>
      <c r="G3823" s="41" t="s">
        <v>96</v>
      </c>
      <c r="H3823" s="10"/>
      <c r="I3823" s="47"/>
      <c r="J3823" s="4"/>
      <c r="K3823" s="199"/>
      <c r="L3823" s="4"/>
      <c r="M3823" s="4"/>
      <c r="N3823" s="4"/>
      <c r="O3823" s="4"/>
      <c r="P3823" s="4"/>
      <c r="Q3823" s="4"/>
    </row>
    <row r="3824" spans="1:17" x14ac:dyDescent="0.25">
      <c r="A3824" s="209" t="s">
        <v>110</v>
      </c>
      <c r="B3824" s="210"/>
      <c r="C3824" s="13">
        <v>104000</v>
      </c>
      <c r="D3824" s="13">
        <f>+C3824*0.16</f>
        <v>16640</v>
      </c>
      <c r="E3824" s="14">
        <f>C3824+D3824</f>
        <v>120640</v>
      </c>
      <c r="F3824" s="122">
        <v>0.1</v>
      </c>
      <c r="G3824" s="14">
        <f>ROUND(E3824*F3824,0)</f>
        <v>12064</v>
      </c>
      <c r="H3824" s="15"/>
      <c r="I3824" s="47"/>
      <c r="J3824" s="4"/>
      <c r="K3824" s="199"/>
      <c r="L3824" s="4"/>
      <c r="M3824" s="4"/>
      <c r="N3824" s="4"/>
      <c r="O3824" s="4"/>
      <c r="P3824" s="4"/>
      <c r="Q3824" s="4"/>
    </row>
    <row r="3825" spans="1:17" x14ac:dyDescent="0.25">
      <c r="A3825" s="209" t="s">
        <v>111</v>
      </c>
      <c r="B3825" s="210"/>
      <c r="C3825" s="13">
        <v>60400</v>
      </c>
      <c r="D3825" s="13">
        <f>+C3825*0.16</f>
        <v>9664</v>
      </c>
      <c r="E3825" s="14">
        <f>C3825+D3825</f>
        <v>70064</v>
      </c>
      <c r="F3825" s="122">
        <v>0.05</v>
      </c>
      <c r="G3825" s="14">
        <f>ROUND(E3825*F3825,0)</f>
        <v>3503</v>
      </c>
      <c r="H3825" s="15"/>
      <c r="I3825" s="47"/>
      <c r="J3825" s="4"/>
      <c r="K3825" s="199"/>
      <c r="L3825" s="4"/>
      <c r="M3825" s="4"/>
      <c r="N3825" s="4"/>
      <c r="O3825" s="4"/>
      <c r="P3825" s="4"/>
      <c r="Q3825" s="4"/>
    </row>
    <row r="3826" spans="1:17" x14ac:dyDescent="0.25">
      <c r="A3826" s="209"/>
      <c r="B3826" s="210"/>
      <c r="C3826" s="211"/>
      <c r="D3826" s="211"/>
      <c r="E3826" s="14">
        <f>C3826+D3826</f>
        <v>0</v>
      </c>
      <c r="F3826" s="30"/>
      <c r="G3826" s="14">
        <f>ROUND(E3826*F3826,0)</f>
        <v>0</v>
      </c>
      <c r="H3826" s="15"/>
      <c r="I3826" s="47"/>
      <c r="J3826" s="4"/>
      <c r="K3826" s="199"/>
      <c r="L3826" s="4"/>
      <c r="M3826" s="4"/>
      <c r="N3826" s="4"/>
      <c r="O3826" s="4"/>
      <c r="P3826" s="4"/>
      <c r="Q3826" s="4"/>
    </row>
    <row r="3827" spans="1:17" x14ac:dyDescent="0.25">
      <c r="A3827" s="289"/>
      <c r="B3827" s="290"/>
      <c r="C3827" s="290"/>
      <c r="D3827" s="290"/>
      <c r="E3827" s="101" t="s">
        <v>112</v>
      </c>
      <c r="F3827" s="37"/>
      <c r="G3827" s="277"/>
      <c r="H3827" s="23">
        <f>SUM(G3824:G3826)</f>
        <v>15567</v>
      </c>
      <c r="I3827" s="220"/>
      <c r="J3827" s="4"/>
      <c r="K3827" s="199"/>
      <c r="L3827" s="4"/>
      <c r="M3827" s="4"/>
      <c r="N3827" s="4"/>
      <c r="O3827" s="4"/>
      <c r="P3827" s="4"/>
      <c r="Q3827" s="4"/>
    </row>
    <row r="3828" spans="1:17" x14ac:dyDescent="0.25">
      <c r="A3828" s="289"/>
      <c r="B3828" s="290"/>
      <c r="C3828" s="290"/>
      <c r="D3828" s="290"/>
      <c r="E3828" s="234"/>
      <c r="F3828" s="234"/>
      <c r="G3828" s="47"/>
      <c r="H3828" s="233"/>
      <c r="I3828" s="47"/>
      <c r="J3828" s="4"/>
      <c r="K3828" s="199"/>
      <c r="L3828" s="4"/>
      <c r="M3828" s="4"/>
      <c r="N3828" s="4"/>
      <c r="O3828" s="4"/>
      <c r="P3828" s="4"/>
      <c r="Q3828" s="4"/>
    </row>
    <row r="3829" spans="1:17" x14ac:dyDescent="0.25">
      <c r="A3829" s="212"/>
      <c r="B3829" s="213"/>
      <c r="C3829" s="213"/>
      <c r="D3829" s="213"/>
      <c r="E3829" s="48" t="s">
        <v>113</v>
      </c>
      <c r="F3829" s="48"/>
      <c r="G3829" s="50"/>
      <c r="H3829" s="25">
        <f>H3827+H3821+H3807</f>
        <v>61651</v>
      </c>
      <c r="I3829" s="222"/>
      <c r="J3829" s="4"/>
      <c r="K3829" s="199"/>
      <c r="L3829" s="4"/>
      <c r="M3829" s="4"/>
      <c r="N3829" s="4"/>
      <c r="O3829" s="4"/>
      <c r="P3829" s="4"/>
      <c r="Q3829" s="4"/>
    </row>
    <row r="3830" spans="1:17" x14ac:dyDescent="0.25">
      <c r="A3830" s="289"/>
      <c r="B3830" s="290"/>
      <c r="C3830" s="290"/>
      <c r="D3830" s="290"/>
      <c r="E3830" s="234"/>
      <c r="F3830" s="234"/>
      <c r="G3830" s="47"/>
      <c r="H3830" s="233"/>
      <c r="I3830" s="47"/>
      <c r="J3830" s="4"/>
      <c r="K3830" s="199"/>
      <c r="L3830" s="4"/>
      <c r="M3830" s="4"/>
      <c r="N3830" s="4"/>
      <c r="O3830" s="4"/>
      <c r="P3830" s="4"/>
      <c r="Q3830" s="4"/>
    </row>
    <row r="3831" spans="1:17" x14ac:dyDescent="0.25">
      <c r="A3831" s="289" t="s">
        <v>114</v>
      </c>
      <c r="B3831" s="290"/>
      <c r="C3831" s="290"/>
      <c r="D3831" s="290"/>
      <c r="E3831" s="234"/>
      <c r="F3831" s="234"/>
      <c r="G3831" s="47"/>
      <c r="H3831" s="233"/>
      <c r="I3831" s="47"/>
      <c r="J3831" s="4"/>
      <c r="K3831" s="199"/>
      <c r="L3831" s="4"/>
      <c r="M3831" s="4"/>
      <c r="N3831" s="4"/>
      <c r="O3831" s="4"/>
      <c r="P3831" s="4"/>
      <c r="Q3831" s="4"/>
    </row>
    <row r="3832" spans="1:17" x14ac:dyDescent="0.25">
      <c r="A3832" s="205" t="s">
        <v>0</v>
      </c>
      <c r="B3832" s="218"/>
      <c r="C3832" s="218"/>
      <c r="D3832" s="218"/>
      <c r="E3832" s="50"/>
      <c r="F3832" s="9" t="s">
        <v>115</v>
      </c>
      <c r="G3832" s="9" t="s">
        <v>116</v>
      </c>
      <c r="H3832" s="10"/>
      <c r="I3832" s="47"/>
      <c r="J3832" s="4"/>
      <c r="K3832" s="199"/>
      <c r="L3832" s="4"/>
      <c r="M3832" s="4"/>
      <c r="N3832" s="4"/>
      <c r="O3832" s="4"/>
      <c r="P3832" s="4"/>
      <c r="Q3832" s="4"/>
    </row>
    <row r="3833" spans="1:17" x14ac:dyDescent="0.25">
      <c r="A3833" s="209" t="s">
        <v>117</v>
      </c>
      <c r="B3833" s="219"/>
      <c r="C3833" s="219"/>
      <c r="D3833" s="219"/>
      <c r="E3833" s="52"/>
      <c r="F3833" s="53"/>
      <c r="G3833" s="14">
        <f>F3833*H3829</f>
        <v>0</v>
      </c>
      <c r="H3833" s="15"/>
      <c r="I3833" s="47"/>
      <c r="J3833" s="4"/>
      <c r="K3833" s="199"/>
      <c r="L3833" s="4"/>
      <c r="M3833" s="4"/>
      <c r="N3833" s="4"/>
      <c r="O3833" s="4"/>
      <c r="P3833" s="4"/>
      <c r="Q3833" s="4"/>
    </row>
    <row r="3834" spans="1:17" hidden="1" x14ac:dyDescent="0.25">
      <c r="A3834" s="209"/>
      <c r="B3834" s="219"/>
      <c r="C3834" s="219"/>
      <c r="D3834" s="219"/>
      <c r="E3834" s="52"/>
      <c r="F3834" s="53"/>
      <c r="G3834" s="14">
        <f>F3834*H3829</f>
        <v>0</v>
      </c>
      <c r="H3834" s="15"/>
      <c r="I3834" s="47"/>
      <c r="J3834" s="4"/>
      <c r="K3834" s="199"/>
      <c r="L3834" s="4"/>
      <c r="M3834" s="4"/>
      <c r="N3834" s="4"/>
      <c r="O3834" s="4"/>
      <c r="P3834" s="4"/>
      <c r="Q3834" s="4"/>
    </row>
    <row r="3835" spans="1:17" x14ac:dyDescent="0.25">
      <c r="A3835" s="209"/>
      <c r="B3835" s="219"/>
      <c r="C3835" s="219"/>
      <c r="D3835" s="219"/>
      <c r="E3835" s="52"/>
      <c r="F3835" s="53"/>
      <c r="G3835" s="14">
        <f>F3835*H3829</f>
        <v>0</v>
      </c>
      <c r="H3835" s="17"/>
      <c r="I3835" s="47"/>
      <c r="J3835" s="4"/>
      <c r="K3835" s="199"/>
      <c r="L3835" s="4"/>
      <c r="M3835" s="4"/>
      <c r="N3835" s="4"/>
      <c r="O3835" s="4"/>
      <c r="P3835" s="4"/>
      <c r="Q3835" s="4"/>
    </row>
    <row r="3836" spans="1:17" x14ac:dyDescent="0.25">
      <c r="A3836" s="200"/>
      <c r="B3836" s="200"/>
      <c r="C3836" s="200"/>
      <c r="D3836" s="200"/>
      <c r="E3836" s="101" t="s">
        <v>118</v>
      </c>
      <c r="F3836" s="37"/>
      <c r="G3836" s="46"/>
      <c r="H3836" s="36">
        <f>SUM(G3833:G3835)</f>
        <v>0</v>
      </c>
      <c r="I3836" s="220"/>
      <c r="J3836" s="4"/>
      <c r="K3836" s="199"/>
      <c r="L3836" s="4"/>
      <c r="M3836" s="4"/>
      <c r="N3836" s="4"/>
      <c r="O3836" s="4"/>
      <c r="P3836" s="4"/>
      <c r="Q3836" s="4"/>
    </row>
    <row r="3837" spans="1:17" ht="15.75" thickBot="1" x14ac:dyDescent="0.3">
      <c r="A3837" s="200"/>
      <c r="B3837" s="200"/>
      <c r="C3837" s="200"/>
      <c r="D3837" s="200"/>
      <c r="E3837" s="201"/>
      <c r="F3837" s="201"/>
      <c r="G3837" s="201"/>
      <c r="H3837" s="201"/>
      <c r="I3837" s="234"/>
      <c r="J3837" s="4"/>
      <c r="K3837" s="199"/>
      <c r="L3837" s="4"/>
      <c r="M3837" s="4"/>
      <c r="N3837" s="4"/>
      <c r="O3837" s="4"/>
      <c r="P3837" s="4"/>
      <c r="Q3837" s="4"/>
    </row>
    <row r="3838" spans="1:17" ht="15.75" thickBot="1" x14ac:dyDescent="0.3">
      <c r="A3838" s="200"/>
      <c r="B3838" s="200"/>
      <c r="C3838" s="200"/>
      <c r="D3838" s="200"/>
      <c r="E3838" s="54"/>
      <c r="F3838" s="54" t="s">
        <v>119</v>
      </c>
      <c r="G3838" s="54"/>
      <c r="H3838" s="55">
        <f>SUM(H3836+H3829)</f>
        <v>61651</v>
      </c>
      <c r="I3838" s="112"/>
      <c r="J3838" s="4"/>
      <c r="K3838" s="199"/>
      <c r="L3838" s="4"/>
      <c r="M3838" s="4"/>
      <c r="N3838" s="4"/>
      <c r="O3838" s="4"/>
      <c r="P3838" s="4"/>
      <c r="Q3838" s="4"/>
    </row>
  </sheetData>
  <mergeCells count="588">
    <mergeCell ref="A1173:H1173"/>
    <mergeCell ref="G1174:H1174"/>
    <mergeCell ref="A1221:H1221"/>
    <mergeCell ref="G1222:H1222"/>
    <mergeCell ref="A1223:H1223"/>
    <mergeCell ref="G1069:H1069"/>
    <mergeCell ref="A871:H871"/>
    <mergeCell ref="G872:H872"/>
    <mergeCell ref="A873:H873"/>
    <mergeCell ref="G874:H874"/>
    <mergeCell ref="A884:B884"/>
    <mergeCell ref="A886:B886"/>
    <mergeCell ref="A1118:H1118"/>
    <mergeCell ref="G1120:H1120"/>
    <mergeCell ref="A1171:H1171"/>
    <mergeCell ref="G1172:H1172"/>
    <mergeCell ref="G1071:H1071"/>
    <mergeCell ref="A1081:B1081"/>
    <mergeCell ref="A1082:B1082"/>
    <mergeCell ref="A1083:B1083"/>
    <mergeCell ref="A1084:B1084"/>
    <mergeCell ref="A1085:B1085"/>
    <mergeCell ref="A1086:B1086"/>
    <mergeCell ref="A1087:B1087"/>
    <mergeCell ref="G2281:H2281"/>
    <mergeCell ref="A2282:H2282"/>
    <mergeCell ref="A2294:B2294"/>
    <mergeCell ref="A2295:B2295"/>
    <mergeCell ref="A2439:B2439"/>
    <mergeCell ref="A2440:B2440"/>
    <mergeCell ref="A2442:B2442"/>
    <mergeCell ref="A2443:B2443"/>
    <mergeCell ref="A2376:H2376"/>
    <mergeCell ref="G2378:H2378"/>
    <mergeCell ref="A2379:H2379"/>
    <mergeCell ref="A2390:B2390"/>
    <mergeCell ref="A2394:B2394"/>
    <mergeCell ref="A2395:B2395"/>
    <mergeCell ref="A2425:H2425"/>
    <mergeCell ref="G2427:H2427"/>
    <mergeCell ref="A2428:H2428"/>
    <mergeCell ref="A3287:B3287"/>
    <mergeCell ref="A3288:B3288"/>
    <mergeCell ref="A3290:B3290"/>
    <mergeCell ref="A3289:B3289"/>
    <mergeCell ref="A2837:B2837"/>
    <mergeCell ref="A3273:H3273"/>
    <mergeCell ref="G3274:H3274"/>
    <mergeCell ref="A3244:B3244"/>
    <mergeCell ref="A3245:B3245"/>
    <mergeCell ref="A3242:B3242"/>
    <mergeCell ref="A3243:B3243"/>
    <mergeCell ref="A3081:B3081"/>
    <mergeCell ref="A3039:B3039"/>
    <mergeCell ref="A2971:H2971"/>
    <mergeCell ref="G2972:H2972"/>
    <mergeCell ref="A2973:H2973"/>
    <mergeCell ref="G2974:H2974"/>
    <mergeCell ref="A2980:B2980"/>
    <mergeCell ref="A3066:H3066"/>
    <mergeCell ref="A3275:H3275"/>
    <mergeCell ref="G3276:H3276"/>
    <mergeCell ref="A3286:B3286"/>
    <mergeCell ref="A2939:B2939"/>
    <mergeCell ref="A3019:H3019"/>
    <mergeCell ref="A3390:B3390"/>
    <mergeCell ref="A3324:H3324"/>
    <mergeCell ref="G3325:H3325"/>
    <mergeCell ref="A3326:H3326"/>
    <mergeCell ref="G3327:H3327"/>
    <mergeCell ref="A3337:B3337"/>
    <mergeCell ref="A3338:B3338"/>
    <mergeCell ref="A3339:B3339"/>
    <mergeCell ref="A3340:B3340"/>
    <mergeCell ref="A3341:B3341"/>
    <mergeCell ref="A3373:H3373"/>
    <mergeCell ref="G3374:H3374"/>
    <mergeCell ref="A3375:H3375"/>
    <mergeCell ref="G3376:H3376"/>
    <mergeCell ref="A3386:B3386"/>
    <mergeCell ref="A3387:B3387"/>
    <mergeCell ref="A3388:B3388"/>
    <mergeCell ref="A3389:B3389"/>
    <mergeCell ref="G3020:H3020"/>
    <mergeCell ref="A3068:H3068"/>
    <mergeCell ref="G3069:H3069"/>
    <mergeCell ref="A3075:B3075"/>
    <mergeCell ref="A3028:B3028"/>
    <mergeCell ref="A3032:B3032"/>
    <mergeCell ref="A3033:B3033"/>
    <mergeCell ref="A3034:B3034"/>
    <mergeCell ref="A3035:B3035"/>
    <mergeCell ref="A3036:B3036"/>
    <mergeCell ref="A3037:B3037"/>
    <mergeCell ref="A3038:B3038"/>
    <mergeCell ref="A3021:H3021"/>
    <mergeCell ref="G3022:H3022"/>
    <mergeCell ref="G3067:H3067"/>
    <mergeCell ref="A3233:B3233"/>
    <mergeCell ref="A3237:B3237"/>
    <mergeCell ref="A3238:B3238"/>
    <mergeCell ref="A3239:B3239"/>
    <mergeCell ref="A3240:B3240"/>
    <mergeCell ref="A3241:B3241"/>
    <mergeCell ref="A3082:B3082"/>
    <mergeCell ref="A3083:B3083"/>
    <mergeCell ref="A3084:B3084"/>
    <mergeCell ref="A3085:B3085"/>
    <mergeCell ref="A3086:B3086"/>
    <mergeCell ref="A3224:H3224"/>
    <mergeCell ref="G3225:H3225"/>
    <mergeCell ref="A3226:H3226"/>
    <mergeCell ref="G3227:H3227"/>
    <mergeCell ref="A3134:B3135"/>
    <mergeCell ref="A3140:B3140"/>
    <mergeCell ref="A3187:B3187"/>
    <mergeCell ref="A3188:B3188"/>
    <mergeCell ref="A3181:B3186"/>
    <mergeCell ref="A3121:H3121"/>
    <mergeCell ref="A3168:H3168"/>
    <mergeCell ref="A3130:B3130"/>
    <mergeCell ref="G3124:H3124"/>
    <mergeCell ref="A2990:B2990"/>
    <mergeCell ref="A2991:B2991"/>
    <mergeCell ref="A2992:B2992"/>
    <mergeCell ref="A2986:B2986"/>
    <mergeCell ref="A2923:H2923"/>
    <mergeCell ref="G2924:H2924"/>
    <mergeCell ref="A2925:H2925"/>
    <mergeCell ref="G2926:H2926"/>
    <mergeCell ref="A2932:B2932"/>
    <mergeCell ref="A2936:B2936"/>
    <mergeCell ref="A2937:B2937"/>
    <mergeCell ref="A2938:B2938"/>
    <mergeCell ref="A2940:B2940"/>
    <mergeCell ref="A2941:B2941"/>
    <mergeCell ref="A2942:B2942"/>
    <mergeCell ref="A2943:B2943"/>
    <mergeCell ref="A2984:B2984"/>
    <mergeCell ref="A2985:B2985"/>
    <mergeCell ref="A2987:B2987"/>
    <mergeCell ref="A2988:B2988"/>
    <mergeCell ref="A2989:B2989"/>
    <mergeCell ref="A2890:B2890"/>
    <mergeCell ref="A2891:B2891"/>
    <mergeCell ref="A2892:B2892"/>
    <mergeCell ref="A2874:H2874"/>
    <mergeCell ref="G2875:H2875"/>
    <mergeCell ref="A2881:B2881"/>
    <mergeCell ref="A2885:B2885"/>
    <mergeCell ref="A2886:B2886"/>
    <mergeCell ref="A2887:B2887"/>
    <mergeCell ref="A2888:B2888"/>
    <mergeCell ref="A2889:B2889"/>
    <mergeCell ref="A2838:B2838"/>
    <mergeCell ref="A2839:B2839"/>
    <mergeCell ref="A2840:B2840"/>
    <mergeCell ref="A2841:B2841"/>
    <mergeCell ref="A2842:B2842"/>
    <mergeCell ref="A2843:B2843"/>
    <mergeCell ref="A2844:B2844"/>
    <mergeCell ref="A2872:H2872"/>
    <mergeCell ref="G2873:H2873"/>
    <mergeCell ref="A2776:B2776"/>
    <mergeCell ref="A2824:H2824"/>
    <mergeCell ref="G2825:H2825"/>
    <mergeCell ref="A2826:H2826"/>
    <mergeCell ref="G2827:H2827"/>
    <mergeCell ref="A2833:B2833"/>
    <mergeCell ref="A2728:B2728"/>
    <mergeCell ref="A2729:B2729"/>
    <mergeCell ref="A2730:B2730"/>
    <mergeCell ref="A2731:B2731"/>
    <mergeCell ref="A2732:B2732"/>
    <mergeCell ref="A2761:H2761"/>
    <mergeCell ref="G2762:H2762"/>
    <mergeCell ref="A2763:H2763"/>
    <mergeCell ref="G2764:H2764"/>
    <mergeCell ref="G1224:H1224"/>
    <mergeCell ref="A1234:B1234"/>
    <mergeCell ref="A1235:B1235"/>
    <mergeCell ref="A1236:B1236"/>
    <mergeCell ref="A1237:B1237"/>
    <mergeCell ref="A1269:H1269"/>
    <mergeCell ref="G1270:H1270"/>
    <mergeCell ref="A1363:H1363"/>
    <mergeCell ref="G1416:H1416"/>
    <mergeCell ref="A1281:B1281"/>
    <mergeCell ref="A1282:B1282"/>
    <mergeCell ref="A1315:H1315"/>
    <mergeCell ref="G1316:H1316"/>
    <mergeCell ref="A1317:H1317"/>
    <mergeCell ref="G1318:H1318"/>
    <mergeCell ref="A1329:B1329"/>
    <mergeCell ref="A1330:B1330"/>
    <mergeCell ref="A1364:H1364"/>
    <mergeCell ref="G1365:H1365"/>
    <mergeCell ref="A1366:H1366"/>
    <mergeCell ref="G1367:H1367"/>
    <mergeCell ref="A1378:B1378"/>
    <mergeCell ref="A1379:B1379"/>
    <mergeCell ref="A1413:H1413"/>
    <mergeCell ref="A1088:B1088"/>
    <mergeCell ref="A1089:B1089"/>
    <mergeCell ref="A1090:B1090"/>
    <mergeCell ref="A1091:B1091"/>
    <mergeCell ref="A1092:B1092"/>
    <mergeCell ref="A1093:B1093"/>
    <mergeCell ref="G826:H826"/>
    <mergeCell ref="A836:B836"/>
    <mergeCell ref="A838:B838"/>
    <mergeCell ref="A967:H967"/>
    <mergeCell ref="A1017:H1017"/>
    <mergeCell ref="G1018:H1018"/>
    <mergeCell ref="A1028:B1028"/>
    <mergeCell ref="A1030:B1030"/>
    <mergeCell ref="A1067:H1067"/>
    <mergeCell ref="A981:B981"/>
    <mergeCell ref="A1015:H1015"/>
    <mergeCell ref="G1016:H1016"/>
    <mergeCell ref="A1033:B1033"/>
    <mergeCell ref="A1034:B1034"/>
    <mergeCell ref="A1035:B1035"/>
    <mergeCell ref="A1036:B1036"/>
    <mergeCell ref="A1037:B1037"/>
    <mergeCell ref="G920:H920"/>
    <mergeCell ref="A921:H921"/>
    <mergeCell ref="G922:H922"/>
    <mergeCell ref="A932:B932"/>
    <mergeCell ref="A934:B934"/>
    <mergeCell ref="G968:H968"/>
    <mergeCell ref="A969:H969"/>
    <mergeCell ref="A207:B207"/>
    <mergeCell ref="A637:B637"/>
    <mergeCell ref="A639:B639"/>
    <mergeCell ref="A638:B638"/>
    <mergeCell ref="A765:H765"/>
    <mergeCell ref="G767:H767"/>
    <mergeCell ref="A768:H768"/>
    <mergeCell ref="A673:H673"/>
    <mergeCell ref="G674:H674"/>
    <mergeCell ref="A675:H675"/>
    <mergeCell ref="G676:H676"/>
    <mergeCell ref="A686:B686"/>
    <mergeCell ref="A688:B688"/>
    <mergeCell ref="A526:H526"/>
    <mergeCell ref="G527:H527"/>
    <mergeCell ref="A528:H528"/>
    <mergeCell ref="G529:H529"/>
    <mergeCell ref="A541:B541"/>
    <mergeCell ref="A542:B542"/>
    <mergeCell ref="A574:H574"/>
    <mergeCell ref="G575:H575"/>
    <mergeCell ref="A576:H576"/>
    <mergeCell ref="G577:H577"/>
    <mergeCell ref="A636:B636"/>
    <mergeCell ref="A143:H143"/>
    <mergeCell ref="G431:H431"/>
    <mergeCell ref="A432:H432"/>
    <mergeCell ref="G433:H433"/>
    <mergeCell ref="A446:B446"/>
    <mergeCell ref="A447:B447"/>
    <mergeCell ref="A162:B162"/>
    <mergeCell ref="A152:B152"/>
    <mergeCell ref="A153:B153"/>
    <mergeCell ref="A160:B160"/>
    <mergeCell ref="A190:H190"/>
    <mergeCell ref="G191:H191"/>
    <mergeCell ref="A192:H192"/>
    <mergeCell ref="A296:B296"/>
    <mergeCell ref="A252:B252"/>
    <mergeCell ref="A253:B253"/>
    <mergeCell ref="A254:B254"/>
    <mergeCell ref="A255:B255"/>
    <mergeCell ref="A722:H722"/>
    <mergeCell ref="A145:H145"/>
    <mergeCell ref="A399:B399"/>
    <mergeCell ref="A400:B400"/>
    <mergeCell ref="A401:B401"/>
    <mergeCell ref="A402:B402"/>
    <mergeCell ref="A430:H430"/>
    <mergeCell ref="A391:B391"/>
    <mergeCell ref="A395:B395"/>
    <mergeCell ref="A396:B396"/>
    <mergeCell ref="A397:B397"/>
    <mergeCell ref="A398:B398"/>
    <mergeCell ref="G146:H146"/>
    <mergeCell ref="A157:B157"/>
    <mergeCell ref="A158:B158"/>
    <mergeCell ref="A159:B159"/>
    <mergeCell ref="A200:B200"/>
    <mergeCell ref="A206:B206"/>
    <mergeCell ref="A239:H239"/>
    <mergeCell ref="G240:H240"/>
    <mergeCell ref="A241:H241"/>
    <mergeCell ref="G242:H242"/>
    <mergeCell ref="A247:B247"/>
    <mergeCell ref="A161:B161"/>
    <mergeCell ref="A6:H6"/>
    <mergeCell ref="G7:H7"/>
    <mergeCell ref="A8:H8"/>
    <mergeCell ref="G9:H9"/>
    <mergeCell ref="A51:H51"/>
    <mergeCell ref="G144:H144"/>
    <mergeCell ref="A53:H53"/>
    <mergeCell ref="G54:H54"/>
    <mergeCell ref="A19:B19"/>
    <mergeCell ref="A20:B20"/>
    <mergeCell ref="A21:B21"/>
    <mergeCell ref="A22:B22"/>
    <mergeCell ref="G52:H52"/>
    <mergeCell ref="A96:H96"/>
    <mergeCell ref="G97:H97"/>
    <mergeCell ref="A98:H98"/>
    <mergeCell ref="G99:H99"/>
    <mergeCell ref="A256:B256"/>
    <mergeCell ref="A257:B257"/>
    <mergeCell ref="A287:H287"/>
    <mergeCell ref="G288:H288"/>
    <mergeCell ref="A289:H289"/>
    <mergeCell ref="G290:H290"/>
    <mergeCell ref="G193:H193"/>
    <mergeCell ref="A199:B199"/>
    <mergeCell ref="A248:B248"/>
    <mergeCell ref="A204:B204"/>
    <mergeCell ref="A205:B205"/>
    <mergeCell ref="A208:B208"/>
    <mergeCell ref="A209:B209"/>
    <mergeCell ref="A343:B343"/>
    <mergeCell ref="A300:B300"/>
    <mergeCell ref="A301:B301"/>
    <mergeCell ref="A302:B302"/>
    <mergeCell ref="A303:B303"/>
    <mergeCell ref="A304:B304"/>
    <mergeCell ref="A305:B305"/>
    <mergeCell ref="A334:H334"/>
    <mergeCell ref="G335:H335"/>
    <mergeCell ref="A336:H336"/>
    <mergeCell ref="G337:H337"/>
    <mergeCell ref="A353:B353"/>
    <mergeCell ref="A347:B347"/>
    <mergeCell ref="A348:B348"/>
    <mergeCell ref="A349:B349"/>
    <mergeCell ref="A350:B350"/>
    <mergeCell ref="A351:B351"/>
    <mergeCell ref="A352:B352"/>
    <mergeCell ref="A1267:H1267"/>
    <mergeCell ref="G1268:H1268"/>
    <mergeCell ref="A382:H382"/>
    <mergeCell ref="G383:H383"/>
    <mergeCell ref="A384:H384"/>
    <mergeCell ref="G385:H385"/>
    <mergeCell ref="A623:H623"/>
    <mergeCell ref="G624:H624"/>
    <mergeCell ref="A625:H625"/>
    <mergeCell ref="G626:H626"/>
    <mergeCell ref="A1121:H1121"/>
    <mergeCell ref="A1029:B1029"/>
    <mergeCell ref="A1031:B1031"/>
    <mergeCell ref="A1032:B1032"/>
    <mergeCell ref="G723:H723"/>
    <mergeCell ref="A719:H719"/>
    <mergeCell ref="G721:H721"/>
    <mergeCell ref="G1414:H1414"/>
    <mergeCell ref="A1415:H1415"/>
    <mergeCell ref="A1565:H1565"/>
    <mergeCell ref="G1517:H1517"/>
    <mergeCell ref="A1528:B1528"/>
    <mergeCell ref="A1529:B1529"/>
    <mergeCell ref="A1466:H1466"/>
    <mergeCell ref="G1467:H1467"/>
    <mergeCell ref="A1468:H1468"/>
    <mergeCell ref="G1469:H1469"/>
    <mergeCell ref="A1480:B1480"/>
    <mergeCell ref="A1481:B1481"/>
    <mergeCell ref="A1514:H1514"/>
    <mergeCell ref="G1515:H1515"/>
    <mergeCell ref="A1516:H1516"/>
    <mergeCell ref="A1427:B1427"/>
    <mergeCell ref="A1428:B1428"/>
    <mergeCell ref="A1562:H1562"/>
    <mergeCell ref="A2099:B2099"/>
    <mergeCell ref="A2049:B2049"/>
    <mergeCell ref="A2050:B2050"/>
    <mergeCell ref="A2051:B2051"/>
    <mergeCell ref="G1566:H1566"/>
    <mergeCell ref="A1712:H1712"/>
    <mergeCell ref="G1713:H1713"/>
    <mergeCell ref="A1714:H1714"/>
    <mergeCell ref="A1578:B1578"/>
    <mergeCell ref="A1610:H1610"/>
    <mergeCell ref="A1613:H1613"/>
    <mergeCell ref="G1614:H1614"/>
    <mergeCell ref="A1615:H1615"/>
    <mergeCell ref="G1616:H1616"/>
    <mergeCell ref="A1626:B1626"/>
    <mergeCell ref="A1567:H1567"/>
    <mergeCell ref="G1568:H1568"/>
    <mergeCell ref="A1662:H1662"/>
    <mergeCell ref="G1663:H1663"/>
    <mergeCell ref="A1664:H1664"/>
    <mergeCell ref="G1665:H1665"/>
    <mergeCell ref="A2047:B2047"/>
    <mergeCell ref="A2084:H2084"/>
    <mergeCell ref="G2085:H2085"/>
    <mergeCell ref="A2095:B2095"/>
    <mergeCell ref="A2096:B2096"/>
    <mergeCell ref="A1991:B1991"/>
    <mergeCell ref="A1992:B1992"/>
    <mergeCell ref="A2097:B2097"/>
    <mergeCell ref="A2098:B2098"/>
    <mergeCell ref="A1825:H1825"/>
    <mergeCell ref="G1826:H1826"/>
    <mergeCell ref="A1836:B1836"/>
    <mergeCell ref="A1870:H1870"/>
    <mergeCell ref="G1871:H1871"/>
    <mergeCell ref="A1872:H1872"/>
    <mergeCell ref="G1873:H1873"/>
    <mergeCell ref="A1979:H1979"/>
    <mergeCell ref="A1990:B1990"/>
    <mergeCell ref="G1978:H1978"/>
    <mergeCell ref="G1924:H1924"/>
    <mergeCell ref="A1943:B1943"/>
    <mergeCell ref="A1976:H1976"/>
    <mergeCell ref="A1922:H1922"/>
    <mergeCell ref="A1925:H1925"/>
    <mergeCell ref="A1936:B1936"/>
    <mergeCell ref="A1937:B1937"/>
    <mergeCell ref="A1938:B1938"/>
    <mergeCell ref="A1939:B1939"/>
    <mergeCell ref="A1940:B1940"/>
    <mergeCell ref="A1941:B1941"/>
    <mergeCell ref="A1942:B1942"/>
    <mergeCell ref="G1715:H1715"/>
    <mergeCell ref="A1784:B1784"/>
    <mergeCell ref="A1785:B1785"/>
    <mergeCell ref="A1786:B1786"/>
    <mergeCell ref="A1787:B1787"/>
    <mergeCell ref="A1788:B1788"/>
    <mergeCell ref="A1789:B1789"/>
    <mergeCell ref="A1823:H1823"/>
    <mergeCell ref="G1824:H1824"/>
    <mergeCell ref="A1771:H1771"/>
    <mergeCell ref="G1772:H1772"/>
    <mergeCell ref="A1773:H1773"/>
    <mergeCell ref="G1774:H1774"/>
    <mergeCell ref="A2132:H2132"/>
    <mergeCell ref="G2133:H2133"/>
    <mergeCell ref="A1995:B1995"/>
    <mergeCell ref="A2052:B2052"/>
    <mergeCell ref="A2082:H2082"/>
    <mergeCell ref="A1993:B1993"/>
    <mergeCell ref="A1994:B1994"/>
    <mergeCell ref="A2048:B2048"/>
    <mergeCell ref="A2130:H2130"/>
    <mergeCell ref="G2131:H2131"/>
    <mergeCell ref="G2083:H2083"/>
    <mergeCell ref="A1996:B1996"/>
    <mergeCell ref="A1997:B1997"/>
    <mergeCell ref="A2032:H2032"/>
    <mergeCell ref="G2033:H2033"/>
    <mergeCell ref="A2034:H2034"/>
    <mergeCell ref="G2035:H2035"/>
    <mergeCell ref="A2040:B2040"/>
    <mergeCell ref="A2041:B2041"/>
    <mergeCell ref="A2045:B2045"/>
    <mergeCell ref="A2100:B2100"/>
    <mergeCell ref="A2101:B2101"/>
    <mergeCell ref="A2102:B2102"/>
    <mergeCell ref="A2046:B2046"/>
    <mergeCell ref="A2194:B2194"/>
    <mergeCell ref="G2475:H2475"/>
    <mergeCell ref="A2476:H2476"/>
    <mergeCell ref="G2477:H2477"/>
    <mergeCell ref="A2176:H2176"/>
    <mergeCell ref="G2178:H2178"/>
    <mergeCell ref="A2179:H2179"/>
    <mergeCell ref="A2488:B2488"/>
    <mergeCell ref="A2489:B2489"/>
    <mergeCell ref="A2346:B2346"/>
    <mergeCell ref="A2296:B2296"/>
    <mergeCell ref="A2297:B2297"/>
    <mergeCell ref="A2328:H2328"/>
    <mergeCell ref="G2330:H2330"/>
    <mergeCell ref="A2331:H2331"/>
    <mergeCell ref="A2342:B2342"/>
    <mergeCell ref="A2343:B2343"/>
    <mergeCell ref="A2344:B2344"/>
    <mergeCell ref="A2345:B2345"/>
    <mergeCell ref="A2229:H2229"/>
    <mergeCell ref="G2231:H2231"/>
    <mergeCell ref="A2232:H2232"/>
    <mergeCell ref="A2247:B2247"/>
    <mergeCell ref="A2279:H2279"/>
    <mergeCell ref="A3426:H3426"/>
    <mergeCell ref="G3427:H3427"/>
    <mergeCell ref="A3428:H3428"/>
    <mergeCell ref="G3429:H3429"/>
    <mergeCell ref="A2620:H2620"/>
    <mergeCell ref="G2621:H2621"/>
    <mergeCell ref="A2622:H2622"/>
    <mergeCell ref="G2623:H2623"/>
    <mergeCell ref="A2640:B2640"/>
    <mergeCell ref="A2629:B2629"/>
    <mergeCell ref="A2633:B2633"/>
    <mergeCell ref="A2634:B2634"/>
    <mergeCell ref="A2635:B2635"/>
    <mergeCell ref="A2636:B2636"/>
    <mergeCell ref="A2637:B2637"/>
    <mergeCell ref="A2638:B2638"/>
    <mergeCell ref="A2639:B2639"/>
    <mergeCell ref="A2712:H2712"/>
    <mergeCell ref="G2713:H2713"/>
    <mergeCell ref="A2714:H2714"/>
    <mergeCell ref="G2715:H2715"/>
    <mergeCell ref="A2721:B2721"/>
    <mergeCell ref="A2725:B2725"/>
    <mergeCell ref="A2726:B2726"/>
    <mergeCell ref="A3482:H3482"/>
    <mergeCell ref="G3483:H3483"/>
    <mergeCell ref="A3484:H3484"/>
    <mergeCell ref="G3485:H3485"/>
    <mergeCell ref="G3533:H3533"/>
    <mergeCell ref="A3534:H3534"/>
    <mergeCell ref="G3594:H3594"/>
    <mergeCell ref="A3595:H3595"/>
    <mergeCell ref="A3644:H3644"/>
    <mergeCell ref="A3795:H3795"/>
    <mergeCell ref="G3798:H3798"/>
    <mergeCell ref="J3542:J3543"/>
    <mergeCell ref="J3602:J3603"/>
    <mergeCell ref="G3645:H3645"/>
    <mergeCell ref="A3646:H3646"/>
    <mergeCell ref="G3647:H3647"/>
    <mergeCell ref="A3694:H3694"/>
    <mergeCell ref="G3695:H3695"/>
    <mergeCell ref="A3696:H3696"/>
    <mergeCell ref="G3697:H3697"/>
    <mergeCell ref="A3742:H3742"/>
    <mergeCell ref="G3745:H3745"/>
    <mergeCell ref="A480:H480"/>
    <mergeCell ref="G481:H481"/>
    <mergeCell ref="A482:H482"/>
    <mergeCell ref="G483:H483"/>
    <mergeCell ref="A495:B495"/>
    <mergeCell ref="A496:B496"/>
    <mergeCell ref="A493:B493"/>
    <mergeCell ref="A3079:B3080"/>
    <mergeCell ref="A587:B591"/>
    <mergeCell ref="G769:H769"/>
    <mergeCell ref="A919:H919"/>
    <mergeCell ref="A823:H823"/>
    <mergeCell ref="G824:H824"/>
    <mergeCell ref="A825:H825"/>
    <mergeCell ref="A2546:B2546"/>
    <mergeCell ref="A2547:B2547"/>
    <mergeCell ref="A2540:B2540"/>
    <mergeCell ref="A2541:B2541"/>
    <mergeCell ref="A2542:B2542"/>
    <mergeCell ref="A2543:B2543"/>
    <mergeCell ref="A2544:B2544"/>
    <mergeCell ref="A2545:B2545"/>
    <mergeCell ref="A2483:B2483"/>
    <mergeCell ref="A2487:B2487"/>
    <mergeCell ref="A3123:H3123"/>
    <mergeCell ref="G3122:H3122"/>
    <mergeCell ref="A2474:H2474"/>
    <mergeCell ref="G3169:H3169"/>
    <mergeCell ref="A3170:H3170"/>
    <mergeCell ref="G3171:H3171"/>
    <mergeCell ref="A3177:B3177"/>
    <mergeCell ref="A3141:B3141"/>
    <mergeCell ref="A3139:B3139"/>
    <mergeCell ref="A3138:B3138"/>
    <mergeCell ref="A3137:B3137"/>
    <mergeCell ref="A3136:B3136"/>
    <mergeCell ref="A2529:H2529"/>
    <mergeCell ref="G2530:H2530"/>
    <mergeCell ref="A2536:B2536"/>
    <mergeCell ref="A2490:B2490"/>
    <mergeCell ref="A2491:B2491"/>
    <mergeCell ref="A2492:B2492"/>
    <mergeCell ref="A2493:B2493"/>
    <mergeCell ref="A2494:B2494"/>
    <mergeCell ref="A2527:H2527"/>
    <mergeCell ref="G2528:H2528"/>
    <mergeCell ref="A2727:B2727"/>
    <mergeCell ref="A2775:B2775"/>
  </mergeCells>
  <phoneticPr fontId="10" type="noConversion"/>
  <printOptions horizontalCentered="1" verticalCentered="1"/>
  <pageMargins left="0.31496062992125984" right="0.31496062992125984" top="0" bottom="0" header="0.31496062992125984" footer="0.31496062992125984"/>
  <pageSetup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MTTO PPTO PRJC</vt:lpstr>
      <vt:lpstr>APU</vt:lpstr>
      <vt:lpstr>'MTTO PPTO PRJC'!Títulos_a_imprimir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ninijohannaortiz@gmail.com</dc:creator>
  <cp:lastModifiedBy>Anthony Mitchell</cp:lastModifiedBy>
  <cp:lastPrinted>2026-09-07T21:25:47Z</cp:lastPrinted>
  <dcterms:created xsi:type="dcterms:W3CDTF">2026-03-18T13:45:26Z</dcterms:created>
  <dcterms:modified xsi:type="dcterms:W3CDTF">2026-10-08T13:54:38Z</dcterms:modified>
</cp:coreProperties>
</file>