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ADMINISTRACION 2026\CONTRATACIÓN\4. SELECCIÓN DE MENOR CUANTÍA\AUDITORIO MARINO GÓMEZ\DT - Licitacion - Version 2\"/>
    </mc:Choice>
  </mc:AlternateContent>
  <xr:revisionPtr revIDLastSave="0" documentId="8_{ED49B966-3700-4600-9434-27E16B9868A2}" xr6:coauthVersionLast="47" xr6:coauthVersionMax="47" xr10:uidLastSave="{00000000-0000-0000-0000-000000000000}"/>
  <bookViews>
    <workbookView xWindow="14295" yWindow="0" windowWidth="14610" windowHeight="15585" tabRatio="906" firstSheet="41" activeTab="41" xr2:uid="{EA918726-98D6-4620-A9E2-76696F7C8E34}"/>
  </bookViews>
  <sheets>
    <sheet name="ANALISIS M.O" sheetId="27" state="hidden" r:id="rId1"/>
    <sheet name="A.I.U." sheetId="32" state="hidden" r:id="rId2"/>
    <sheet name="1.1 localizacion" sheetId="28" state="hidden" r:id="rId3"/>
    <sheet name="1.2 Valla" sheetId="31" r:id="rId4"/>
    <sheet name="1.3 señal " sheetId="30" state="hidden" r:id="rId5"/>
    <sheet name="1.4 Cerramiento " sheetId="29" state="hidden" r:id="rId6"/>
    <sheet name="2.1 Desmonte teja" sheetId="34" state="hidden" r:id="rId7"/>
    <sheet name="2.2 Desmonte cielo raso" sheetId="41" state="hidden" r:id="rId8"/>
    <sheet name="2.3 Desmonte Madera" sheetId="63" state="hidden" r:id="rId9"/>
    <sheet name="2.4 demolición ceramica" sheetId="79" state="hidden" r:id="rId10"/>
    <sheet name="3.1. Teja termoacustica" sheetId="43" r:id="rId11"/>
    <sheet name="3.2 Caballete termo" sheetId="44" state="hidden" r:id="rId12"/>
    <sheet name="3.3 Impermiabiliazación" sheetId="48" r:id="rId13"/>
    <sheet name="3.4 Canal" sheetId="52" state="hidden" r:id="rId14"/>
    <sheet name="3.5 Bajante" sheetId="54" state="hidden" r:id="rId15"/>
    <sheet name="3.6 Recorrido cubierta" sheetId="75" state="hidden" r:id="rId16"/>
    <sheet name="4.1 cielo raso pvc" sheetId="55" state="hidden" r:id="rId17"/>
    <sheet name="4.4 Triplex" sheetId="83" r:id="rId18"/>
    <sheet name="4.5 frescasa" sheetId="84" r:id="rId19"/>
    <sheet name="4.2 luminarias" sheetId="56" state="hidden" r:id="rId20"/>
    <sheet name="4.3 Puntos eléctricos" sheetId="57" state="hidden" r:id="rId21"/>
    <sheet name="5.1 pintura exterior" sheetId="62" state="hidden" r:id="rId22"/>
    <sheet name="5.2 Pintura interior" sheetId="61" state="hidden" r:id="rId23"/>
    <sheet name="5.3 pintura ventanas" sheetId="70" state="hidden" r:id="rId24"/>
    <sheet name="5.4 mantenimiento ventanales" sheetId="81" state="hidden" r:id="rId25"/>
    <sheet name="6.1 Muro concreto" sheetId="64" state="hidden" r:id="rId26"/>
    <sheet name="6.4 Antideslizante" sheetId="65" state="hidden" r:id="rId27"/>
    <sheet name="6.5 piso tablilla" sheetId="112" state="hidden" r:id="rId28"/>
    <sheet name="6.5 Flotante tipo madera" sheetId="66" state="hidden" r:id="rId29"/>
    <sheet name="6.6 Escaleras" sheetId="67" state="hidden" r:id="rId30"/>
    <sheet name="7.2 Vidrios" sheetId="76" state="hidden" r:id="rId31"/>
    <sheet name="7.4 ceramica " sheetId="80" state="hidden" r:id="rId32"/>
    <sheet name="8.1 Tomacorriente doble" sheetId="68" state="hidden" r:id="rId33"/>
    <sheet name="8.2 Lámpara sobreponer" sheetId="69" r:id="rId34"/>
    <sheet name="8.3 Lámpara incrustar" sheetId="95" state="hidden" r:id="rId35"/>
    <sheet name="8.4 Interruptor sencillo" sheetId="74" state="hidden" r:id="rId36"/>
    <sheet name="8.6 tomacorrientes canaleta" sheetId="82" state="hidden" r:id="rId37"/>
    <sheet name="9. Desmonte sanitarios" sheetId="71" state="hidden" r:id="rId38"/>
    <sheet name="9.2 Combo sanitarios" sheetId="72" state="hidden" r:id="rId39"/>
    <sheet name="9.3 ceramica baño " sheetId="73" state="hidden" r:id="rId40"/>
    <sheet name="BASE DE DATOS" sheetId="26" state="hidden" r:id="rId41"/>
    <sheet name="PRESUPUESTO OFICIAL" sheetId="1" r:id="rId42"/>
    <sheet name="1,1" sheetId="2" r:id="rId43"/>
    <sheet name="1,2" sheetId="33" r:id="rId44"/>
    <sheet name="1,3" sheetId="3" r:id="rId45"/>
    <sheet name="1,4" sheetId="4" r:id="rId46"/>
    <sheet name="2,1" sheetId="5" r:id="rId47"/>
    <sheet name="2,2" sheetId="7" r:id="rId48"/>
    <sheet name="2,3" sheetId="85" r:id="rId49"/>
    <sheet name="2,4" sheetId="86" r:id="rId50"/>
    <sheet name="3,1" sheetId="11" r:id="rId51"/>
    <sheet name="3,2" sheetId="12" r:id="rId52"/>
    <sheet name="3,3" sheetId="13" r:id="rId53"/>
    <sheet name="3,4" sheetId="14" r:id="rId54"/>
    <sheet name="3,5" sheetId="15" r:id="rId55"/>
    <sheet name="3,6" sheetId="90" r:id="rId56"/>
    <sheet name="4,1" sheetId="16" r:id="rId57"/>
    <sheet name="4,2" sheetId="17" r:id="rId58"/>
    <sheet name="4,3" sheetId="18" r:id="rId59"/>
    <sheet name="4,4" sheetId="87" r:id="rId60"/>
    <sheet name="4,5" sheetId="88" r:id="rId61"/>
    <sheet name="5.1" sheetId="59" r:id="rId62"/>
    <sheet name="5.2" sheetId="60" r:id="rId63"/>
    <sheet name="5.3" sheetId="97" r:id="rId64"/>
    <sheet name="5.4" sheetId="98" r:id="rId65"/>
    <sheet name="6.1" sheetId="99" r:id="rId66"/>
    <sheet name="6.2" sheetId="105" r:id="rId67"/>
    <sheet name="6.3" sheetId="106" r:id="rId68"/>
    <sheet name="6.4" sheetId="111" r:id="rId69"/>
    <sheet name="6.5" sheetId="107" r:id="rId70"/>
    <sheet name="6.6" sheetId="108" r:id="rId71"/>
    <sheet name="6.7" sheetId="109" r:id="rId72"/>
    <sheet name="7.1" sheetId="91" r:id="rId73"/>
    <sheet name="7.2" sheetId="93" r:id="rId74"/>
    <sheet name="7.3" sheetId="110" r:id="rId75"/>
    <sheet name="8.1" sheetId="92" r:id="rId76"/>
    <sheet name="8.2" sheetId="94" r:id="rId77"/>
    <sheet name="8.3" sheetId="96" r:id="rId78"/>
    <sheet name="8.4" sheetId="103" r:id="rId79"/>
    <sheet name="8.5" sheetId="104" r:id="rId80"/>
    <sheet name="8.6" sheetId="113" r:id="rId81"/>
    <sheet name="9.1" sheetId="100" r:id="rId82"/>
    <sheet name="9.2" sheetId="101" r:id="rId83"/>
    <sheet name="9.3" sheetId="102" r:id="rId84"/>
  </sheets>
  <definedNames>
    <definedName name="_________key2" localSheetId="43" hidden="1">#REF!</definedName>
    <definedName name="_________key2" localSheetId="6" hidden="1">#REF!</definedName>
    <definedName name="_________key2" localSheetId="7" hidden="1">#REF!</definedName>
    <definedName name="_________key2" localSheetId="10" hidden="1">#REF!</definedName>
    <definedName name="_________key2" localSheetId="11" hidden="1">#REF!</definedName>
    <definedName name="_________key2" localSheetId="12" hidden="1">#REF!</definedName>
    <definedName name="_________key2" localSheetId="13" hidden="1">#REF!</definedName>
    <definedName name="_________key2" localSheetId="14" hidden="1">#REF!</definedName>
    <definedName name="_________key2" localSheetId="15" hidden="1">#REF!</definedName>
    <definedName name="_________key2" localSheetId="16" hidden="1">#REF!</definedName>
    <definedName name="_________key2" localSheetId="19" hidden="1">#REF!</definedName>
    <definedName name="_________key2" localSheetId="30" hidden="1">#REF!</definedName>
    <definedName name="_________key2" hidden="1">#REF!</definedName>
    <definedName name="________key2" localSheetId="43" hidden="1">#REF!</definedName>
    <definedName name="________key2" localSheetId="6" hidden="1">#REF!</definedName>
    <definedName name="________key2" localSheetId="7" hidden="1">#REF!</definedName>
    <definedName name="________key2" localSheetId="10" hidden="1">#REF!</definedName>
    <definedName name="________key2" localSheetId="11" hidden="1">#REF!</definedName>
    <definedName name="________key2" localSheetId="12" hidden="1">#REF!</definedName>
    <definedName name="________key2" localSheetId="13" hidden="1">#REF!</definedName>
    <definedName name="________key2" localSheetId="14" hidden="1">#REF!</definedName>
    <definedName name="________key2" localSheetId="15" hidden="1">#REF!</definedName>
    <definedName name="________key2" localSheetId="16" hidden="1">#REF!</definedName>
    <definedName name="________key2" localSheetId="19" hidden="1">#REF!</definedName>
    <definedName name="________key2" localSheetId="30" hidden="1">#REF!</definedName>
    <definedName name="________key2" hidden="1">#REF!</definedName>
    <definedName name="________key3" localSheetId="43" hidden="1">#REF!</definedName>
    <definedName name="________key3" localSheetId="6" hidden="1">#REF!</definedName>
    <definedName name="________key3" localSheetId="7" hidden="1">#REF!</definedName>
    <definedName name="________key3" localSheetId="10" hidden="1">#REF!</definedName>
    <definedName name="________key3" localSheetId="11" hidden="1">#REF!</definedName>
    <definedName name="________key3" localSheetId="12" hidden="1">#REF!</definedName>
    <definedName name="________key3" localSheetId="13" hidden="1">#REF!</definedName>
    <definedName name="________key3" localSheetId="14" hidden="1">#REF!</definedName>
    <definedName name="________key3" localSheetId="15" hidden="1">#REF!</definedName>
    <definedName name="________key3" localSheetId="16" hidden="1">#REF!</definedName>
    <definedName name="________key3" localSheetId="19" hidden="1">#REF!</definedName>
    <definedName name="________key3" localSheetId="30" hidden="1">#REF!</definedName>
    <definedName name="________key3" hidden="1">#REF!</definedName>
    <definedName name="___key2" localSheetId="43" hidden="1">#REF!</definedName>
    <definedName name="___key2" localSheetId="6" hidden="1">#REF!</definedName>
    <definedName name="___key2" localSheetId="7" hidden="1">#REF!</definedName>
    <definedName name="___key2" localSheetId="10" hidden="1">#REF!</definedName>
    <definedName name="___key2" localSheetId="11" hidden="1">#REF!</definedName>
    <definedName name="___key2" localSheetId="12" hidden="1">#REF!</definedName>
    <definedName name="___key2" localSheetId="13" hidden="1">#REF!</definedName>
    <definedName name="___key2" localSheetId="14" hidden="1">#REF!</definedName>
    <definedName name="___key2" localSheetId="15" hidden="1">#REF!</definedName>
    <definedName name="___key2" localSheetId="16" hidden="1">#REF!</definedName>
    <definedName name="___key2" localSheetId="19" hidden="1">#REF!</definedName>
    <definedName name="___key2" localSheetId="30" hidden="1">#REF!</definedName>
    <definedName name="___key2" hidden="1">#REF!</definedName>
    <definedName name="___key3" localSheetId="43" hidden="1">#REF!</definedName>
    <definedName name="___key3" localSheetId="6" hidden="1">#REF!</definedName>
    <definedName name="___key3" localSheetId="7" hidden="1">#REF!</definedName>
    <definedName name="___key3" localSheetId="10" hidden="1">#REF!</definedName>
    <definedName name="___key3" localSheetId="11" hidden="1">#REF!</definedName>
    <definedName name="___key3" localSheetId="12" hidden="1">#REF!</definedName>
    <definedName name="___key3" localSheetId="13" hidden="1">#REF!</definedName>
    <definedName name="___key3" localSheetId="14" hidden="1">#REF!</definedName>
    <definedName name="___key3" localSheetId="15" hidden="1">#REF!</definedName>
    <definedName name="___key3" localSheetId="16" hidden="1">#REF!</definedName>
    <definedName name="___key3" localSheetId="19" hidden="1">#REF!</definedName>
    <definedName name="___key3" localSheetId="30" hidden="1">#REF!</definedName>
    <definedName name="___key3" hidden="1">#REF!</definedName>
    <definedName name="___key31" localSheetId="43" hidden="1">#REF!</definedName>
    <definedName name="___key31" localSheetId="6" hidden="1">#REF!</definedName>
    <definedName name="___key31" localSheetId="7" hidden="1">#REF!</definedName>
    <definedName name="___key31" localSheetId="10" hidden="1">#REF!</definedName>
    <definedName name="___key31" localSheetId="11" hidden="1">#REF!</definedName>
    <definedName name="___key31" localSheetId="12" hidden="1">#REF!</definedName>
    <definedName name="___key31" localSheetId="13" hidden="1">#REF!</definedName>
    <definedName name="___key31" localSheetId="14" hidden="1">#REF!</definedName>
    <definedName name="___key31" localSheetId="15" hidden="1">#REF!</definedName>
    <definedName name="___key31" localSheetId="16" hidden="1">#REF!</definedName>
    <definedName name="___key31" localSheetId="19" hidden="1">#REF!</definedName>
    <definedName name="___key31" localSheetId="30" hidden="1">#REF!</definedName>
    <definedName name="___key31" hidden="1">#REF!</definedName>
    <definedName name="__123Graph_A" localSheetId="43" hidden="1">#REF!</definedName>
    <definedName name="__123Graph_A" localSheetId="6" hidden="1">#REF!</definedName>
    <definedName name="__123Graph_A" localSheetId="7" hidden="1">#REF!</definedName>
    <definedName name="__123Graph_A" localSheetId="10" hidden="1">#REF!</definedName>
    <definedName name="__123Graph_A" localSheetId="11" hidden="1">#REF!</definedName>
    <definedName name="__123Graph_A" localSheetId="12" hidden="1">#REF!</definedName>
    <definedName name="__123Graph_A" localSheetId="13" hidden="1">#REF!</definedName>
    <definedName name="__123Graph_A" localSheetId="14" hidden="1">#REF!</definedName>
    <definedName name="__123Graph_A" localSheetId="15" hidden="1">#REF!</definedName>
    <definedName name="__123Graph_A" localSheetId="16" hidden="1">#REF!</definedName>
    <definedName name="__123Graph_A" localSheetId="19" hidden="1">#REF!</definedName>
    <definedName name="__123Graph_A" localSheetId="30" hidden="1">#REF!</definedName>
    <definedName name="__123Graph_A" hidden="1">#REF!</definedName>
    <definedName name="__123Graph_Acaja" localSheetId="43" hidden="1">#REF!</definedName>
    <definedName name="__123Graph_Acaja" localSheetId="6" hidden="1">#REF!</definedName>
    <definedName name="__123Graph_Acaja" localSheetId="7" hidden="1">#REF!</definedName>
    <definedName name="__123Graph_Acaja" localSheetId="10" hidden="1">#REF!</definedName>
    <definedName name="__123Graph_Acaja" localSheetId="11" hidden="1">#REF!</definedName>
    <definedName name="__123Graph_Acaja" localSheetId="12" hidden="1">#REF!</definedName>
    <definedName name="__123Graph_Acaja" localSheetId="13" hidden="1">#REF!</definedName>
    <definedName name="__123Graph_Acaja" localSheetId="14" hidden="1">#REF!</definedName>
    <definedName name="__123Graph_Acaja" localSheetId="15" hidden="1">#REF!</definedName>
    <definedName name="__123Graph_Acaja" localSheetId="16" hidden="1">#REF!</definedName>
    <definedName name="__123Graph_Acaja" localSheetId="19" hidden="1">#REF!</definedName>
    <definedName name="__123Graph_Acaja" localSheetId="30" hidden="1">#REF!</definedName>
    <definedName name="__123Graph_Acaja" hidden="1">#REF!</definedName>
    <definedName name="__123Graph_ACart_AnticAdic" localSheetId="43" hidden="1">#REF!</definedName>
    <definedName name="__123Graph_ACart_AnticAdic" localSheetId="6" hidden="1">#REF!</definedName>
    <definedName name="__123Graph_ACart_AnticAdic" localSheetId="7" hidden="1">#REF!</definedName>
    <definedName name="__123Graph_ACart_AnticAdic" localSheetId="10" hidden="1">#REF!</definedName>
    <definedName name="__123Graph_ACart_AnticAdic" localSheetId="11" hidden="1">#REF!</definedName>
    <definedName name="__123Graph_ACart_AnticAdic" localSheetId="12" hidden="1">#REF!</definedName>
    <definedName name="__123Graph_ACart_AnticAdic" localSheetId="13" hidden="1">#REF!</definedName>
    <definedName name="__123Graph_ACart_AnticAdic" localSheetId="14" hidden="1">#REF!</definedName>
    <definedName name="__123Graph_ACart_AnticAdic" localSheetId="15" hidden="1">#REF!</definedName>
    <definedName name="__123Graph_ACart_AnticAdic" localSheetId="16" hidden="1">#REF!</definedName>
    <definedName name="__123Graph_ACart_AnticAdic" localSheetId="19" hidden="1">#REF!</definedName>
    <definedName name="__123Graph_ACart_AnticAdic" localSheetId="30" hidden="1">#REF!</definedName>
    <definedName name="__123Graph_ACart_AnticAdic" hidden="1">#REF!</definedName>
    <definedName name="__123Graph_AFACTURAC" localSheetId="43" hidden="1">#REF!</definedName>
    <definedName name="__123Graph_AFACTURAC" localSheetId="6" hidden="1">#REF!</definedName>
    <definedName name="__123Graph_AFACTURAC" localSheetId="7" hidden="1">#REF!</definedName>
    <definedName name="__123Graph_AFACTURAC" localSheetId="10" hidden="1">#REF!</definedName>
    <definedName name="__123Graph_AFACTURAC" localSheetId="11" hidden="1">#REF!</definedName>
    <definedName name="__123Graph_AFACTURAC" localSheetId="12" hidden="1">#REF!</definedName>
    <definedName name="__123Graph_AFACTURAC" localSheetId="13" hidden="1">#REF!</definedName>
    <definedName name="__123Graph_AFACTURAC" localSheetId="14" hidden="1">#REF!</definedName>
    <definedName name="__123Graph_AFACTURAC" localSheetId="15" hidden="1">#REF!</definedName>
    <definedName name="__123Graph_AFACTURAC" localSheetId="16" hidden="1">#REF!</definedName>
    <definedName name="__123Graph_AFACTURAC" localSheetId="19" hidden="1">#REF!</definedName>
    <definedName name="__123Graph_AFACTURAC" localSheetId="30" hidden="1">#REF!</definedName>
    <definedName name="__123Graph_AFACTURAC" hidden="1">#REF!</definedName>
    <definedName name="__123Graph_AGraph2" localSheetId="43" hidden="1">#REF!</definedName>
    <definedName name="__123Graph_AGraph2" localSheetId="6" hidden="1">#REF!</definedName>
    <definedName name="__123Graph_AGraph2" localSheetId="7" hidden="1">#REF!</definedName>
    <definedName name="__123Graph_AGraph2" localSheetId="10" hidden="1">#REF!</definedName>
    <definedName name="__123Graph_AGraph2" localSheetId="11" hidden="1">#REF!</definedName>
    <definedName name="__123Graph_AGraph2" localSheetId="12" hidden="1">#REF!</definedName>
    <definedName name="__123Graph_AGraph2" localSheetId="13" hidden="1">#REF!</definedName>
    <definedName name="__123Graph_AGraph2" localSheetId="14" hidden="1">#REF!</definedName>
    <definedName name="__123Graph_AGraph2" localSheetId="15" hidden="1">#REF!</definedName>
    <definedName name="__123Graph_AGraph2" localSheetId="16" hidden="1">#REF!</definedName>
    <definedName name="__123Graph_AGraph2" localSheetId="19" hidden="1">#REF!</definedName>
    <definedName name="__123Graph_AGraph2" localSheetId="30" hidden="1">#REF!</definedName>
    <definedName name="__123Graph_AGraph2" hidden="1">#REF!</definedName>
    <definedName name="__123Graph_B" localSheetId="43" hidden="1">#REF!</definedName>
    <definedName name="__123Graph_B" localSheetId="6" hidden="1">#REF!</definedName>
    <definedName name="__123Graph_B" localSheetId="7" hidden="1">#REF!</definedName>
    <definedName name="__123Graph_B" localSheetId="10" hidden="1">#REF!</definedName>
    <definedName name="__123Graph_B" localSheetId="11" hidden="1">#REF!</definedName>
    <definedName name="__123Graph_B" localSheetId="12" hidden="1">#REF!</definedName>
    <definedName name="__123Graph_B" localSheetId="13" hidden="1">#REF!</definedName>
    <definedName name="__123Graph_B" localSheetId="14" hidden="1">#REF!</definedName>
    <definedName name="__123Graph_B" localSheetId="15" hidden="1">#REF!</definedName>
    <definedName name="__123Graph_B" localSheetId="16" hidden="1">#REF!</definedName>
    <definedName name="__123Graph_B" localSheetId="19" hidden="1">#REF!</definedName>
    <definedName name="__123Graph_B" localSheetId="30" hidden="1">#REF!</definedName>
    <definedName name="__123Graph_B" hidden="1">#REF!</definedName>
    <definedName name="__123Graph_Bcaja" localSheetId="43" hidden="1">#REF!</definedName>
    <definedName name="__123Graph_Bcaja" localSheetId="6" hidden="1">#REF!</definedName>
    <definedName name="__123Graph_Bcaja" localSheetId="7" hidden="1">#REF!</definedName>
    <definedName name="__123Graph_Bcaja" localSheetId="10" hidden="1">#REF!</definedName>
    <definedName name="__123Graph_Bcaja" localSheetId="11" hidden="1">#REF!</definedName>
    <definedName name="__123Graph_Bcaja" localSheetId="12" hidden="1">#REF!</definedName>
    <definedName name="__123Graph_Bcaja" localSheetId="13" hidden="1">#REF!</definedName>
    <definedName name="__123Graph_Bcaja" localSheetId="14" hidden="1">#REF!</definedName>
    <definedName name="__123Graph_Bcaja" localSheetId="15" hidden="1">#REF!</definedName>
    <definedName name="__123Graph_Bcaja" localSheetId="16" hidden="1">#REF!</definedName>
    <definedName name="__123Graph_Bcaja" localSheetId="19" hidden="1">#REF!</definedName>
    <definedName name="__123Graph_Bcaja" localSheetId="30" hidden="1">#REF!</definedName>
    <definedName name="__123Graph_Bcaja" hidden="1">#REF!</definedName>
    <definedName name="__123Graph_BCart_AnticAdic" localSheetId="43" hidden="1">#REF!</definedName>
    <definedName name="__123Graph_BCart_AnticAdic" localSheetId="6" hidden="1">#REF!</definedName>
    <definedName name="__123Graph_BCart_AnticAdic" localSheetId="7" hidden="1">#REF!</definedName>
    <definedName name="__123Graph_BCart_AnticAdic" localSheetId="10" hidden="1">#REF!</definedName>
    <definedName name="__123Graph_BCart_AnticAdic" localSheetId="11" hidden="1">#REF!</definedName>
    <definedName name="__123Graph_BCart_AnticAdic" localSheetId="12" hidden="1">#REF!</definedName>
    <definedName name="__123Graph_BCart_AnticAdic" localSheetId="13" hidden="1">#REF!</definedName>
    <definedName name="__123Graph_BCart_AnticAdic" localSheetId="14" hidden="1">#REF!</definedName>
    <definedName name="__123Graph_BCart_AnticAdic" localSheetId="15" hidden="1">#REF!</definedName>
    <definedName name="__123Graph_BCart_AnticAdic" localSheetId="16" hidden="1">#REF!</definedName>
    <definedName name="__123Graph_BCart_AnticAdic" localSheetId="19" hidden="1">#REF!</definedName>
    <definedName name="__123Graph_BCart_AnticAdic" localSheetId="30" hidden="1">#REF!</definedName>
    <definedName name="__123Graph_BCart_AnticAdic" hidden="1">#REF!</definedName>
    <definedName name="__123Graph_Ccaja" localSheetId="43" hidden="1">#REF!</definedName>
    <definedName name="__123Graph_Ccaja" localSheetId="6" hidden="1">#REF!</definedName>
    <definedName name="__123Graph_Ccaja" localSheetId="7" hidden="1">#REF!</definedName>
    <definedName name="__123Graph_Ccaja" localSheetId="10" hidden="1">#REF!</definedName>
    <definedName name="__123Graph_Ccaja" localSheetId="11" hidden="1">#REF!</definedName>
    <definedName name="__123Graph_Ccaja" localSheetId="12" hidden="1">#REF!</definedName>
    <definedName name="__123Graph_Ccaja" localSheetId="13" hidden="1">#REF!</definedName>
    <definedName name="__123Graph_Ccaja" localSheetId="14" hidden="1">#REF!</definedName>
    <definedName name="__123Graph_Ccaja" localSheetId="15" hidden="1">#REF!</definedName>
    <definedName name="__123Graph_Ccaja" localSheetId="16" hidden="1">#REF!</definedName>
    <definedName name="__123Graph_Ccaja" localSheetId="19" hidden="1">#REF!</definedName>
    <definedName name="__123Graph_Ccaja" localSheetId="30" hidden="1">#REF!</definedName>
    <definedName name="__123Graph_Ccaja" hidden="1">#REF!</definedName>
    <definedName name="__123Graph_CCart_AnticAdic" localSheetId="43" hidden="1">#REF!</definedName>
    <definedName name="__123Graph_CCart_AnticAdic" localSheetId="6" hidden="1">#REF!</definedName>
    <definedName name="__123Graph_CCart_AnticAdic" localSheetId="7" hidden="1">#REF!</definedName>
    <definedName name="__123Graph_CCart_AnticAdic" localSheetId="10" hidden="1">#REF!</definedName>
    <definedName name="__123Graph_CCart_AnticAdic" localSheetId="11" hidden="1">#REF!</definedName>
    <definedName name="__123Graph_CCart_AnticAdic" localSheetId="12" hidden="1">#REF!</definedName>
    <definedName name="__123Graph_CCart_AnticAdic" localSheetId="13" hidden="1">#REF!</definedName>
    <definedName name="__123Graph_CCart_AnticAdic" localSheetId="14" hidden="1">#REF!</definedName>
    <definedName name="__123Graph_CCart_AnticAdic" localSheetId="15" hidden="1">#REF!</definedName>
    <definedName name="__123Graph_CCart_AnticAdic" localSheetId="16" hidden="1">#REF!</definedName>
    <definedName name="__123Graph_CCart_AnticAdic" localSheetId="19" hidden="1">#REF!</definedName>
    <definedName name="__123Graph_CCart_AnticAdic" localSheetId="30" hidden="1">#REF!</definedName>
    <definedName name="__123Graph_CCart_AnticAdic" hidden="1">#REF!</definedName>
    <definedName name="__123Graph_Dcaja" localSheetId="43" hidden="1">#REF!</definedName>
    <definedName name="__123Graph_Dcaja" localSheetId="6" hidden="1">#REF!</definedName>
    <definedName name="__123Graph_Dcaja" localSheetId="7" hidden="1">#REF!</definedName>
    <definedName name="__123Graph_Dcaja" localSheetId="10" hidden="1">#REF!</definedName>
    <definedName name="__123Graph_Dcaja" localSheetId="11" hidden="1">#REF!</definedName>
    <definedName name="__123Graph_Dcaja" localSheetId="12" hidden="1">#REF!</definedName>
    <definedName name="__123Graph_Dcaja" localSheetId="13" hidden="1">#REF!</definedName>
    <definedName name="__123Graph_Dcaja" localSheetId="14" hidden="1">#REF!</definedName>
    <definedName name="__123Graph_Dcaja" localSheetId="15" hidden="1">#REF!</definedName>
    <definedName name="__123Graph_Dcaja" localSheetId="16" hidden="1">#REF!</definedName>
    <definedName name="__123Graph_Dcaja" localSheetId="19" hidden="1">#REF!</definedName>
    <definedName name="__123Graph_Dcaja" localSheetId="30" hidden="1">#REF!</definedName>
    <definedName name="__123Graph_Dcaja" hidden="1">#REF!</definedName>
    <definedName name="__123Graph_DCart_AnticAdic" localSheetId="43" hidden="1">#REF!</definedName>
    <definedName name="__123Graph_DCart_AnticAdic" localSheetId="6" hidden="1">#REF!</definedName>
    <definedName name="__123Graph_DCart_AnticAdic" localSheetId="7" hidden="1">#REF!</definedName>
    <definedName name="__123Graph_DCart_AnticAdic" localSheetId="10" hidden="1">#REF!</definedName>
    <definedName name="__123Graph_DCart_AnticAdic" localSheetId="11" hidden="1">#REF!</definedName>
    <definedName name="__123Graph_DCart_AnticAdic" localSheetId="12" hidden="1">#REF!</definedName>
    <definedName name="__123Graph_DCart_AnticAdic" localSheetId="13" hidden="1">#REF!</definedName>
    <definedName name="__123Graph_DCart_AnticAdic" localSheetId="14" hidden="1">#REF!</definedName>
    <definedName name="__123Graph_DCart_AnticAdic" localSheetId="15" hidden="1">#REF!</definedName>
    <definedName name="__123Graph_DCart_AnticAdic" localSheetId="16" hidden="1">#REF!</definedName>
    <definedName name="__123Graph_DCart_AnticAdic" localSheetId="19" hidden="1">#REF!</definedName>
    <definedName name="__123Graph_DCart_AnticAdic" localSheetId="30" hidden="1">#REF!</definedName>
    <definedName name="__123Graph_DCart_AnticAdic" hidden="1">#REF!</definedName>
    <definedName name="__123Graph_ECart_AnticAdic" localSheetId="43" hidden="1">#REF!</definedName>
    <definedName name="__123Graph_ECart_AnticAdic" localSheetId="6" hidden="1">#REF!</definedName>
    <definedName name="__123Graph_ECart_AnticAdic" localSheetId="7" hidden="1">#REF!</definedName>
    <definedName name="__123Graph_ECart_AnticAdic" localSheetId="10" hidden="1">#REF!</definedName>
    <definedName name="__123Graph_ECart_AnticAdic" localSheetId="11" hidden="1">#REF!</definedName>
    <definedName name="__123Graph_ECart_AnticAdic" localSheetId="12" hidden="1">#REF!</definedName>
    <definedName name="__123Graph_ECart_AnticAdic" localSheetId="13" hidden="1">#REF!</definedName>
    <definedName name="__123Graph_ECart_AnticAdic" localSheetId="14" hidden="1">#REF!</definedName>
    <definedName name="__123Graph_ECart_AnticAdic" localSheetId="15" hidden="1">#REF!</definedName>
    <definedName name="__123Graph_ECart_AnticAdic" localSheetId="16" hidden="1">#REF!</definedName>
    <definedName name="__123Graph_ECart_AnticAdic" localSheetId="19" hidden="1">#REF!</definedName>
    <definedName name="__123Graph_ECart_AnticAdic" localSheetId="30" hidden="1">#REF!</definedName>
    <definedName name="__123Graph_ECart_AnticAdic" hidden="1">#REF!</definedName>
    <definedName name="__123Graph_LBL_ACart_AnticAdic" localSheetId="43" hidden="1">#REF!</definedName>
    <definedName name="__123Graph_LBL_ACart_AnticAdic" localSheetId="6" hidden="1">#REF!</definedName>
    <definedName name="__123Graph_LBL_ACart_AnticAdic" localSheetId="7" hidden="1">#REF!</definedName>
    <definedName name="__123Graph_LBL_ACart_AnticAdic" localSheetId="10" hidden="1">#REF!</definedName>
    <definedName name="__123Graph_LBL_ACart_AnticAdic" localSheetId="11" hidden="1">#REF!</definedName>
    <definedName name="__123Graph_LBL_ACart_AnticAdic" localSheetId="12" hidden="1">#REF!</definedName>
    <definedName name="__123Graph_LBL_ACart_AnticAdic" localSheetId="13" hidden="1">#REF!</definedName>
    <definedName name="__123Graph_LBL_ACart_AnticAdic" localSheetId="14" hidden="1">#REF!</definedName>
    <definedName name="__123Graph_LBL_ACart_AnticAdic" localSheetId="15" hidden="1">#REF!</definedName>
    <definedName name="__123Graph_LBL_ACart_AnticAdic" localSheetId="16" hidden="1">#REF!</definedName>
    <definedName name="__123Graph_LBL_ACart_AnticAdic" localSheetId="19" hidden="1">#REF!</definedName>
    <definedName name="__123Graph_LBL_ACart_AnticAdic" localSheetId="30" hidden="1">#REF!</definedName>
    <definedName name="__123Graph_LBL_ACart_AnticAdic" hidden="1">#REF!</definedName>
    <definedName name="__123Graph_LBL_Ccaja" localSheetId="43" hidden="1">#REF!</definedName>
    <definedName name="__123Graph_LBL_Ccaja" localSheetId="6" hidden="1">#REF!</definedName>
    <definedName name="__123Graph_LBL_Ccaja" localSheetId="7" hidden="1">#REF!</definedName>
    <definedName name="__123Graph_LBL_Ccaja" localSheetId="10" hidden="1">#REF!</definedName>
    <definedName name="__123Graph_LBL_Ccaja" localSheetId="11" hidden="1">#REF!</definedName>
    <definedName name="__123Graph_LBL_Ccaja" localSheetId="12" hidden="1">#REF!</definedName>
    <definedName name="__123Graph_LBL_Ccaja" localSheetId="13" hidden="1">#REF!</definedName>
    <definedName name="__123Graph_LBL_Ccaja" localSheetId="14" hidden="1">#REF!</definedName>
    <definedName name="__123Graph_LBL_Ccaja" localSheetId="15" hidden="1">#REF!</definedName>
    <definedName name="__123Graph_LBL_Ccaja" localSheetId="16" hidden="1">#REF!</definedName>
    <definedName name="__123Graph_LBL_Ccaja" localSheetId="19" hidden="1">#REF!</definedName>
    <definedName name="__123Graph_LBL_Ccaja" localSheetId="30" hidden="1">#REF!</definedName>
    <definedName name="__123Graph_LBL_Ccaja" hidden="1">#REF!</definedName>
    <definedName name="__123Graph_LBL_DCart_AnticAdic" localSheetId="43" hidden="1">#REF!</definedName>
    <definedName name="__123Graph_LBL_DCart_AnticAdic" localSheetId="6" hidden="1">#REF!</definedName>
    <definedName name="__123Graph_LBL_DCart_AnticAdic" localSheetId="7" hidden="1">#REF!</definedName>
    <definedName name="__123Graph_LBL_DCart_AnticAdic" localSheetId="10" hidden="1">#REF!</definedName>
    <definedName name="__123Graph_LBL_DCart_AnticAdic" localSheetId="11" hidden="1">#REF!</definedName>
    <definedName name="__123Graph_LBL_DCart_AnticAdic" localSheetId="12" hidden="1">#REF!</definedName>
    <definedName name="__123Graph_LBL_DCart_AnticAdic" localSheetId="13" hidden="1">#REF!</definedName>
    <definedName name="__123Graph_LBL_DCart_AnticAdic" localSheetId="14" hidden="1">#REF!</definedName>
    <definedName name="__123Graph_LBL_DCart_AnticAdic" localSheetId="15" hidden="1">#REF!</definedName>
    <definedName name="__123Graph_LBL_DCart_AnticAdic" localSheetId="16" hidden="1">#REF!</definedName>
    <definedName name="__123Graph_LBL_DCart_AnticAdic" localSheetId="19" hidden="1">#REF!</definedName>
    <definedName name="__123Graph_LBL_DCart_AnticAdic" localSheetId="30" hidden="1">#REF!</definedName>
    <definedName name="__123Graph_LBL_DCart_AnticAdic" hidden="1">#REF!</definedName>
    <definedName name="__123Graph_X" localSheetId="43" hidden="1">#REF!</definedName>
    <definedName name="__123Graph_X" localSheetId="6" hidden="1">#REF!</definedName>
    <definedName name="__123Graph_X" localSheetId="7" hidden="1">#REF!</definedName>
    <definedName name="__123Graph_X" localSheetId="10" hidden="1">#REF!</definedName>
    <definedName name="__123Graph_X" localSheetId="11" hidden="1">#REF!</definedName>
    <definedName name="__123Graph_X" localSheetId="12" hidden="1">#REF!</definedName>
    <definedName name="__123Graph_X" localSheetId="13" hidden="1">#REF!</definedName>
    <definedName name="__123Graph_X" localSheetId="14" hidden="1">#REF!</definedName>
    <definedName name="__123Graph_X" localSheetId="15" hidden="1">#REF!</definedName>
    <definedName name="__123Graph_X" localSheetId="16" hidden="1">#REF!</definedName>
    <definedName name="__123Graph_X" localSheetId="19" hidden="1">#REF!</definedName>
    <definedName name="__123Graph_X" localSheetId="30" hidden="1">#REF!</definedName>
    <definedName name="__123Graph_X" hidden="1">#REF!</definedName>
    <definedName name="__123Graph_Xcaja" localSheetId="43" hidden="1">#REF!</definedName>
    <definedName name="__123Graph_Xcaja" localSheetId="6" hidden="1">#REF!</definedName>
    <definedName name="__123Graph_Xcaja" localSheetId="7" hidden="1">#REF!</definedName>
    <definedName name="__123Graph_Xcaja" localSheetId="10" hidden="1">#REF!</definedName>
    <definedName name="__123Graph_Xcaja" localSheetId="11" hidden="1">#REF!</definedName>
    <definedName name="__123Graph_Xcaja" localSheetId="12" hidden="1">#REF!</definedName>
    <definedName name="__123Graph_Xcaja" localSheetId="13" hidden="1">#REF!</definedName>
    <definedName name="__123Graph_Xcaja" localSheetId="14" hidden="1">#REF!</definedName>
    <definedName name="__123Graph_Xcaja" localSheetId="15" hidden="1">#REF!</definedName>
    <definedName name="__123Graph_Xcaja" localSheetId="16" hidden="1">#REF!</definedName>
    <definedName name="__123Graph_Xcaja" localSheetId="19" hidden="1">#REF!</definedName>
    <definedName name="__123Graph_Xcaja" localSheetId="30" hidden="1">#REF!</definedName>
    <definedName name="__123Graph_Xcaja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43" hidden="1">#REF!</definedName>
    <definedName name="__key2" localSheetId="6" hidden="1">#REF!</definedName>
    <definedName name="__key2" localSheetId="7" hidden="1">#REF!</definedName>
    <definedName name="__key2" localSheetId="10" hidden="1">#REF!</definedName>
    <definedName name="__key2" localSheetId="11" hidden="1">#REF!</definedName>
    <definedName name="__key2" localSheetId="12" hidden="1">#REF!</definedName>
    <definedName name="__key2" localSheetId="13" hidden="1">#REF!</definedName>
    <definedName name="__key2" localSheetId="14" hidden="1">#REF!</definedName>
    <definedName name="__key2" localSheetId="15" hidden="1">#REF!</definedName>
    <definedName name="__key2" localSheetId="16" hidden="1">#REF!</definedName>
    <definedName name="__key2" localSheetId="19" hidden="1">#REF!</definedName>
    <definedName name="__key2" localSheetId="30" hidden="1">#REF!</definedName>
    <definedName name="__key2" hidden="1">#REF!</definedName>
    <definedName name="__key21" localSheetId="43" hidden="1">#REF!</definedName>
    <definedName name="__key21" localSheetId="6" hidden="1">#REF!</definedName>
    <definedName name="__key21" localSheetId="7" hidden="1">#REF!</definedName>
    <definedName name="__key21" localSheetId="10" hidden="1">#REF!</definedName>
    <definedName name="__key21" localSheetId="11" hidden="1">#REF!</definedName>
    <definedName name="__key21" localSheetId="12" hidden="1">#REF!</definedName>
    <definedName name="__key21" localSheetId="13" hidden="1">#REF!</definedName>
    <definedName name="__key21" localSheetId="14" hidden="1">#REF!</definedName>
    <definedName name="__key21" localSheetId="15" hidden="1">#REF!</definedName>
    <definedName name="__key21" localSheetId="16" hidden="1">#REF!</definedName>
    <definedName name="__key21" localSheetId="19" hidden="1">#REF!</definedName>
    <definedName name="__key21" localSheetId="30" hidden="1">#REF!</definedName>
    <definedName name="__key21" hidden="1">#REF!</definedName>
    <definedName name="__key3" localSheetId="43" hidden="1">#REF!</definedName>
    <definedName name="__key3" localSheetId="6" hidden="1">#REF!</definedName>
    <definedName name="__key3" localSheetId="7" hidden="1">#REF!</definedName>
    <definedName name="__key3" localSheetId="10" hidden="1">#REF!</definedName>
    <definedName name="__key3" localSheetId="11" hidden="1">#REF!</definedName>
    <definedName name="__key3" localSheetId="12" hidden="1">#REF!</definedName>
    <definedName name="__key3" localSheetId="13" hidden="1">#REF!</definedName>
    <definedName name="__key3" localSheetId="14" hidden="1">#REF!</definedName>
    <definedName name="__key3" localSheetId="15" hidden="1">#REF!</definedName>
    <definedName name="__key3" localSheetId="16" hidden="1">#REF!</definedName>
    <definedName name="__key3" localSheetId="19" hidden="1">#REF!</definedName>
    <definedName name="__key3" localSheetId="30" hidden="1">#REF!</definedName>
    <definedName name="__key3" hidden="1">#REF!</definedName>
    <definedName name="__key31" localSheetId="43" hidden="1">#REF!</definedName>
    <definedName name="__key31" localSheetId="6" hidden="1">#REF!</definedName>
    <definedName name="__key31" localSheetId="7" hidden="1">#REF!</definedName>
    <definedName name="__key31" localSheetId="10" hidden="1">#REF!</definedName>
    <definedName name="__key31" localSheetId="11" hidden="1">#REF!</definedName>
    <definedName name="__key31" localSheetId="12" hidden="1">#REF!</definedName>
    <definedName name="__key31" localSheetId="13" hidden="1">#REF!</definedName>
    <definedName name="__key31" localSheetId="14" hidden="1">#REF!</definedName>
    <definedName name="__key31" localSheetId="15" hidden="1">#REF!</definedName>
    <definedName name="__key31" localSheetId="16" hidden="1">#REF!</definedName>
    <definedName name="__key31" localSheetId="19" hidden="1">#REF!</definedName>
    <definedName name="__key31" localSheetId="30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43" hidden="1">#REF!</definedName>
    <definedName name="_1__123Graph_ACart_Utilidad" localSheetId="6" hidden="1">#REF!</definedName>
    <definedName name="_1__123Graph_ACart_Utilidad" localSheetId="7" hidden="1">#REF!</definedName>
    <definedName name="_1__123Graph_ACart_Utilidad" localSheetId="10" hidden="1">#REF!</definedName>
    <definedName name="_1__123Graph_ACart_Utilidad" localSheetId="11" hidden="1">#REF!</definedName>
    <definedName name="_1__123Graph_ACart_Utilidad" localSheetId="12" hidden="1">#REF!</definedName>
    <definedName name="_1__123Graph_ACart_Utilidad" localSheetId="13" hidden="1">#REF!</definedName>
    <definedName name="_1__123Graph_ACart_Utilidad" localSheetId="14" hidden="1">#REF!</definedName>
    <definedName name="_1__123Graph_ACart_Utilidad" localSheetId="15" hidden="1">#REF!</definedName>
    <definedName name="_1__123Graph_ACart_Utilidad" localSheetId="16" hidden="1">#REF!</definedName>
    <definedName name="_1__123Graph_ACart_Utilidad" localSheetId="19" hidden="1">#REF!</definedName>
    <definedName name="_1__123Graph_ACart_Utilidad" localSheetId="30" hidden="1">#REF!</definedName>
    <definedName name="_1__123Graph_ACart_Utilidad" hidden="1">#REF!</definedName>
    <definedName name="_2__123Graph_BCart_Utilidad" localSheetId="43" hidden="1">#REF!</definedName>
    <definedName name="_2__123Graph_BCart_Utilidad" localSheetId="6" hidden="1">#REF!</definedName>
    <definedName name="_2__123Graph_BCart_Utilidad" localSheetId="7" hidden="1">#REF!</definedName>
    <definedName name="_2__123Graph_BCart_Utilidad" localSheetId="10" hidden="1">#REF!</definedName>
    <definedName name="_2__123Graph_BCart_Utilidad" localSheetId="11" hidden="1">#REF!</definedName>
    <definedName name="_2__123Graph_BCart_Utilidad" localSheetId="12" hidden="1">#REF!</definedName>
    <definedName name="_2__123Graph_BCart_Utilidad" localSheetId="13" hidden="1">#REF!</definedName>
    <definedName name="_2__123Graph_BCart_Utilidad" localSheetId="14" hidden="1">#REF!</definedName>
    <definedName name="_2__123Graph_BCart_Utilidad" localSheetId="15" hidden="1">#REF!</definedName>
    <definedName name="_2__123Graph_BCart_Utilidad" localSheetId="16" hidden="1">#REF!</definedName>
    <definedName name="_2__123Graph_BCart_Utilidad" localSheetId="19" hidden="1">#REF!</definedName>
    <definedName name="_2__123Graph_BCart_Utilidad" localSheetId="30" hidden="1">#REF!</definedName>
    <definedName name="_2__123Graph_BCart_Utilidad" hidden="1">#REF!</definedName>
    <definedName name="_3__123Graph_CCart_Utilidad" localSheetId="43" hidden="1">#REF!</definedName>
    <definedName name="_3__123Graph_CCart_Utilidad" localSheetId="6" hidden="1">#REF!</definedName>
    <definedName name="_3__123Graph_CCart_Utilidad" localSheetId="7" hidden="1">#REF!</definedName>
    <definedName name="_3__123Graph_CCart_Utilidad" localSheetId="10" hidden="1">#REF!</definedName>
    <definedName name="_3__123Graph_CCart_Utilidad" localSheetId="11" hidden="1">#REF!</definedName>
    <definedName name="_3__123Graph_CCart_Utilidad" localSheetId="12" hidden="1">#REF!</definedName>
    <definedName name="_3__123Graph_CCart_Utilidad" localSheetId="13" hidden="1">#REF!</definedName>
    <definedName name="_3__123Graph_CCart_Utilidad" localSheetId="14" hidden="1">#REF!</definedName>
    <definedName name="_3__123Graph_CCart_Utilidad" localSheetId="15" hidden="1">#REF!</definedName>
    <definedName name="_3__123Graph_CCart_Utilidad" localSheetId="16" hidden="1">#REF!</definedName>
    <definedName name="_3__123Graph_CCart_Utilidad" localSheetId="19" hidden="1">#REF!</definedName>
    <definedName name="_3__123Graph_CCart_Utilidad" localSheetId="30" hidden="1">#REF!</definedName>
    <definedName name="_3__123Graph_CCart_Utilidad" hidden="1">#REF!</definedName>
    <definedName name="_4__123Graph_LBL_ACart_Utilidad" localSheetId="43" hidden="1">#REF!</definedName>
    <definedName name="_4__123Graph_LBL_ACart_Utilidad" localSheetId="6" hidden="1">#REF!</definedName>
    <definedName name="_4__123Graph_LBL_ACart_Utilidad" localSheetId="7" hidden="1">#REF!</definedName>
    <definedName name="_4__123Graph_LBL_ACart_Utilidad" localSheetId="10" hidden="1">#REF!</definedName>
    <definedName name="_4__123Graph_LBL_ACart_Utilidad" localSheetId="11" hidden="1">#REF!</definedName>
    <definedName name="_4__123Graph_LBL_ACart_Utilidad" localSheetId="12" hidden="1">#REF!</definedName>
    <definedName name="_4__123Graph_LBL_ACart_Utilidad" localSheetId="13" hidden="1">#REF!</definedName>
    <definedName name="_4__123Graph_LBL_ACart_Utilidad" localSheetId="14" hidden="1">#REF!</definedName>
    <definedName name="_4__123Graph_LBL_ACart_Utilidad" localSheetId="15" hidden="1">#REF!</definedName>
    <definedName name="_4__123Graph_LBL_ACart_Utilidad" localSheetId="16" hidden="1">#REF!</definedName>
    <definedName name="_4__123Graph_LBL_ACart_Utilidad" localSheetId="19" hidden="1">#REF!</definedName>
    <definedName name="_4__123Graph_LBL_ACart_Utilidad" localSheetId="30" hidden="1">#REF!</definedName>
    <definedName name="_4__123Graph_LBL_ACart_Utilidad" hidden="1">#REF!</definedName>
    <definedName name="_5__123Graph_LBL_BCart_Utilidad" localSheetId="43" hidden="1">#REF!</definedName>
    <definedName name="_5__123Graph_LBL_BCart_Utilidad" localSheetId="6" hidden="1">#REF!</definedName>
    <definedName name="_5__123Graph_LBL_BCart_Utilidad" localSheetId="7" hidden="1">#REF!</definedName>
    <definedName name="_5__123Graph_LBL_BCart_Utilidad" localSheetId="10" hidden="1">#REF!</definedName>
    <definedName name="_5__123Graph_LBL_BCart_Utilidad" localSheetId="11" hidden="1">#REF!</definedName>
    <definedName name="_5__123Graph_LBL_BCart_Utilidad" localSheetId="12" hidden="1">#REF!</definedName>
    <definedName name="_5__123Graph_LBL_BCart_Utilidad" localSheetId="13" hidden="1">#REF!</definedName>
    <definedName name="_5__123Graph_LBL_BCart_Utilidad" localSheetId="14" hidden="1">#REF!</definedName>
    <definedName name="_5__123Graph_LBL_BCart_Utilidad" localSheetId="15" hidden="1">#REF!</definedName>
    <definedName name="_5__123Graph_LBL_BCart_Utilidad" localSheetId="16" hidden="1">#REF!</definedName>
    <definedName name="_5__123Graph_LBL_BCart_Utilidad" localSheetId="19" hidden="1">#REF!</definedName>
    <definedName name="_5__123Graph_LBL_BCart_Utilidad" localSheetId="30" hidden="1">#REF!</definedName>
    <definedName name="_5__123Graph_LBL_BCart_Utilidad" hidden="1">#REF!</definedName>
    <definedName name="_6__123Graph_LBL_CCart_Utilidad" localSheetId="43" hidden="1">#REF!</definedName>
    <definedName name="_6__123Graph_LBL_CCart_Utilidad" localSheetId="6" hidden="1">#REF!</definedName>
    <definedName name="_6__123Graph_LBL_CCart_Utilidad" localSheetId="7" hidden="1">#REF!</definedName>
    <definedName name="_6__123Graph_LBL_CCart_Utilidad" localSheetId="10" hidden="1">#REF!</definedName>
    <definedName name="_6__123Graph_LBL_CCart_Utilidad" localSheetId="11" hidden="1">#REF!</definedName>
    <definedName name="_6__123Graph_LBL_CCart_Utilidad" localSheetId="12" hidden="1">#REF!</definedName>
    <definedName name="_6__123Graph_LBL_CCart_Utilidad" localSheetId="13" hidden="1">#REF!</definedName>
    <definedName name="_6__123Graph_LBL_CCart_Utilidad" localSheetId="14" hidden="1">#REF!</definedName>
    <definedName name="_6__123Graph_LBL_CCart_Utilidad" localSheetId="15" hidden="1">#REF!</definedName>
    <definedName name="_6__123Graph_LBL_CCart_Utilidad" localSheetId="16" hidden="1">#REF!</definedName>
    <definedName name="_6__123Graph_LBL_CCart_Utilidad" localSheetId="19" hidden="1">#REF!</definedName>
    <definedName name="_6__123Graph_LBL_CCart_Utilidad" localSheetId="30" hidden="1">#REF!</definedName>
    <definedName name="_6__123Graph_LBL_CCart_Utilidad" hidden="1">#REF!</definedName>
    <definedName name="_7__123Graph_XCart_Utilidad" localSheetId="43" hidden="1">#REF!</definedName>
    <definedName name="_7__123Graph_XCart_Utilidad" localSheetId="6" hidden="1">#REF!</definedName>
    <definedName name="_7__123Graph_XCart_Utilidad" localSheetId="7" hidden="1">#REF!</definedName>
    <definedName name="_7__123Graph_XCart_Utilidad" localSheetId="10" hidden="1">#REF!</definedName>
    <definedName name="_7__123Graph_XCart_Utilidad" localSheetId="11" hidden="1">#REF!</definedName>
    <definedName name="_7__123Graph_XCart_Utilidad" localSheetId="12" hidden="1">#REF!</definedName>
    <definedName name="_7__123Graph_XCart_Utilidad" localSheetId="13" hidden="1">#REF!</definedName>
    <definedName name="_7__123Graph_XCart_Utilidad" localSheetId="14" hidden="1">#REF!</definedName>
    <definedName name="_7__123Graph_XCart_Utilidad" localSheetId="15" hidden="1">#REF!</definedName>
    <definedName name="_7__123Graph_XCart_Utilidad" localSheetId="16" hidden="1">#REF!</definedName>
    <definedName name="_7__123Graph_XCart_Utilidad" localSheetId="19" hidden="1">#REF!</definedName>
    <definedName name="_7__123Graph_XCart_Utilidad" localSheetId="30" hidden="1">#REF!</definedName>
    <definedName name="_7__123Graph_XCart_Utilidad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43" hidden="1">#REF!</definedName>
    <definedName name="_Fill" localSheetId="6" hidden="1">#REF!</definedName>
    <definedName name="_Fill" localSheetId="7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9" hidden="1">#REF!</definedName>
    <definedName name="_Fill" localSheetId="30" hidden="1">#REF!</definedName>
    <definedName name="_Fill" hidden="1">#REF!</definedName>
    <definedName name="_xlnm._FilterDatabase" localSheetId="43" hidden="1">#REF!</definedName>
    <definedName name="_xlnm._FilterDatabase" localSheetId="6" hidden="1">#REF!</definedName>
    <definedName name="_xlnm._FilterDatabase" localSheetId="7" hidden="1">#REF!</definedName>
    <definedName name="_xlnm._FilterDatabase" localSheetId="10" hidden="1">#REF!</definedName>
    <definedName name="_xlnm._FilterDatabase" localSheetId="11" hidden="1">#REF!</definedName>
    <definedName name="_xlnm._FilterDatabase" localSheetId="12" hidden="1">#REF!</definedName>
    <definedName name="_xlnm._FilterDatabase" localSheetId="13" hidden="1">#REF!</definedName>
    <definedName name="_xlnm._FilterDatabase" localSheetId="14" hidden="1">#REF!</definedName>
    <definedName name="_xlnm._FilterDatabase" localSheetId="15" hidden="1">#REF!</definedName>
    <definedName name="_xlnm._FilterDatabase" localSheetId="16" hidden="1">#REF!</definedName>
    <definedName name="_xlnm._FilterDatabase" localSheetId="19" hidden="1">#REF!</definedName>
    <definedName name="_xlnm._FilterDatabase" localSheetId="30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43" hidden="1">#REF!</definedName>
    <definedName name="_Key1" localSheetId="6" hidden="1">#REF!</definedName>
    <definedName name="_Key1" localSheetId="7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9" hidden="1">#REF!</definedName>
    <definedName name="_Key1" localSheetId="30" hidden="1">#REF!</definedName>
    <definedName name="_Key1" hidden="1">#REF!</definedName>
    <definedName name="_Key11" localSheetId="43" hidden="1">#REF!</definedName>
    <definedName name="_Key11" localSheetId="6" hidden="1">#REF!</definedName>
    <definedName name="_Key11" localSheetId="7" hidden="1">#REF!</definedName>
    <definedName name="_Key11" localSheetId="10" hidden="1">#REF!</definedName>
    <definedName name="_Key11" localSheetId="11" hidden="1">#REF!</definedName>
    <definedName name="_Key11" localSheetId="12" hidden="1">#REF!</definedName>
    <definedName name="_Key11" localSheetId="13" hidden="1">#REF!</definedName>
    <definedName name="_Key11" localSheetId="14" hidden="1">#REF!</definedName>
    <definedName name="_Key11" localSheetId="15" hidden="1">#REF!</definedName>
    <definedName name="_Key11" localSheetId="16" hidden="1">#REF!</definedName>
    <definedName name="_Key11" localSheetId="19" hidden="1">#REF!</definedName>
    <definedName name="_Key11" localSheetId="30" hidden="1">#REF!</definedName>
    <definedName name="_Key11" hidden="1">#REF!</definedName>
    <definedName name="_Key2" localSheetId="43" hidden="1">#REF!</definedName>
    <definedName name="_Key2" localSheetId="6" hidden="1">#REF!</definedName>
    <definedName name="_Key2" localSheetId="7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13" hidden="1">#REF!</definedName>
    <definedName name="_Key2" localSheetId="14" hidden="1">#REF!</definedName>
    <definedName name="_Key2" localSheetId="15" hidden="1">#REF!</definedName>
    <definedName name="_Key2" localSheetId="16" hidden="1">#REF!</definedName>
    <definedName name="_Key2" localSheetId="19" hidden="1">#REF!</definedName>
    <definedName name="_Key2" localSheetId="30" hidden="1">#REF!</definedName>
    <definedName name="_Key2" hidden="1">#REF!</definedName>
    <definedName name="_Key21" localSheetId="43" hidden="1">#REF!</definedName>
    <definedName name="_Key21" localSheetId="6" hidden="1">#REF!</definedName>
    <definedName name="_Key21" localSheetId="7" hidden="1">#REF!</definedName>
    <definedName name="_Key21" localSheetId="10" hidden="1">#REF!</definedName>
    <definedName name="_Key21" localSheetId="11" hidden="1">#REF!</definedName>
    <definedName name="_Key21" localSheetId="12" hidden="1">#REF!</definedName>
    <definedName name="_Key21" localSheetId="13" hidden="1">#REF!</definedName>
    <definedName name="_Key21" localSheetId="14" hidden="1">#REF!</definedName>
    <definedName name="_Key21" localSheetId="15" hidden="1">#REF!</definedName>
    <definedName name="_Key21" localSheetId="16" hidden="1">#REF!</definedName>
    <definedName name="_Key21" localSheetId="19" hidden="1">#REF!</definedName>
    <definedName name="_Key21" localSheetId="30" hidden="1">#REF!</definedName>
    <definedName name="_Key21" hidden="1">#REF!</definedName>
    <definedName name="_key3" localSheetId="43" hidden="1">#REF!</definedName>
    <definedName name="_key3" localSheetId="6" hidden="1">#REF!</definedName>
    <definedName name="_key3" localSheetId="7" hidden="1">#REF!</definedName>
    <definedName name="_key3" localSheetId="10" hidden="1">#REF!</definedName>
    <definedName name="_key3" localSheetId="11" hidden="1">#REF!</definedName>
    <definedName name="_key3" localSheetId="12" hidden="1">#REF!</definedName>
    <definedName name="_key3" localSheetId="13" hidden="1">#REF!</definedName>
    <definedName name="_key3" localSheetId="14" hidden="1">#REF!</definedName>
    <definedName name="_key3" localSheetId="15" hidden="1">#REF!</definedName>
    <definedName name="_key3" localSheetId="16" hidden="1">#REF!</definedName>
    <definedName name="_key3" localSheetId="19" hidden="1">#REF!</definedName>
    <definedName name="_key3" localSheetId="30" hidden="1">#REF!</definedName>
    <definedName name="_key3" hidden="1">#REF!</definedName>
    <definedName name="_key31" localSheetId="43" hidden="1">#REF!</definedName>
    <definedName name="_key31" localSheetId="6" hidden="1">#REF!</definedName>
    <definedName name="_key31" localSheetId="7" hidden="1">#REF!</definedName>
    <definedName name="_key31" localSheetId="10" hidden="1">#REF!</definedName>
    <definedName name="_key31" localSheetId="11" hidden="1">#REF!</definedName>
    <definedName name="_key31" localSheetId="12" hidden="1">#REF!</definedName>
    <definedName name="_key31" localSheetId="13" hidden="1">#REF!</definedName>
    <definedName name="_key31" localSheetId="14" hidden="1">#REF!</definedName>
    <definedName name="_key31" localSheetId="15" hidden="1">#REF!</definedName>
    <definedName name="_key31" localSheetId="16" hidden="1">#REF!</definedName>
    <definedName name="_key31" localSheetId="19" hidden="1">#REF!</definedName>
    <definedName name="_key31" localSheetId="3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43" hidden="1">#REF!</definedName>
    <definedName name="_Parse_Out" localSheetId="6" hidden="1">#REF!</definedName>
    <definedName name="_Parse_Out" localSheetId="7" hidden="1">#REF!</definedName>
    <definedName name="_Parse_Out" localSheetId="10" hidden="1">#REF!</definedName>
    <definedName name="_Parse_Out" localSheetId="11" hidden="1">#REF!</definedName>
    <definedName name="_Parse_Out" localSheetId="12" hidden="1">#REF!</definedName>
    <definedName name="_Parse_Out" localSheetId="13" hidden="1">#REF!</definedName>
    <definedName name="_Parse_Out" localSheetId="14" hidden="1">#REF!</definedName>
    <definedName name="_Parse_Out" localSheetId="15" hidden="1">#REF!</definedName>
    <definedName name="_Parse_Out" localSheetId="16" hidden="1">#REF!</definedName>
    <definedName name="_Parse_Out" localSheetId="19" hidden="1">#REF!</definedName>
    <definedName name="_Parse_Out" localSheetId="30" hidden="1">#REF!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localSheetId="43" hidden="1">#REF!</definedName>
    <definedName name="_Sort" localSheetId="6" hidden="1">#REF!</definedName>
    <definedName name="_Sort" localSheetId="7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9" hidden="1">#REF!</definedName>
    <definedName name="_Sort" localSheetId="30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43" hidden="1">#REF!</definedName>
    <definedName name="_unj1" localSheetId="6" hidden="1">#REF!</definedName>
    <definedName name="_unj1" localSheetId="7" hidden="1">#REF!</definedName>
    <definedName name="_unj1" localSheetId="10" hidden="1">#REF!</definedName>
    <definedName name="_unj1" localSheetId="11" hidden="1">#REF!</definedName>
    <definedName name="_unj1" localSheetId="12" hidden="1">#REF!</definedName>
    <definedName name="_unj1" localSheetId="13" hidden="1">#REF!</definedName>
    <definedName name="_unj1" localSheetId="14" hidden="1">#REF!</definedName>
    <definedName name="_unj1" localSheetId="15" hidden="1">#REF!</definedName>
    <definedName name="_unj1" localSheetId="16" hidden="1">#REF!</definedName>
    <definedName name="_unj1" localSheetId="19" hidden="1">#REF!</definedName>
    <definedName name="_unj1" localSheetId="30" hidden="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localSheetId="43" hidden="1">#REF!</definedName>
    <definedName name="aaaabbb" localSheetId="6" hidden="1">#REF!</definedName>
    <definedName name="aaaabbb" localSheetId="7" hidden="1">#REF!</definedName>
    <definedName name="aaaabbb" localSheetId="10" hidden="1">#REF!</definedName>
    <definedName name="aaaabbb" localSheetId="11" hidden="1">#REF!</definedName>
    <definedName name="aaaabbb" localSheetId="12" hidden="1">#REF!</definedName>
    <definedName name="aaaabbb" localSheetId="13" hidden="1">#REF!</definedName>
    <definedName name="aaaabbb" localSheetId="14" hidden="1">#REF!</definedName>
    <definedName name="aaaabbb" localSheetId="15" hidden="1">#REF!</definedName>
    <definedName name="aaaabbb" localSheetId="16" hidden="1">#REF!</definedName>
    <definedName name="aaaabbb" localSheetId="19" hidden="1">#REF!</definedName>
    <definedName name="aaaabbb" localSheetId="30" hidden="1">#REF!</definedName>
    <definedName name="aaaabbb" hidden="1">#REF!</definedName>
    <definedName name="aas" hidden="1">{"TAB1",#N/A,TRUE,"GENERAL";"TAB2",#N/A,TRUE,"GENERAL";"TAB3",#N/A,TRUE,"GENERAL";"TAB4",#N/A,TRUE,"GENERAL";"TAB5",#N/A,TRUE,"GENERAL"}</definedName>
    <definedName name="abbb" localSheetId="43" hidden="1">#REF!</definedName>
    <definedName name="abbb" localSheetId="6" hidden="1">#REF!</definedName>
    <definedName name="abbb" localSheetId="7" hidden="1">#REF!</definedName>
    <definedName name="abbb" localSheetId="10" hidden="1">#REF!</definedName>
    <definedName name="abbb" localSheetId="11" hidden="1">#REF!</definedName>
    <definedName name="abbb" localSheetId="12" hidden="1">#REF!</definedName>
    <definedName name="abbb" localSheetId="13" hidden="1">#REF!</definedName>
    <definedName name="abbb" localSheetId="14" hidden="1">#REF!</definedName>
    <definedName name="abbb" localSheetId="15" hidden="1">#REF!</definedName>
    <definedName name="abbb" localSheetId="16" hidden="1">#REF!</definedName>
    <definedName name="abbb" localSheetId="19" hidden="1">#REF!</definedName>
    <definedName name="abbb" localSheetId="30" hidden="1">#REF!</definedName>
    <definedName name="abbb" hidden="1">#REF!</definedName>
    <definedName name="ABCD" localSheetId="43" hidden="1">#REF!</definedName>
    <definedName name="ABCD" localSheetId="6" hidden="1">#REF!</definedName>
    <definedName name="ABCD" localSheetId="7" hidden="1">#REF!</definedName>
    <definedName name="ABCD" localSheetId="10" hidden="1">#REF!</definedName>
    <definedName name="ABCD" localSheetId="11" hidden="1">#REF!</definedName>
    <definedName name="ABCD" localSheetId="12" hidden="1">#REF!</definedName>
    <definedName name="ABCD" localSheetId="13" hidden="1">#REF!</definedName>
    <definedName name="ABCD" localSheetId="14" hidden="1">#REF!</definedName>
    <definedName name="ABCD" localSheetId="15" hidden="1">#REF!</definedName>
    <definedName name="ABCD" localSheetId="16" hidden="1">#REF!</definedName>
    <definedName name="ABCD" localSheetId="19" hidden="1">#REF!</definedName>
    <definedName name="ABCD" localSheetId="30" hidden="1">#REF!</definedName>
    <definedName name="ABCD" hidden="1">#REF!</definedName>
    <definedName name="ABCDE" localSheetId="43" hidden="1">#REF!</definedName>
    <definedName name="ABCDE" localSheetId="6" hidden="1">#REF!</definedName>
    <definedName name="ABCDE" localSheetId="7" hidden="1">#REF!</definedName>
    <definedName name="ABCDE" localSheetId="10" hidden="1">#REF!</definedName>
    <definedName name="ABCDE" localSheetId="11" hidden="1">#REF!</definedName>
    <definedName name="ABCDE" localSheetId="12" hidden="1">#REF!</definedName>
    <definedName name="ABCDE" localSheetId="13" hidden="1">#REF!</definedName>
    <definedName name="ABCDE" localSheetId="14" hidden="1">#REF!</definedName>
    <definedName name="ABCDE" localSheetId="15" hidden="1">#REF!</definedName>
    <definedName name="ABCDE" localSheetId="16" hidden="1">#REF!</definedName>
    <definedName name="ABCDE" localSheetId="19" hidden="1">#REF!</definedName>
    <definedName name="ABCDE" localSheetId="30" hidden="1">#REF!</definedName>
    <definedName name="ABCDE" hidden="1">#REF!</definedName>
    <definedName name="AccessDatabase" hidden="1">"A:\SAIN.mdb"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wg" localSheetId="43" hidden="1">#REF!</definedName>
    <definedName name="afwg" localSheetId="6" hidden="1">#REF!</definedName>
    <definedName name="afwg" localSheetId="7" hidden="1">#REF!</definedName>
    <definedName name="afwg" localSheetId="10" hidden="1">#REF!</definedName>
    <definedName name="afwg" localSheetId="11" hidden="1">#REF!</definedName>
    <definedName name="afwg" localSheetId="12" hidden="1">#REF!</definedName>
    <definedName name="afwg" localSheetId="13" hidden="1">#REF!</definedName>
    <definedName name="afwg" localSheetId="14" hidden="1">#REF!</definedName>
    <definedName name="afwg" localSheetId="15" hidden="1">#REF!</definedName>
    <definedName name="afwg" localSheetId="16" hidden="1">#REF!</definedName>
    <definedName name="afwg" localSheetId="19" hidden="1">#REF!</definedName>
    <definedName name="afwg" localSheetId="30" hidden="1">#REF!</definedName>
    <definedName name="afwg" hidden="1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2">'1.1 localizacion'!$A$1:$H$41</definedName>
    <definedName name="_xlnm.Print_Area" localSheetId="3">'1.2 Valla'!$A$1:$H$43</definedName>
    <definedName name="_xlnm.Print_Area" localSheetId="4">'1.3 señal '!$A$1:$H$43</definedName>
    <definedName name="_xlnm.Print_Area" localSheetId="5">'1.4 Cerramiento '!$A$1:$H$44</definedName>
    <definedName name="_xlnm.Print_Area" localSheetId="6">'2.1 Desmonte teja'!$A$1:$H$45</definedName>
    <definedName name="_xlnm.Print_Area" localSheetId="7">'2.2 Desmonte cielo raso'!$A$1:$H$44</definedName>
    <definedName name="_xlnm.Print_Area" localSheetId="8">'2.3 Desmonte Madera'!$A$1:$H$41</definedName>
    <definedName name="_xlnm.Print_Area" localSheetId="10">'3.1. Teja termoacustica'!$A$1:$H$45</definedName>
    <definedName name="_xlnm.Print_Area" localSheetId="11">'3.2 Caballete termo'!$A$1:$H$45</definedName>
    <definedName name="_xlnm.Print_Area" localSheetId="12">'3.3 Impermiabiliazación'!$A$1:$H$43</definedName>
    <definedName name="_xlnm.Print_Area" localSheetId="13">'3.4 Canal'!$A$1:$H$47</definedName>
    <definedName name="_xlnm.Print_Area" localSheetId="14">'3.5 Bajante'!$A$1:$H$47</definedName>
    <definedName name="_xlnm.Print_Area" localSheetId="15">'3.6 Recorrido cubierta'!$A$1:$H$45</definedName>
    <definedName name="_xlnm.Print_Area" localSheetId="58">'4,3'!$A$1:$K$27</definedName>
    <definedName name="_xlnm.Print_Area" localSheetId="16">'4.1 cielo raso pvc'!$A$1:$H$46</definedName>
    <definedName name="_xlnm.Print_Area" localSheetId="19">'4.2 luminarias'!$A$1:$H$43</definedName>
    <definedName name="_xlnm.Print_Area" localSheetId="61">'5.1'!$A$1:$K$27</definedName>
    <definedName name="_xlnm.Print_Area" localSheetId="62">'5.2'!$A$1:$K$34</definedName>
    <definedName name="_xlnm.Print_Area" localSheetId="63">'5.3'!$A$1:$K$23</definedName>
    <definedName name="_xlnm.Print_Area" localSheetId="64">'5.4'!$A$1:$K$22</definedName>
    <definedName name="_xlnm.Print_Area" localSheetId="65">'6.1'!$A$1:$K$22</definedName>
    <definedName name="_xlnm.Print_Area" localSheetId="66">'6.2'!$A$1:$K$22</definedName>
    <definedName name="_xlnm.Print_Area" localSheetId="67">'6.3'!$A$1:$K$22</definedName>
    <definedName name="_xlnm.Print_Area" localSheetId="68">'6.4'!$A$1:$K$22</definedName>
    <definedName name="_xlnm.Print_Area" localSheetId="69">'6.5'!$A$1:$K$22</definedName>
    <definedName name="_xlnm.Print_Area" localSheetId="70">'6.6'!$A$1:$K$22</definedName>
    <definedName name="_xlnm.Print_Area" localSheetId="71">'6.7'!$A$1:$K$22</definedName>
    <definedName name="_xlnm.Print_Area" localSheetId="72">'7.1'!$A$1:$K$27</definedName>
    <definedName name="_xlnm.Print_Area" localSheetId="73">'7.2'!$A$1:$K$25</definedName>
    <definedName name="_xlnm.Print_Area" localSheetId="30">'7.2 Vidrios'!$A$1:$H$43</definedName>
    <definedName name="_xlnm.Print_Area" localSheetId="74">'7.3'!$A$1:$K$25</definedName>
    <definedName name="_xlnm.Print_Area" localSheetId="75">'8.1'!$A$1:$K$27</definedName>
    <definedName name="_xlnm.Print_Area" localSheetId="76">'8.2'!$A$1:$K$27</definedName>
    <definedName name="_xlnm.Print_Area" localSheetId="77">'8.3'!$A$1:$K$20</definedName>
    <definedName name="_xlnm.Print_Area" localSheetId="78">'8.4'!$A$1:$K$20</definedName>
    <definedName name="_xlnm.Print_Area" localSheetId="79">'8.5'!$A$1:$K$20</definedName>
    <definedName name="_xlnm.Print_Area" localSheetId="80">'8.6'!$A$1:$K$27</definedName>
    <definedName name="_xlnm.Print_Area" localSheetId="81">'9.1'!$A$1:$K$22</definedName>
    <definedName name="_xlnm.Print_Area" localSheetId="82">'9.2'!$A$1:$K$22</definedName>
    <definedName name="_xlnm.Print_Area" localSheetId="83">'9.3'!$A$1:$K$22</definedName>
    <definedName name="_xlnm.Print_Area" localSheetId="1">'A.I.U.'!$A$1:$J$37</definedName>
    <definedName name="_xlnm.Print_Area" localSheetId="0">'ANALISIS M.O'!$A$1:$G$55</definedName>
    <definedName name="_xlnm.Print_Area" localSheetId="40">'BASE DE DATOS'!$A$1:$D$159</definedName>
    <definedName name="_xlnm.Print_Area" localSheetId="41">'PRESUPUESTO OFICIAL'!$A$1:$F$60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xyzqerojhvdakjdvasdas" hidden="1">{"via1",#N/A,TRUE,"general";"via2",#N/A,TRUE,"general";"via3",#N/A,TRUE,"general"}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43" hidden="1">#REF!</definedName>
    <definedName name="BLPH1" localSheetId="6" hidden="1">#REF!</definedName>
    <definedName name="BLPH1" localSheetId="7" hidden="1">#REF!</definedName>
    <definedName name="BLPH1" localSheetId="10" hidden="1">#REF!</definedName>
    <definedName name="BLPH1" localSheetId="11" hidden="1">#REF!</definedName>
    <definedName name="BLPH1" localSheetId="12" hidden="1">#REF!</definedName>
    <definedName name="BLPH1" localSheetId="13" hidden="1">#REF!</definedName>
    <definedName name="BLPH1" localSheetId="14" hidden="1">#REF!</definedName>
    <definedName name="BLPH1" localSheetId="15" hidden="1">#REF!</definedName>
    <definedName name="BLPH1" localSheetId="16" hidden="1">#REF!</definedName>
    <definedName name="BLPH1" localSheetId="19" hidden="1">#REF!</definedName>
    <definedName name="BLPH1" localSheetId="30" hidden="1">#REF!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localSheetId="43" hidden="1">#REF!</definedName>
    <definedName name="cdfgrtfd" localSheetId="6" hidden="1">#REF!</definedName>
    <definedName name="cdfgrtfd" localSheetId="7" hidden="1">#REF!</definedName>
    <definedName name="cdfgrtfd" localSheetId="10" hidden="1">#REF!</definedName>
    <definedName name="cdfgrtfd" localSheetId="11" hidden="1">#REF!</definedName>
    <definedName name="cdfgrtfd" localSheetId="12" hidden="1">#REF!</definedName>
    <definedName name="cdfgrtfd" localSheetId="13" hidden="1">#REF!</definedName>
    <definedName name="cdfgrtfd" localSheetId="14" hidden="1">#REF!</definedName>
    <definedName name="cdfgrtfd" localSheetId="15" hidden="1">#REF!</definedName>
    <definedName name="cdfgrtfd" localSheetId="16" hidden="1">#REF!</definedName>
    <definedName name="cdfgrtfd" localSheetId="19" hidden="1">#REF!</definedName>
    <definedName name="cdfgrtfd" localSheetId="30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R" hidden="1">{#N/A,#N/A,FALSE,"PROPON.2001"}</definedName>
    <definedName name="cjsa" localSheetId="43" hidden="1">#REF!</definedName>
    <definedName name="cjsa" localSheetId="6" hidden="1">#REF!</definedName>
    <definedName name="cjsa" localSheetId="7" hidden="1">#REF!</definedName>
    <definedName name="cjsa" localSheetId="10" hidden="1">#REF!</definedName>
    <definedName name="cjsa" localSheetId="11" hidden="1">#REF!</definedName>
    <definedName name="cjsa" localSheetId="12" hidden="1">#REF!</definedName>
    <definedName name="cjsa" localSheetId="13" hidden="1">#REF!</definedName>
    <definedName name="cjsa" localSheetId="14" hidden="1">#REF!</definedName>
    <definedName name="cjsa" localSheetId="15" hidden="1">#REF!</definedName>
    <definedName name="cjsa" localSheetId="16" hidden="1">#REF!</definedName>
    <definedName name="cjsa" localSheetId="19" hidden="1">#REF!</definedName>
    <definedName name="cjsa" localSheetId="30" hidden="1">#REF!</definedName>
    <definedName name="cjsa" hidden="1">#REF!</definedName>
    <definedName name="contratista" localSheetId="43" hidden="1">#REF!</definedName>
    <definedName name="contratista" localSheetId="6" hidden="1">#REF!</definedName>
    <definedName name="contratista" localSheetId="7" hidden="1">#REF!</definedName>
    <definedName name="contratista" localSheetId="10" hidden="1">#REF!</definedName>
    <definedName name="contratista" localSheetId="11" hidden="1">#REF!</definedName>
    <definedName name="contratista" localSheetId="12" hidden="1">#REF!</definedName>
    <definedName name="contratista" localSheetId="13" hidden="1">#REF!</definedName>
    <definedName name="contratista" localSheetId="14" hidden="1">#REF!</definedName>
    <definedName name="contratista" localSheetId="15" hidden="1">#REF!</definedName>
    <definedName name="contratista" localSheetId="16" hidden="1">#REF!</definedName>
    <definedName name="contratista" localSheetId="19" hidden="1">#REF!</definedName>
    <definedName name="contratista" localSheetId="30" hidden="1">#REF!</definedName>
    <definedName name="contratista" hidden="1">#REF!</definedName>
    <definedName name="costo2" localSheetId="43" hidden="1">#REF!</definedName>
    <definedName name="costo2" localSheetId="6" hidden="1">#REF!</definedName>
    <definedName name="costo2" localSheetId="7" hidden="1">#REF!</definedName>
    <definedName name="costo2" localSheetId="10" hidden="1">#REF!</definedName>
    <definedName name="costo2" localSheetId="11" hidden="1">#REF!</definedName>
    <definedName name="costo2" localSheetId="12" hidden="1">#REF!</definedName>
    <definedName name="costo2" localSheetId="13" hidden="1">#REF!</definedName>
    <definedName name="costo2" localSheetId="14" hidden="1">#REF!</definedName>
    <definedName name="costo2" localSheetId="15" hidden="1">#REF!</definedName>
    <definedName name="costo2" localSheetId="16" hidden="1">#REF!</definedName>
    <definedName name="costo2" localSheetId="19" hidden="1">#REF!</definedName>
    <definedName name="costo2" localSheetId="30" hidden="1">#REF!</definedName>
    <definedName name="costo2" hidden="1">#REF!</definedName>
    <definedName name="cr" hidden="1">{#N/A,#N/A,FALSE,"310.1";#N/A,#N/A,FALSE,"321.1";#N/A,#N/A,FALSE,"320.3";#N/A,#N/A,FALSE,"330.1"}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localSheetId="43" hidden="1">#REF!</definedName>
    <definedName name="dcm_1" localSheetId="6" hidden="1">#REF!</definedName>
    <definedName name="dcm_1" localSheetId="7" hidden="1">#REF!</definedName>
    <definedName name="dcm_1" localSheetId="10" hidden="1">#REF!</definedName>
    <definedName name="dcm_1" localSheetId="11" hidden="1">#REF!</definedName>
    <definedName name="dcm_1" localSheetId="12" hidden="1">#REF!</definedName>
    <definedName name="dcm_1" localSheetId="13" hidden="1">#REF!</definedName>
    <definedName name="dcm_1" localSheetId="14" hidden="1">#REF!</definedName>
    <definedName name="dcm_1" localSheetId="15" hidden="1">#REF!</definedName>
    <definedName name="dcm_1" localSheetId="16" hidden="1">#REF!</definedName>
    <definedName name="dcm_1" localSheetId="19" hidden="1">#REF!</definedName>
    <definedName name="dcm_1" localSheetId="30" hidden="1">#REF!</definedName>
    <definedName name="dcm_1" hidden="1">#REF!</definedName>
    <definedName name="dcm_2" localSheetId="43" hidden="1">#REF!</definedName>
    <definedName name="dcm_2" localSheetId="6" hidden="1">#REF!</definedName>
    <definedName name="dcm_2" localSheetId="7" hidden="1">#REF!</definedName>
    <definedName name="dcm_2" localSheetId="10" hidden="1">#REF!</definedName>
    <definedName name="dcm_2" localSheetId="11" hidden="1">#REF!</definedName>
    <definedName name="dcm_2" localSheetId="12" hidden="1">#REF!</definedName>
    <definedName name="dcm_2" localSheetId="13" hidden="1">#REF!</definedName>
    <definedName name="dcm_2" localSheetId="14" hidden="1">#REF!</definedName>
    <definedName name="dcm_2" localSheetId="15" hidden="1">#REF!</definedName>
    <definedName name="dcm_2" localSheetId="16" hidden="1">#REF!</definedName>
    <definedName name="dcm_2" localSheetId="19" hidden="1">#REF!</definedName>
    <definedName name="dcm_2" localSheetId="30" hidden="1">#REF!</definedName>
    <definedName name="dcm_2" hidden="1">#REF!</definedName>
    <definedName name="dcm_3" localSheetId="43" hidden="1">#REF!</definedName>
    <definedName name="dcm_3" localSheetId="6" hidden="1">#REF!</definedName>
    <definedName name="dcm_3" localSheetId="7" hidden="1">#REF!</definedName>
    <definedName name="dcm_3" localSheetId="10" hidden="1">#REF!</definedName>
    <definedName name="dcm_3" localSheetId="11" hidden="1">#REF!</definedName>
    <definedName name="dcm_3" localSheetId="12" hidden="1">#REF!</definedName>
    <definedName name="dcm_3" localSheetId="13" hidden="1">#REF!</definedName>
    <definedName name="dcm_3" localSheetId="14" hidden="1">#REF!</definedName>
    <definedName name="dcm_3" localSheetId="15" hidden="1">#REF!</definedName>
    <definedName name="dcm_3" localSheetId="16" hidden="1">#REF!</definedName>
    <definedName name="dcm_3" localSheetId="19" hidden="1">#REF!</definedName>
    <definedName name="dcm_3" localSheetId="30" hidden="1">#REF!</definedName>
    <definedName name="dcm_3" hidden="1">#REF!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RF" hidden="1">{#N/A,#N/A,FALSE,"310.1";#N/A,#N/A,FALSE,"321.1";#N/A,#N/A,FALSE,"320.3";#N/A,#N/A,FALSE,"330.1"}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w" hidden="1">{#N/A,#N/A,FALSE,"PROPON.2001"}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localSheetId="43" hidden="1">#REF!</definedName>
    <definedName name="Entidad" localSheetId="6" hidden="1">#REF!</definedName>
    <definedName name="Entidad" localSheetId="7" hidden="1">#REF!</definedName>
    <definedName name="Entidad" localSheetId="10" hidden="1">#REF!</definedName>
    <definedName name="Entidad" localSheetId="11" hidden="1">#REF!</definedName>
    <definedName name="Entidad" localSheetId="12" hidden="1">#REF!</definedName>
    <definedName name="Entidad" localSheetId="13" hidden="1">#REF!</definedName>
    <definedName name="Entidad" localSheetId="14" hidden="1">#REF!</definedName>
    <definedName name="Entidad" localSheetId="15" hidden="1">#REF!</definedName>
    <definedName name="Entidad" localSheetId="16" hidden="1">#REF!</definedName>
    <definedName name="Entidad" localSheetId="19" hidden="1">#REF!</definedName>
    <definedName name="Entidad" localSheetId="30" hidden="1">#REF!</definedName>
    <definedName name="Entidad" hidden="1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3" hidden="1">#REF!</definedName>
    <definedName name="EX" localSheetId="6" hidden="1">#REF!</definedName>
    <definedName name="EX" localSheetId="7" hidden="1">#REF!</definedName>
    <definedName name="EX" localSheetId="10" hidden="1">#REF!</definedName>
    <definedName name="EX" localSheetId="11" hidden="1">#REF!</definedName>
    <definedName name="EX" localSheetId="12" hidden="1">#REF!</definedName>
    <definedName name="EX" localSheetId="13" hidden="1">#REF!</definedName>
    <definedName name="EX" localSheetId="14" hidden="1">#REF!</definedName>
    <definedName name="EX" localSheetId="15" hidden="1">#REF!</definedName>
    <definedName name="EX" localSheetId="16" hidden="1">#REF!</definedName>
    <definedName name="EX" localSheetId="19" hidden="1">#REF!</definedName>
    <definedName name="EX" localSheetId="30" hidden="1">#REF!</definedName>
    <definedName name="EX" hidden="1">#REF!</definedName>
    <definedName name="EX_1" localSheetId="43" hidden="1">#REF!</definedName>
    <definedName name="EX_1" localSheetId="6" hidden="1">#REF!</definedName>
    <definedName name="EX_1" localSheetId="7" hidden="1">#REF!</definedName>
    <definedName name="EX_1" localSheetId="10" hidden="1">#REF!</definedName>
    <definedName name="EX_1" localSheetId="11" hidden="1">#REF!</definedName>
    <definedName name="EX_1" localSheetId="12" hidden="1">#REF!</definedName>
    <definedName name="EX_1" localSheetId="13" hidden="1">#REF!</definedName>
    <definedName name="EX_1" localSheetId="14" hidden="1">#REF!</definedName>
    <definedName name="EX_1" localSheetId="15" hidden="1">#REF!</definedName>
    <definedName name="EX_1" localSheetId="16" hidden="1">#REF!</definedName>
    <definedName name="EX_1" localSheetId="19" hidden="1">#REF!</definedName>
    <definedName name="EX_1" localSheetId="30" hidden="1">#REF!</definedName>
    <definedName name="EX_1" hidden="1">#REF!</definedName>
    <definedName name="FAC" localSheetId="43" hidden="1">#REF!</definedName>
    <definedName name="FAC" localSheetId="6" hidden="1">#REF!</definedName>
    <definedName name="FAC" localSheetId="7" hidden="1">#REF!</definedName>
    <definedName name="FAC" localSheetId="10" hidden="1">#REF!</definedName>
    <definedName name="FAC" localSheetId="11" hidden="1">#REF!</definedName>
    <definedName name="FAC" localSheetId="12" hidden="1">#REF!</definedName>
    <definedName name="FAC" localSheetId="13" hidden="1">#REF!</definedName>
    <definedName name="FAC" localSheetId="14" hidden="1">#REF!</definedName>
    <definedName name="FAC" localSheetId="15" hidden="1">#REF!</definedName>
    <definedName name="FAC" localSheetId="16" hidden="1">#REF!</definedName>
    <definedName name="FAC" localSheetId="19" hidden="1">#REF!</definedName>
    <definedName name="FAC" localSheetId="30" hidden="1">#REF!</definedName>
    <definedName name="FAC" hidden="1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43" hidden="1">#REF!</definedName>
    <definedName name="FFFF" localSheetId="6" hidden="1">#REF!</definedName>
    <definedName name="FFFF" localSheetId="7" hidden="1">#REF!</definedName>
    <definedName name="FFFF" localSheetId="10" hidden="1">#REF!</definedName>
    <definedName name="FFFF" localSheetId="11" hidden="1">#REF!</definedName>
    <definedName name="FFFF" localSheetId="12" hidden="1">#REF!</definedName>
    <definedName name="FFFF" localSheetId="13" hidden="1">#REF!</definedName>
    <definedName name="FFFF" localSheetId="14" hidden="1">#REF!</definedName>
    <definedName name="FFFF" localSheetId="15" hidden="1">#REF!</definedName>
    <definedName name="FFFF" localSheetId="16" hidden="1">#REF!</definedName>
    <definedName name="FFFF" localSheetId="19" hidden="1">#REF!</definedName>
    <definedName name="FFFF" localSheetId="30" hidden="1">#REF!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43" hidden="1">#REF!</definedName>
    <definedName name="fill1" localSheetId="6" hidden="1">#REF!</definedName>
    <definedName name="fill1" localSheetId="7" hidden="1">#REF!</definedName>
    <definedName name="fill1" localSheetId="10" hidden="1">#REF!</definedName>
    <definedName name="fill1" localSheetId="11" hidden="1">#REF!</definedName>
    <definedName name="fill1" localSheetId="12" hidden="1">#REF!</definedName>
    <definedName name="fill1" localSheetId="13" hidden="1">#REF!</definedName>
    <definedName name="fill1" localSheetId="14" hidden="1">#REF!</definedName>
    <definedName name="fill1" localSheetId="15" hidden="1">#REF!</definedName>
    <definedName name="fill1" localSheetId="16" hidden="1">#REF!</definedName>
    <definedName name="fill1" localSheetId="19" hidden="1">#REF!</definedName>
    <definedName name="fill1" localSheetId="30" hidden="1">#REF!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FGDH" localSheetId="43" hidden="1">#REF!</definedName>
    <definedName name="GDFGDH" localSheetId="6" hidden="1">#REF!</definedName>
    <definedName name="GDFGDH" localSheetId="7" hidden="1">#REF!</definedName>
    <definedName name="GDFGDH" localSheetId="10" hidden="1">#REF!</definedName>
    <definedName name="GDFGDH" localSheetId="11" hidden="1">#REF!</definedName>
    <definedName name="GDFGDH" localSheetId="12" hidden="1">#REF!</definedName>
    <definedName name="GDFGDH" localSheetId="13" hidden="1">#REF!</definedName>
    <definedName name="GDFGDH" localSheetId="14" hidden="1">#REF!</definedName>
    <definedName name="GDFGDH" localSheetId="15" hidden="1">#REF!</definedName>
    <definedName name="GDFGDH" localSheetId="16" hidden="1">#REF!</definedName>
    <definedName name="GDFGDH" localSheetId="19" hidden="1">#REF!</definedName>
    <definedName name="GDFGDH" localSheetId="30" hidden="1">#REF!</definedName>
    <definedName name="GDFGDH" hidden="1">#REF!</definedName>
    <definedName name="gdt" hidden="1">{"TAB1",#N/A,TRUE,"GENERAL";"TAB2",#N/A,TRUE,"GENERAL";"TAB3",#N/A,TRUE,"GENERAL";"TAB4",#N/A,TRUE,"GENERAL";"TAB5",#N/A,TRUE,"GENERAL"}</definedName>
    <definedName name="GE" localSheetId="43" hidden="1">#REF!,#REF!,#REF!,#REF!,#REF!,#REF!,#REF!,#REF!,#REF!,#REF!,#REF!,#REF!,#REF!,#REF!,#REF!,#REF!,#REF!,#REF!,#REF!</definedName>
    <definedName name="GE" localSheetId="6" hidden="1">#REF!,#REF!,#REF!,#REF!,#REF!,#REF!,#REF!,#REF!,#REF!,#REF!,#REF!,#REF!,#REF!,#REF!,#REF!,#REF!,#REF!,#REF!,#REF!</definedName>
    <definedName name="GE" localSheetId="7" hidden="1">#REF!,#REF!,#REF!,#REF!,#REF!,#REF!,#REF!,#REF!,#REF!,#REF!,#REF!,#REF!,#REF!,#REF!,#REF!,#REF!,#REF!,#REF!,#REF!</definedName>
    <definedName name="GE" localSheetId="10" hidden="1">#REF!,#REF!,#REF!,#REF!,#REF!,#REF!,#REF!,#REF!,#REF!,#REF!,#REF!,#REF!,#REF!,#REF!,#REF!,#REF!,#REF!,#REF!,#REF!</definedName>
    <definedName name="GE" localSheetId="11" hidden="1">#REF!,#REF!,#REF!,#REF!,#REF!,#REF!,#REF!,#REF!,#REF!,#REF!,#REF!,#REF!,#REF!,#REF!,#REF!,#REF!,#REF!,#REF!,#REF!</definedName>
    <definedName name="GE" localSheetId="12" hidden="1">#REF!,#REF!,#REF!,#REF!,#REF!,#REF!,#REF!,#REF!,#REF!,#REF!,#REF!,#REF!,#REF!,#REF!,#REF!,#REF!,#REF!,#REF!,#REF!</definedName>
    <definedName name="GE" localSheetId="13" hidden="1">#REF!,#REF!,#REF!,#REF!,#REF!,#REF!,#REF!,#REF!,#REF!,#REF!,#REF!,#REF!,#REF!,#REF!,#REF!,#REF!,#REF!,#REF!,#REF!</definedName>
    <definedName name="GE" localSheetId="14" hidden="1">#REF!,#REF!,#REF!,#REF!,#REF!,#REF!,#REF!,#REF!,#REF!,#REF!,#REF!,#REF!,#REF!,#REF!,#REF!,#REF!,#REF!,#REF!,#REF!</definedName>
    <definedName name="GE" localSheetId="15" hidden="1">#REF!,#REF!,#REF!,#REF!,#REF!,#REF!,#REF!,#REF!,#REF!,#REF!,#REF!,#REF!,#REF!,#REF!,#REF!,#REF!,#REF!,#REF!,#REF!</definedName>
    <definedName name="GE" localSheetId="16" hidden="1">#REF!,#REF!,#REF!,#REF!,#REF!,#REF!,#REF!,#REF!,#REF!,#REF!,#REF!,#REF!,#REF!,#REF!,#REF!,#REF!,#REF!,#REF!,#REF!</definedName>
    <definedName name="GE" localSheetId="19" hidden="1">#REF!,#REF!,#REF!,#REF!,#REF!,#REF!,#REF!,#REF!,#REF!,#REF!,#REF!,#REF!,#REF!,#REF!,#REF!,#REF!,#REF!,#REF!,#REF!</definedName>
    <definedName name="GE" localSheetId="30" hidden="1">#REF!,#REF!,#REF!,#REF!,#REF!,#REF!,#REF!,#REF!,#REF!,#REF!,#REF!,#REF!,#REF!,#REF!,#REF!,#REF!,#REF!,#REF!,#REF!</definedName>
    <definedName name="GE" hidden="1">#REF!,#REF!,#REF!,#REF!,#REF!,#REF!,#REF!,#REF!,#REF!,#REF!,#REF!,#REF!,#REF!,#REF!,#REF!,#REF!,#REF!,#REF!,#REF!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val" hidden="1">{"via1",#N/A,TRUE,"general";"via2",#N/A,TRUE,"general";"via3",#N/A,TRUE,"general"}</definedName>
    <definedName name="Informe" hidden="1">{#N/A,#N/A,FALSE,"PROPON.2001"}</definedName>
    <definedName name="INGENIERIA1" localSheetId="43" hidden="1">#REF!</definedName>
    <definedName name="INGENIERIA1" localSheetId="6" hidden="1">#REF!</definedName>
    <definedName name="INGENIERIA1" localSheetId="7" hidden="1">#REF!</definedName>
    <definedName name="INGENIERIA1" localSheetId="10" hidden="1">#REF!</definedName>
    <definedName name="INGENIERIA1" localSheetId="11" hidden="1">#REF!</definedName>
    <definedName name="INGENIERIA1" localSheetId="12" hidden="1">#REF!</definedName>
    <definedName name="INGENIERIA1" localSheetId="13" hidden="1">#REF!</definedName>
    <definedName name="INGENIERIA1" localSheetId="14" hidden="1">#REF!</definedName>
    <definedName name="INGENIERIA1" localSheetId="15" hidden="1">#REF!</definedName>
    <definedName name="INGENIERIA1" localSheetId="16" hidden="1">#REF!</definedName>
    <definedName name="INGENIERIA1" localSheetId="19" hidden="1">#REF!</definedName>
    <definedName name="INGENIERIA1" localSheetId="30" hidden="1">#REF!</definedName>
    <definedName name="INGENIERIA1" hidden="1">#REF!</definedName>
    <definedName name="INGENIERIA11" localSheetId="43" hidden="1">#REF!</definedName>
    <definedName name="INGENIERIA11" localSheetId="6" hidden="1">#REF!</definedName>
    <definedName name="INGENIERIA11" localSheetId="7" hidden="1">#REF!</definedName>
    <definedName name="INGENIERIA11" localSheetId="10" hidden="1">#REF!</definedName>
    <definedName name="INGENIERIA11" localSheetId="11" hidden="1">#REF!</definedName>
    <definedName name="INGENIERIA11" localSheetId="12" hidden="1">#REF!</definedName>
    <definedName name="INGENIERIA11" localSheetId="13" hidden="1">#REF!</definedName>
    <definedName name="INGENIERIA11" localSheetId="14" hidden="1">#REF!</definedName>
    <definedName name="INGENIERIA11" localSheetId="15" hidden="1">#REF!</definedName>
    <definedName name="INGENIERIA11" localSheetId="16" hidden="1">#REF!</definedName>
    <definedName name="INGENIERIA11" localSheetId="19" hidden="1">#REF!</definedName>
    <definedName name="INGENIERIA11" localSheetId="30" hidden="1">#REF!</definedName>
    <definedName name="INGENIERIA11" hidden="1">#REF!</definedName>
    <definedName name="irng" localSheetId="43" hidden="1">#REF!</definedName>
    <definedName name="irng" localSheetId="6" hidden="1">#REF!</definedName>
    <definedName name="irng" localSheetId="7" hidden="1">#REF!</definedName>
    <definedName name="irng" localSheetId="10" hidden="1">#REF!</definedName>
    <definedName name="irng" localSheetId="11" hidden="1">#REF!</definedName>
    <definedName name="irng" localSheetId="12" hidden="1">#REF!</definedName>
    <definedName name="irng" localSheetId="13" hidden="1">#REF!</definedName>
    <definedName name="irng" localSheetId="14" hidden="1">#REF!</definedName>
    <definedName name="irng" localSheetId="15" hidden="1">#REF!</definedName>
    <definedName name="irng" localSheetId="16" hidden="1">#REF!</definedName>
    <definedName name="irng" localSheetId="19" hidden="1">#REF!</definedName>
    <definedName name="irng" localSheetId="30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SUS" hidden="1">{"PRES REHAB ARM-PER POR ITEMS  KM A KM",#N/A,TRUE,"Rehabilitacion Arm-Per"}</definedName>
    <definedName name="jeytj" hidden="1">{"TAB1",#N/A,TRUE,"GENERAL";"TAB2",#N/A,TRUE,"GENERAL";"TAB3",#N/A,TRUE,"GENERAL";"TAB4",#N/A,TRUE,"GENERAL";"TAB5",#N/A,TRUE,"GENERAL"}</definedName>
    <definedName name="jfç" localSheetId="43" hidden="1">#REF!</definedName>
    <definedName name="jfç" localSheetId="6" hidden="1">#REF!</definedName>
    <definedName name="jfç" localSheetId="7" hidden="1">#REF!</definedName>
    <definedName name="jfç" localSheetId="10" hidden="1">#REF!</definedName>
    <definedName name="jfç" localSheetId="11" hidden="1">#REF!</definedName>
    <definedName name="jfç" localSheetId="12" hidden="1">#REF!</definedName>
    <definedName name="jfç" localSheetId="13" hidden="1">#REF!</definedName>
    <definedName name="jfç" localSheetId="14" hidden="1">#REF!</definedName>
    <definedName name="jfç" localSheetId="15" hidden="1">#REF!</definedName>
    <definedName name="jfç" localSheetId="16" hidden="1">#REF!</definedName>
    <definedName name="jfç" localSheetId="19" hidden="1">#REF!</definedName>
    <definedName name="jfç" localSheetId="30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43" hidden="1">#REF!</definedName>
    <definedName name="kdmfm" localSheetId="6" hidden="1">#REF!</definedName>
    <definedName name="kdmfm" localSheetId="7" hidden="1">#REF!</definedName>
    <definedName name="kdmfm" localSheetId="10" hidden="1">#REF!</definedName>
    <definedName name="kdmfm" localSheetId="11" hidden="1">#REF!</definedName>
    <definedName name="kdmfm" localSheetId="12" hidden="1">#REF!</definedName>
    <definedName name="kdmfm" localSheetId="13" hidden="1">#REF!</definedName>
    <definedName name="kdmfm" localSheetId="14" hidden="1">#REF!</definedName>
    <definedName name="kdmfm" localSheetId="15" hidden="1">#REF!</definedName>
    <definedName name="kdmfm" localSheetId="16" hidden="1">#REF!</definedName>
    <definedName name="kdmfm" localSheetId="19" hidden="1">#REF!</definedName>
    <definedName name="kdmfm" localSheetId="30" hidden="1">#REF!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localSheetId="43" hidden="1">#REF!</definedName>
    <definedName name="lame" localSheetId="6" hidden="1">#REF!</definedName>
    <definedName name="lame" localSheetId="7" hidden="1">#REF!</definedName>
    <definedName name="lame" localSheetId="10" hidden="1">#REF!</definedName>
    <definedName name="lame" localSheetId="11" hidden="1">#REF!</definedName>
    <definedName name="lame" localSheetId="12" hidden="1">#REF!</definedName>
    <definedName name="lame" localSheetId="13" hidden="1">#REF!</definedName>
    <definedName name="lame" localSheetId="14" hidden="1">#REF!</definedName>
    <definedName name="lame" localSheetId="15" hidden="1">#REF!</definedName>
    <definedName name="lame" localSheetId="16" hidden="1">#REF!</definedName>
    <definedName name="lame" localSheetId="19" hidden="1">#REF!</definedName>
    <definedName name="lame" localSheetId="30" hidden="1">#REF!</definedName>
    <definedName name="lame" hidden="1">#REF!</definedName>
    <definedName name="LARGUILLO" localSheetId="43" hidden="1">#REF!,#REF!,#REF!,#REF!,#REF!,#REF!,#REF!,#REF!,#REF!,#REF!,#REF!,#REF!,#REF!,#REF!,#REF!,#REF!,#REF!,#REF!,#REF!</definedName>
    <definedName name="LARGUILLO" localSheetId="6" hidden="1">#REF!,#REF!,#REF!,#REF!,#REF!,#REF!,#REF!,#REF!,#REF!,#REF!,#REF!,#REF!,#REF!,#REF!,#REF!,#REF!,#REF!,#REF!,#REF!</definedName>
    <definedName name="LARGUILLO" localSheetId="7" hidden="1">#REF!,#REF!,#REF!,#REF!,#REF!,#REF!,#REF!,#REF!,#REF!,#REF!,#REF!,#REF!,#REF!,#REF!,#REF!,#REF!,#REF!,#REF!,#REF!</definedName>
    <definedName name="LARGUILLO" localSheetId="10" hidden="1">#REF!,#REF!,#REF!,#REF!,#REF!,#REF!,#REF!,#REF!,#REF!,#REF!,#REF!,#REF!,#REF!,#REF!,#REF!,#REF!,#REF!,#REF!,#REF!</definedName>
    <definedName name="LARGUILLO" localSheetId="11" hidden="1">#REF!,#REF!,#REF!,#REF!,#REF!,#REF!,#REF!,#REF!,#REF!,#REF!,#REF!,#REF!,#REF!,#REF!,#REF!,#REF!,#REF!,#REF!,#REF!</definedName>
    <definedName name="LARGUILLO" localSheetId="12" hidden="1">#REF!,#REF!,#REF!,#REF!,#REF!,#REF!,#REF!,#REF!,#REF!,#REF!,#REF!,#REF!,#REF!,#REF!,#REF!,#REF!,#REF!,#REF!,#REF!</definedName>
    <definedName name="LARGUILLO" localSheetId="13" hidden="1">#REF!,#REF!,#REF!,#REF!,#REF!,#REF!,#REF!,#REF!,#REF!,#REF!,#REF!,#REF!,#REF!,#REF!,#REF!,#REF!,#REF!,#REF!,#REF!</definedName>
    <definedName name="LARGUILLO" localSheetId="14" hidden="1">#REF!,#REF!,#REF!,#REF!,#REF!,#REF!,#REF!,#REF!,#REF!,#REF!,#REF!,#REF!,#REF!,#REF!,#REF!,#REF!,#REF!,#REF!,#REF!</definedName>
    <definedName name="LARGUILLO" localSheetId="15" hidden="1">#REF!,#REF!,#REF!,#REF!,#REF!,#REF!,#REF!,#REF!,#REF!,#REF!,#REF!,#REF!,#REF!,#REF!,#REF!,#REF!,#REF!,#REF!,#REF!</definedName>
    <definedName name="LARGUILLO" localSheetId="16" hidden="1">#REF!,#REF!,#REF!,#REF!,#REF!,#REF!,#REF!,#REF!,#REF!,#REF!,#REF!,#REF!,#REF!,#REF!,#REF!,#REF!,#REF!,#REF!,#REF!</definedName>
    <definedName name="LARGUILLO" localSheetId="19" hidden="1">#REF!,#REF!,#REF!,#REF!,#REF!,#REF!,#REF!,#REF!,#REF!,#REF!,#REF!,#REF!,#REF!,#REF!,#REF!,#REF!,#REF!,#REF!,#REF!</definedName>
    <definedName name="LARGUILLO" localSheetId="30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istado1" hidden="1">{#N/A,#N/A,FALSE,"PROPON.2001"}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localSheetId="43" hidden="1">#REF!</definedName>
    <definedName name="Logo1" localSheetId="6" hidden="1">#REF!</definedName>
    <definedName name="Logo1" localSheetId="7" hidden="1">#REF!</definedName>
    <definedName name="Logo1" localSheetId="10" hidden="1">#REF!</definedName>
    <definedName name="Logo1" localSheetId="11" hidden="1">#REF!</definedName>
    <definedName name="Logo1" localSheetId="12" hidden="1">#REF!</definedName>
    <definedName name="Logo1" localSheetId="13" hidden="1">#REF!</definedName>
    <definedName name="Logo1" localSheetId="14" hidden="1">#REF!</definedName>
    <definedName name="Logo1" localSheetId="15" hidden="1">#REF!</definedName>
    <definedName name="Logo1" localSheetId="16" hidden="1">#REF!</definedName>
    <definedName name="Logo1" localSheetId="19" hidden="1">#REF!</definedName>
    <definedName name="Logo1" localSheetId="30" hidden="1">#REF!</definedName>
    <definedName name="Logo1" hidden="1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Z" hidden="1">{#N/A,#N/A,FALSE,"PROPON.2001"}</definedName>
    <definedName name="M" hidden="1">{#N/A,#N/A,FALSE,"PROPON.2001"}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IA" hidden="1">{#N/A,#N/A,FALSE,"PROPON.2001"}</definedName>
    <definedName name="MARTA" hidden="1">{#N/A,#N/A,FALSE,"PROPON.2001"}</definedName>
    <definedName name="MASA" localSheetId="43" hidden="1">#REF!,#REF!,#REF!,#REF!,#REF!,#REF!,#REF!,#REF!,#REF!,#REF!,#REF!,#REF!,#REF!,#REF!,#REF!,#REF!,#REF!,#REF!,#REF!</definedName>
    <definedName name="MASA" localSheetId="6" hidden="1">#REF!,#REF!,#REF!,#REF!,#REF!,#REF!,#REF!,#REF!,#REF!,#REF!,#REF!,#REF!,#REF!,#REF!,#REF!,#REF!,#REF!,#REF!,#REF!</definedName>
    <definedName name="MASA" localSheetId="7" hidden="1">#REF!,#REF!,#REF!,#REF!,#REF!,#REF!,#REF!,#REF!,#REF!,#REF!,#REF!,#REF!,#REF!,#REF!,#REF!,#REF!,#REF!,#REF!,#REF!</definedName>
    <definedName name="MASA" localSheetId="10" hidden="1">#REF!,#REF!,#REF!,#REF!,#REF!,#REF!,#REF!,#REF!,#REF!,#REF!,#REF!,#REF!,#REF!,#REF!,#REF!,#REF!,#REF!,#REF!,#REF!</definedName>
    <definedName name="MASA" localSheetId="11" hidden="1">#REF!,#REF!,#REF!,#REF!,#REF!,#REF!,#REF!,#REF!,#REF!,#REF!,#REF!,#REF!,#REF!,#REF!,#REF!,#REF!,#REF!,#REF!,#REF!</definedName>
    <definedName name="MASA" localSheetId="12" hidden="1">#REF!,#REF!,#REF!,#REF!,#REF!,#REF!,#REF!,#REF!,#REF!,#REF!,#REF!,#REF!,#REF!,#REF!,#REF!,#REF!,#REF!,#REF!,#REF!</definedName>
    <definedName name="MASA" localSheetId="13" hidden="1">#REF!,#REF!,#REF!,#REF!,#REF!,#REF!,#REF!,#REF!,#REF!,#REF!,#REF!,#REF!,#REF!,#REF!,#REF!,#REF!,#REF!,#REF!,#REF!</definedName>
    <definedName name="MASA" localSheetId="14" hidden="1">#REF!,#REF!,#REF!,#REF!,#REF!,#REF!,#REF!,#REF!,#REF!,#REF!,#REF!,#REF!,#REF!,#REF!,#REF!,#REF!,#REF!,#REF!,#REF!</definedName>
    <definedName name="MASA" localSheetId="15" hidden="1">#REF!,#REF!,#REF!,#REF!,#REF!,#REF!,#REF!,#REF!,#REF!,#REF!,#REF!,#REF!,#REF!,#REF!,#REF!,#REF!,#REF!,#REF!,#REF!</definedName>
    <definedName name="MASA" localSheetId="16" hidden="1">#REF!,#REF!,#REF!,#REF!,#REF!,#REF!,#REF!,#REF!,#REF!,#REF!,#REF!,#REF!,#REF!,#REF!,#REF!,#REF!,#REF!,#REF!,#REF!</definedName>
    <definedName name="MASA" localSheetId="19" hidden="1">#REF!,#REF!,#REF!,#REF!,#REF!,#REF!,#REF!,#REF!,#REF!,#REF!,#REF!,#REF!,#REF!,#REF!,#REF!,#REF!,#REF!,#REF!,#REF!</definedName>
    <definedName name="MASA" localSheetId="30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m" hidden="1">{#N/A,#N/A,FALSE,"PROPON.2001"}</definedName>
    <definedName name="mmjmjh" hidden="1">{"TAB1",#N/A,TRUE,"GENERAL";"TAB2",#N/A,TRUE,"GENERAL";"TAB3",#N/A,TRUE,"GENERAL";"TAB4",#N/A,TRUE,"GENERAL";"TAB5",#N/A,TRUE,"GENERAL"}</definedName>
    <definedName name="mmm" hidden="1">{#N/A,#N/A,FALSE,"PROPON.2001"}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43" hidden="1">#REF!</definedName>
    <definedName name="obras" localSheetId="6" hidden="1">#REF!</definedName>
    <definedName name="obras" localSheetId="7" hidden="1">#REF!</definedName>
    <definedName name="obras" localSheetId="10" hidden="1">#REF!</definedName>
    <definedName name="obras" localSheetId="11" hidden="1">#REF!</definedName>
    <definedName name="obras" localSheetId="12" hidden="1">#REF!</definedName>
    <definedName name="obras" localSheetId="13" hidden="1">#REF!</definedName>
    <definedName name="obras" localSheetId="14" hidden="1">#REF!</definedName>
    <definedName name="obras" localSheetId="15" hidden="1">#REF!</definedName>
    <definedName name="obras" localSheetId="16" hidden="1">#REF!</definedName>
    <definedName name="obras" localSheetId="19" hidden="1">#REF!</definedName>
    <definedName name="obras" localSheetId="30" hidden="1">#REF!</definedName>
    <definedName name="obras" hidden="1">#REF!</definedName>
    <definedName name="obras11" localSheetId="43" hidden="1">#REF!</definedName>
    <definedName name="obras11" localSheetId="6" hidden="1">#REF!</definedName>
    <definedName name="obras11" localSheetId="7" hidden="1">#REF!</definedName>
    <definedName name="obras11" localSheetId="10" hidden="1">#REF!</definedName>
    <definedName name="obras11" localSheetId="11" hidden="1">#REF!</definedName>
    <definedName name="obras11" localSheetId="12" hidden="1">#REF!</definedName>
    <definedName name="obras11" localSheetId="13" hidden="1">#REF!</definedName>
    <definedName name="obras11" localSheetId="14" hidden="1">#REF!</definedName>
    <definedName name="obras11" localSheetId="15" hidden="1">#REF!</definedName>
    <definedName name="obras11" localSheetId="16" hidden="1">#REF!</definedName>
    <definedName name="obras11" localSheetId="19" hidden="1">#REF!</definedName>
    <definedName name="obras11" localSheetId="30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localSheetId="43" hidden="1">#REF!</definedName>
    <definedName name="OROZCO" localSheetId="6" hidden="1">#REF!</definedName>
    <definedName name="OROZCO" localSheetId="7" hidden="1">#REF!</definedName>
    <definedName name="OROZCO" localSheetId="10" hidden="1">#REF!</definedName>
    <definedName name="OROZCO" localSheetId="11" hidden="1">#REF!</definedName>
    <definedName name="OROZCO" localSheetId="12" hidden="1">#REF!</definedName>
    <definedName name="OROZCO" localSheetId="13" hidden="1">#REF!</definedName>
    <definedName name="OROZCO" localSheetId="14" hidden="1">#REF!</definedName>
    <definedName name="OROZCO" localSheetId="15" hidden="1">#REF!</definedName>
    <definedName name="OROZCO" localSheetId="16" hidden="1">#REF!</definedName>
    <definedName name="OROZCO" localSheetId="19" hidden="1">#REF!</definedName>
    <definedName name="OROZCO" localSheetId="30" hidden="1">#REF!</definedName>
    <definedName name="OROZCO" hidden="1">#REF!</definedName>
    <definedName name="p0p0" hidden="1">{"via1",#N/A,TRUE,"general";"via2",#N/A,TRUE,"general";"via3",#N/A,TRUE,"general"}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" localSheetId="43" hidden="1">#REF!</definedName>
    <definedName name="PROG" localSheetId="6" hidden="1">#REF!</definedName>
    <definedName name="PROG" localSheetId="7" hidden="1">#REF!</definedName>
    <definedName name="PROG" localSheetId="10" hidden="1">#REF!</definedName>
    <definedName name="PROG" localSheetId="11" hidden="1">#REF!</definedName>
    <definedName name="PROG" localSheetId="12" hidden="1">#REF!</definedName>
    <definedName name="PROG" localSheetId="13" hidden="1">#REF!</definedName>
    <definedName name="PROG" localSheetId="14" hidden="1">#REF!</definedName>
    <definedName name="PROG" localSheetId="15" hidden="1">#REF!</definedName>
    <definedName name="PROG" localSheetId="16" hidden="1">#REF!</definedName>
    <definedName name="PROG" localSheetId="19" hidden="1">#REF!</definedName>
    <definedName name="PROG" localSheetId="30" hidden="1">#REF!</definedName>
    <definedName name="PROG" hidden="1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localSheetId="43" hidden="1">#REF!,#REF!,#REF!,#REF!,#REF!,#REF!,#REF!,#REF!,#REF!,#REF!,#REF!,#REF!,#REF!,#REF!,#REF!,#REF!,#REF!,#REF!,#REF!</definedName>
    <definedName name="SAL" localSheetId="6" hidden="1">#REF!,#REF!,#REF!,#REF!,#REF!,#REF!,#REF!,#REF!,#REF!,#REF!,#REF!,#REF!,#REF!,#REF!,#REF!,#REF!,#REF!,#REF!,#REF!</definedName>
    <definedName name="SAL" localSheetId="7" hidden="1">#REF!,#REF!,#REF!,#REF!,#REF!,#REF!,#REF!,#REF!,#REF!,#REF!,#REF!,#REF!,#REF!,#REF!,#REF!,#REF!,#REF!,#REF!,#REF!</definedName>
    <definedName name="SAL" localSheetId="10" hidden="1">#REF!,#REF!,#REF!,#REF!,#REF!,#REF!,#REF!,#REF!,#REF!,#REF!,#REF!,#REF!,#REF!,#REF!,#REF!,#REF!,#REF!,#REF!,#REF!</definedName>
    <definedName name="SAL" localSheetId="11" hidden="1">#REF!,#REF!,#REF!,#REF!,#REF!,#REF!,#REF!,#REF!,#REF!,#REF!,#REF!,#REF!,#REF!,#REF!,#REF!,#REF!,#REF!,#REF!,#REF!</definedName>
    <definedName name="SAL" localSheetId="12" hidden="1">#REF!,#REF!,#REF!,#REF!,#REF!,#REF!,#REF!,#REF!,#REF!,#REF!,#REF!,#REF!,#REF!,#REF!,#REF!,#REF!,#REF!,#REF!,#REF!</definedName>
    <definedName name="SAL" localSheetId="13" hidden="1">#REF!,#REF!,#REF!,#REF!,#REF!,#REF!,#REF!,#REF!,#REF!,#REF!,#REF!,#REF!,#REF!,#REF!,#REF!,#REF!,#REF!,#REF!,#REF!</definedName>
    <definedName name="SAL" localSheetId="14" hidden="1">#REF!,#REF!,#REF!,#REF!,#REF!,#REF!,#REF!,#REF!,#REF!,#REF!,#REF!,#REF!,#REF!,#REF!,#REF!,#REF!,#REF!,#REF!,#REF!</definedName>
    <definedName name="SAL" localSheetId="15" hidden="1">#REF!,#REF!,#REF!,#REF!,#REF!,#REF!,#REF!,#REF!,#REF!,#REF!,#REF!,#REF!,#REF!,#REF!,#REF!,#REF!,#REF!,#REF!,#REF!</definedName>
    <definedName name="SAL" localSheetId="16" hidden="1">#REF!,#REF!,#REF!,#REF!,#REF!,#REF!,#REF!,#REF!,#REF!,#REF!,#REF!,#REF!,#REF!,#REF!,#REF!,#REF!,#REF!,#REF!,#REF!</definedName>
    <definedName name="SAL" localSheetId="19" hidden="1">#REF!,#REF!,#REF!,#REF!,#REF!,#REF!,#REF!,#REF!,#REF!,#REF!,#REF!,#REF!,#REF!,#REF!,#REF!,#REF!,#REF!,#REF!,#REF!</definedName>
    <definedName name="SAL" localSheetId="30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43" hidden="1">#REF!,#REF!,#REF!,#REF!,#REF!,#REF!,#REF!,#REF!,#REF!,#REF!,#REF!,#REF!,#REF!,#REF!,#REF!,#REF!,#REF!,#REF!,#REF!</definedName>
    <definedName name="solver_adj" localSheetId="6" hidden="1">#REF!,#REF!,#REF!,#REF!,#REF!,#REF!,#REF!,#REF!,#REF!,#REF!,#REF!,#REF!,#REF!,#REF!,#REF!,#REF!,#REF!,#REF!,#REF!</definedName>
    <definedName name="solver_adj" localSheetId="7" hidden="1">#REF!,#REF!,#REF!,#REF!,#REF!,#REF!,#REF!,#REF!,#REF!,#REF!,#REF!,#REF!,#REF!,#REF!,#REF!,#REF!,#REF!,#REF!,#REF!</definedName>
    <definedName name="solver_adj" localSheetId="10" hidden="1">#REF!,#REF!,#REF!,#REF!,#REF!,#REF!,#REF!,#REF!,#REF!,#REF!,#REF!,#REF!,#REF!,#REF!,#REF!,#REF!,#REF!,#REF!,#REF!</definedName>
    <definedName name="solver_adj" localSheetId="11" hidden="1">#REF!,#REF!,#REF!,#REF!,#REF!,#REF!,#REF!,#REF!,#REF!,#REF!,#REF!,#REF!,#REF!,#REF!,#REF!,#REF!,#REF!,#REF!,#REF!</definedName>
    <definedName name="solver_adj" localSheetId="12" hidden="1">#REF!,#REF!,#REF!,#REF!,#REF!,#REF!,#REF!,#REF!,#REF!,#REF!,#REF!,#REF!,#REF!,#REF!,#REF!,#REF!,#REF!,#REF!,#REF!</definedName>
    <definedName name="solver_adj" localSheetId="13" hidden="1">#REF!,#REF!,#REF!,#REF!,#REF!,#REF!,#REF!,#REF!,#REF!,#REF!,#REF!,#REF!,#REF!,#REF!,#REF!,#REF!,#REF!,#REF!,#REF!</definedName>
    <definedName name="solver_adj" localSheetId="14" hidden="1">#REF!,#REF!,#REF!,#REF!,#REF!,#REF!,#REF!,#REF!,#REF!,#REF!,#REF!,#REF!,#REF!,#REF!,#REF!,#REF!,#REF!,#REF!,#REF!</definedName>
    <definedName name="solver_adj" localSheetId="15" hidden="1">#REF!,#REF!,#REF!,#REF!,#REF!,#REF!,#REF!,#REF!,#REF!,#REF!,#REF!,#REF!,#REF!,#REF!,#REF!,#REF!,#REF!,#REF!,#REF!</definedName>
    <definedName name="solver_adj" localSheetId="16" hidden="1">#REF!,#REF!,#REF!,#REF!,#REF!,#REF!,#REF!,#REF!,#REF!,#REF!,#REF!,#REF!,#REF!,#REF!,#REF!,#REF!,#REF!,#REF!,#REF!</definedName>
    <definedName name="solver_adj" localSheetId="19" hidden="1">#REF!,#REF!,#REF!,#REF!,#REF!,#REF!,#REF!,#REF!,#REF!,#REF!,#REF!,#REF!,#REF!,#REF!,#REF!,#REF!,#REF!,#REF!,#REF!</definedName>
    <definedName name="solver_adj" localSheetId="30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43" hidden="1">#REF!,#REF!,#REF!,#REF!,#REF!,#REF!,#REF!,#REF!,#REF!,#REF!,#REF!,#REF!,#REF!,#REF!,#REF!,#REF!,#REF!,#REF!,#REF!</definedName>
    <definedName name="solver_tmp" localSheetId="6" hidden="1">#REF!,#REF!,#REF!,#REF!,#REF!,#REF!,#REF!,#REF!,#REF!,#REF!,#REF!,#REF!,#REF!,#REF!,#REF!,#REF!,#REF!,#REF!,#REF!</definedName>
    <definedName name="solver_tmp" localSheetId="7" hidden="1">#REF!,#REF!,#REF!,#REF!,#REF!,#REF!,#REF!,#REF!,#REF!,#REF!,#REF!,#REF!,#REF!,#REF!,#REF!,#REF!,#REF!,#REF!,#REF!</definedName>
    <definedName name="solver_tmp" localSheetId="10" hidden="1">#REF!,#REF!,#REF!,#REF!,#REF!,#REF!,#REF!,#REF!,#REF!,#REF!,#REF!,#REF!,#REF!,#REF!,#REF!,#REF!,#REF!,#REF!,#REF!</definedName>
    <definedName name="solver_tmp" localSheetId="11" hidden="1">#REF!,#REF!,#REF!,#REF!,#REF!,#REF!,#REF!,#REF!,#REF!,#REF!,#REF!,#REF!,#REF!,#REF!,#REF!,#REF!,#REF!,#REF!,#REF!</definedName>
    <definedName name="solver_tmp" localSheetId="12" hidden="1">#REF!,#REF!,#REF!,#REF!,#REF!,#REF!,#REF!,#REF!,#REF!,#REF!,#REF!,#REF!,#REF!,#REF!,#REF!,#REF!,#REF!,#REF!,#REF!</definedName>
    <definedName name="solver_tmp" localSheetId="13" hidden="1">#REF!,#REF!,#REF!,#REF!,#REF!,#REF!,#REF!,#REF!,#REF!,#REF!,#REF!,#REF!,#REF!,#REF!,#REF!,#REF!,#REF!,#REF!,#REF!</definedName>
    <definedName name="solver_tmp" localSheetId="14" hidden="1">#REF!,#REF!,#REF!,#REF!,#REF!,#REF!,#REF!,#REF!,#REF!,#REF!,#REF!,#REF!,#REF!,#REF!,#REF!,#REF!,#REF!,#REF!,#REF!</definedName>
    <definedName name="solver_tmp" localSheetId="15" hidden="1">#REF!,#REF!,#REF!,#REF!,#REF!,#REF!,#REF!,#REF!,#REF!,#REF!,#REF!,#REF!,#REF!,#REF!,#REF!,#REF!,#REF!,#REF!,#REF!</definedName>
    <definedName name="solver_tmp" localSheetId="16" hidden="1">#REF!,#REF!,#REF!,#REF!,#REF!,#REF!,#REF!,#REF!,#REF!,#REF!,#REF!,#REF!,#REF!,#REF!,#REF!,#REF!,#REF!,#REF!,#REF!</definedName>
    <definedName name="solver_tmp" localSheetId="19" hidden="1">#REF!,#REF!,#REF!,#REF!,#REF!,#REF!,#REF!,#REF!,#REF!,#REF!,#REF!,#REF!,#REF!,#REF!,#REF!,#REF!,#REF!,#REF!,#REF!</definedName>
    <definedName name="solver_tmp" localSheetId="30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rwrwr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localSheetId="43" hidden="1">#REF!</definedName>
    <definedName name="TK_1" localSheetId="6" hidden="1">#REF!</definedName>
    <definedName name="TK_1" localSheetId="7" hidden="1">#REF!</definedName>
    <definedName name="TK_1" localSheetId="10" hidden="1">#REF!</definedName>
    <definedName name="TK_1" localSheetId="11" hidden="1">#REF!</definedName>
    <definedName name="TK_1" localSheetId="12" hidden="1">#REF!</definedName>
    <definedName name="TK_1" localSheetId="13" hidden="1">#REF!</definedName>
    <definedName name="TK_1" localSheetId="14" hidden="1">#REF!</definedName>
    <definedName name="TK_1" localSheetId="15" hidden="1">#REF!</definedName>
    <definedName name="TK_1" localSheetId="16" hidden="1">#REF!</definedName>
    <definedName name="TK_1" localSheetId="19" hidden="1">#REF!</definedName>
    <definedName name="TK_1" localSheetId="30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ANSPORI" hidden="1">{#N/A,#N/A,TRUE,"INGENIERIA";#N/A,#N/A,TRUE,"COMPRAS";#N/A,#N/A,TRUE,"DIRECCION";#N/A,#N/A,TRUE,"RESUMEN"}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43" hidden="1">#REF!</definedName>
    <definedName name="TUBERIA" localSheetId="6" hidden="1">#REF!</definedName>
    <definedName name="TUBERIA" localSheetId="7" hidden="1">#REF!</definedName>
    <definedName name="TUBERIA" localSheetId="10" hidden="1">#REF!</definedName>
    <definedName name="TUBERIA" localSheetId="11" hidden="1">#REF!</definedName>
    <definedName name="TUBERIA" localSheetId="12" hidden="1">#REF!</definedName>
    <definedName name="TUBERIA" localSheetId="13" hidden="1">#REF!</definedName>
    <definedName name="TUBERIA" localSheetId="14" hidden="1">#REF!</definedName>
    <definedName name="TUBERIA" localSheetId="15" hidden="1">#REF!</definedName>
    <definedName name="TUBERIA" localSheetId="16" hidden="1">#REF!</definedName>
    <definedName name="TUBERIA" localSheetId="19" hidden="1">#REF!</definedName>
    <definedName name="TUBERIA" localSheetId="30" hidden="1">#REF!</definedName>
    <definedName name="TUBERIA" hidden="1">#REF!</definedName>
    <definedName name="TUBERIA1" localSheetId="43" hidden="1">#REF!</definedName>
    <definedName name="TUBERIA1" localSheetId="6" hidden="1">#REF!</definedName>
    <definedName name="TUBERIA1" localSheetId="7" hidden="1">#REF!</definedName>
    <definedName name="TUBERIA1" localSheetId="10" hidden="1">#REF!</definedName>
    <definedName name="TUBERIA1" localSheetId="11" hidden="1">#REF!</definedName>
    <definedName name="TUBERIA1" localSheetId="12" hidden="1">#REF!</definedName>
    <definedName name="TUBERIA1" localSheetId="13" hidden="1">#REF!</definedName>
    <definedName name="TUBERIA1" localSheetId="14" hidden="1">#REF!</definedName>
    <definedName name="TUBERIA1" localSheetId="15" hidden="1">#REF!</definedName>
    <definedName name="TUBERIA1" localSheetId="16" hidden="1">#REF!</definedName>
    <definedName name="TUBERIA1" localSheetId="19" hidden="1">#REF!</definedName>
    <definedName name="TUBERIA1" localSheetId="30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43" hidden="1">#REF!</definedName>
    <definedName name="unj" localSheetId="6" hidden="1">#REF!</definedName>
    <definedName name="unj" localSheetId="7" hidden="1">#REF!</definedName>
    <definedName name="unj" localSheetId="10" hidden="1">#REF!</definedName>
    <definedName name="unj" localSheetId="11" hidden="1">#REF!</definedName>
    <definedName name="unj" localSheetId="12" hidden="1">#REF!</definedName>
    <definedName name="unj" localSheetId="13" hidden="1">#REF!</definedName>
    <definedName name="unj" localSheetId="14" hidden="1">#REF!</definedName>
    <definedName name="unj" localSheetId="15" hidden="1">#REF!</definedName>
    <definedName name="unj" localSheetId="16" hidden="1">#REF!</definedName>
    <definedName name="unj" localSheetId="19" hidden="1">#REF!</definedName>
    <definedName name="unj" localSheetId="30" hidden="1">#REF!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" localSheetId="43" hidden="1">#REF!</definedName>
    <definedName name="valor" localSheetId="6" hidden="1">#REF!</definedName>
    <definedName name="valor" localSheetId="7" hidden="1">#REF!</definedName>
    <definedName name="valor" localSheetId="10" hidden="1">#REF!</definedName>
    <definedName name="valor" localSheetId="11" hidden="1">#REF!</definedName>
    <definedName name="valor" localSheetId="12" hidden="1">#REF!</definedName>
    <definedName name="valor" localSheetId="13" hidden="1">#REF!</definedName>
    <definedName name="valor" localSheetId="14" hidden="1">#REF!</definedName>
    <definedName name="valor" localSheetId="15" hidden="1">#REF!</definedName>
    <definedName name="valor" localSheetId="16" hidden="1">#REF!</definedName>
    <definedName name="valor" localSheetId="19" hidden="1">#REF!</definedName>
    <definedName name="valor" localSheetId="30" hidden="1">#REF!</definedName>
    <definedName name="valor" hidden="1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julio24." hidden="1">{#N/A,#N/A,FALSE,"310.1";#N/A,#N/A,FALSE,"321.1";#N/A,#N/A,FALSE,"320.3";#N/A,#N/A,FALSE,"330.1"}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localSheetId="43" hidden="1">#REF!</definedName>
    <definedName name="XXXX" localSheetId="6" hidden="1">#REF!</definedName>
    <definedName name="XXXX" localSheetId="7" hidden="1">#REF!</definedName>
    <definedName name="XXXX" localSheetId="10" hidden="1">#REF!</definedName>
    <definedName name="XXXX" localSheetId="11" hidden="1">#REF!</definedName>
    <definedName name="XXXX" localSheetId="12" hidden="1">#REF!</definedName>
    <definedName name="XXXX" localSheetId="13" hidden="1">#REF!</definedName>
    <definedName name="XXXX" localSheetId="14" hidden="1">#REF!</definedName>
    <definedName name="XXXX" localSheetId="15" hidden="1">#REF!</definedName>
    <definedName name="XXXX" localSheetId="16" hidden="1">#REF!</definedName>
    <definedName name="XXXX" localSheetId="19" hidden="1">#REF!</definedName>
    <definedName name="XXXX" localSheetId="30" hidden="1">#REF!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43" hidden="1">#REF!</definedName>
    <definedName name="XZS" localSheetId="6" hidden="1">#REF!</definedName>
    <definedName name="XZS" localSheetId="7" hidden="1">#REF!</definedName>
    <definedName name="XZS" localSheetId="10" hidden="1">#REF!</definedName>
    <definedName name="XZS" localSheetId="11" hidden="1">#REF!</definedName>
    <definedName name="XZS" localSheetId="12" hidden="1">#REF!</definedName>
    <definedName name="XZS" localSheetId="13" hidden="1">#REF!</definedName>
    <definedName name="XZS" localSheetId="14" hidden="1">#REF!</definedName>
    <definedName name="XZS" localSheetId="15" hidden="1">#REF!</definedName>
    <definedName name="XZS" localSheetId="16" hidden="1">#REF!</definedName>
    <definedName name="XZS" localSheetId="19" hidden="1">#REF!</definedName>
    <definedName name="XZS" localSheetId="30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43" hidden="1">#REF!,#REF!,#REF!,#REF!,#REF!,#REF!,#REF!,#REF!,#REF!,#REF!,#REF!,#REF!,#REF!,#REF!,#REF!,#REF!,#REF!,#REF!,#REF!</definedName>
    <definedName name="YES" localSheetId="6" hidden="1">#REF!,#REF!,#REF!,#REF!,#REF!,#REF!,#REF!,#REF!,#REF!,#REF!,#REF!,#REF!,#REF!,#REF!,#REF!,#REF!,#REF!,#REF!,#REF!</definedName>
    <definedName name="YES" localSheetId="7" hidden="1">#REF!,#REF!,#REF!,#REF!,#REF!,#REF!,#REF!,#REF!,#REF!,#REF!,#REF!,#REF!,#REF!,#REF!,#REF!,#REF!,#REF!,#REF!,#REF!</definedName>
    <definedName name="YES" localSheetId="10" hidden="1">#REF!,#REF!,#REF!,#REF!,#REF!,#REF!,#REF!,#REF!,#REF!,#REF!,#REF!,#REF!,#REF!,#REF!,#REF!,#REF!,#REF!,#REF!,#REF!</definedName>
    <definedName name="YES" localSheetId="11" hidden="1">#REF!,#REF!,#REF!,#REF!,#REF!,#REF!,#REF!,#REF!,#REF!,#REF!,#REF!,#REF!,#REF!,#REF!,#REF!,#REF!,#REF!,#REF!,#REF!</definedName>
    <definedName name="YES" localSheetId="12" hidden="1">#REF!,#REF!,#REF!,#REF!,#REF!,#REF!,#REF!,#REF!,#REF!,#REF!,#REF!,#REF!,#REF!,#REF!,#REF!,#REF!,#REF!,#REF!,#REF!</definedName>
    <definedName name="YES" localSheetId="13" hidden="1">#REF!,#REF!,#REF!,#REF!,#REF!,#REF!,#REF!,#REF!,#REF!,#REF!,#REF!,#REF!,#REF!,#REF!,#REF!,#REF!,#REF!,#REF!,#REF!</definedName>
    <definedName name="YES" localSheetId="14" hidden="1">#REF!,#REF!,#REF!,#REF!,#REF!,#REF!,#REF!,#REF!,#REF!,#REF!,#REF!,#REF!,#REF!,#REF!,#REF!,#REF!,#REF!,#REF!,#REF!</definedName>
    <definedName name="YES" localSheetId="15" hidden="1">#REF!,#REF!,#REF!,#REF!,#REF!,#REF!,#REF!,#REF!,#REF!,#REF!,#REF!,#REF!,#REF!,#REF!,#REF!,#REF!,#REF!,#REF!,#REF!</definedName>
    <definedName name="YES" localSheetId="16" hidden="1">#REF!,#REF!,#REF!,#REF!,#REF!,#REF!,#REF!,#REF!,#REF!,#REF!,#REF!,#REF!,#REF!,#REF!,#REF!,#REF!,#REF!,#REF!,#REF!</definedName>
    <definedName name="YES" localSheetId="19" hidden="1">#REF!,#REF!,#REF!,#REF!,#REF!,#REF!,#REF!,#REF!,#REF!,#REF!,#REF!,#REF!,#REF!,#REF!,#REF!,#REF!,#REF!,#REF!,#REF!</definedName>
    <definedName name="YES" localSheetId="30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43" hidden="1">#REF!,#REF!,#REF!,#REF!,#REF!,#REF!,#REF!,#REF!,#REF!,#REF!,#REF!,#REF!,#REF!,#REF!,#REF!,#REF!,#REF!,#REF!,#REF!</definedName>
    <definedName name="YO" localSheetId="6" hidden="1">#REF!,#REF!,#REF!,#REF!,#REF!,#REF!,#REF!,#REF!,#REF!,#REF!,#REF!,#REF!,#REF!,#REF!,#REF!,#REF!,#REF!,#REF!,#REF!</definedName>
    <definedName name="YO" localSheetId="7" hidden="1">#REF!,#REF!,#REF!,#REF!,#REF!,#REF!,#REF!,#REF!,#REF!,#REF!,#REF!,#REF!,#REF!,#REF!,#REF!,#REF!,#REF!,#REF!,#REF!</definedName>
    <definedName name="YO" localSheetId="10" hidden="1">#REF!,#REF!,#REF!,#REF!,#REF!,#REF!,#REF!,#REF!,#REF!,#REF!,#REF!,#REF!,#REF!,#REF!,#REF!,#REF!,#REF!,#REF!,#REF!</definedName>
    <definedName name="YO" localSheetId="11" hidden="1">#REF!,#REF!,#REF!,#REF!,#REF!,#REF!,#REF!,#REF!,#REF!,#REF!,#REF!,#REF!,#REF!,#REF!,#REF!,#REF!,#REF!,#REF!,#REF!</definedName>
    <definedName name="YO" localSheetId="12" hidden="1">#REF!,#REF!,#REF!,#REF!,#REF!,#REF!,#REF!,#REF!,#REF!,#REF!,#REF!,#REF!,#REF!,#REF!,#REF!,#REF!,#REF!,#REF!,#REF!</definedName>
    <definedName name="YO" localSheetId="13" hidden="1">#REF!,#REF!,#REF!,#REF!,#REF!,#REF!,#REF!,#REF!,#REF!,#REF!,#REF!,#REF!,#REF!,#REF!,#REF!,#REF!,#REF!,#REF!,#REF!</definedName>
    <definedName name="YO" localSheetId="14" hidden="1">#REF!,#REF!,#REF!,#REF!,#REF!,#REF!,#REF!,#REF!,#REF!,#REF!,#REF!,#REF!,#REF!,#REF!,#REF!,#REF!,#REF!,#REF!,#REF!</definedName>
    <definedName name="YO" localSheetId="15" hidden="1">#REF!,#REF!,#REF!,#REF!,#REF!,#REF!,#REF!,#REF!,#REF!,#REF!,#REF!,#REF!,#REF!,#REF!,#REF!,#REF!,#REF!,#REF!,#REF!</definedName>
    <definedName name="YO" localSheetId="16" hidden="1">#REF!,#REF!,#REF!,#REF!,#REF!,#REF!,#REF!,#REF!,#REF!,#REF!,#REF!,#REF!,#REF!,#REF!,#REF!,#REF!,#REF!,#REF!,#REF!</definedName>
    <definedName name="YO" localSheetId="19" hidden="1">#REF!,#REF!,#REF!,#REF!,#REF!,#REF!,#REF!,#REF!,#REF!,#REF!,#REF!,#REF!,#REF!,#REF!,#REF!,#REF!,#REF!,#REF!,#REF!</definedName>
    <definedName name="YO" localSheetId="30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" hidden="1">{#N/A,#N/A,FALSE,"PROPON.2001"}</definedName>
    <definedName name="YORLY" hidden="1">{#N/A,#N/A,FALSE,"PROPON.2001"}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06" l="1"/>
  <c r="K12" i="85"/>
  <c r="K11" i="85"/>
  <c r="K10" i="85"/>
  <c r="K9" i="85"/>
  <c r="J10" i="101"/>
  <c r="A10" i="101"/>
  <c r="J9" i="107"/>
  <c r="E9" i="99"/>
  <c r="D50" i="1"/>
  <c r="K18" i="113"/>
  <c r="K17" i="113"/>
  <c r="K16" i="113"/>
  <c r="K15" i="113"/>
  <c r="K14" i="113"/>
  <c r="K13" i="113"/>
  <c r="K12" i="113"/>
  <c r="K11" i="113"/>
  <c r="K10" i="113"/>
  <c r="K9" i="113"/>
  <c r="K27" i="113" s="1"/>
  <c r="C3" i="113"/>
  <c r="G13" i="112"/>
  <c r="F8" i="112" s="1"/>
  <c r="G8" i="112" s="1"/>
  <c r="G11" i="112"/>
  <c r="G10" i="112"/>
  <c r="G6" i="112"/>
  <c r="G5" i="112"/>
  <c r="G4" i="112"/>
  <c r="D36" i="1"/>
  <c r="K11" i="111"/>
  <c r="K15" i="111"/>
  <c r="L14" i="111"/>
  <c r="K14" i="111"/>
  <c r="L13" i="111"/>
  <c r="K13" i="111"/>
  <c r="F12" i="111"/>
  <c r="L12" i="111" s="1"/>
  <c r="E12" i="111"/>
  <c r="K12" i="111" s="1"/>
  <c r="A12" i="111"/>
  <c r="F11" i="111"/>
  <c r="L11" i="111" s="1"/>
  <c r="E11" i="111"/>
  <c r="A11" i="111"/>
  <c r="L10" i="111"/>
  <c r="K10" i="111"/>
  <c r="K9" i="111"/>
  <c r="C3" i="111"/>
  <c r="D38" i="1"/>
  <c r="A37" i="1"/>
  <c r="D49" i="1"/>
  <c r="D48" i="1"/>
  <c r="D47" i="1"/>
  <c r="D43" i="1"/>
  <c r="D42" i="1"/>
  <c r="D30" i="1"/>
  <c r="D20" i="1"/>
  <c r="D13" i="1"/>
  <c r="D12" i="1"/>
  <c r="K13" i="97"/>
  <c r="K9" i="97"/>
  <c r="E10" i="110"/>
  <c r="F10" i="110"/>
  <c r="F9" i="110"/>
  <c r="E9" i="110"/>
  <c r="K9" i="110" s="1"/>
  <c r="A10" i="110"/>
  <c r="A9" i="110"/>
  <c r="K16" i="110"/>
  <c r="K15" i="110"/>
  <c r="K14" i="110"/>
  <c r="K13" i="110"/>
  <c r="K12" i="110"/>
  <c r="K11" i="110"/>
  <c r="K10" i="110"/>
  <c r="C3" i="110"/>
  <c r="F12" i="105"/>
  <c r="F11" i="105"/>
  <c r="A11" i="105"/>
  <c r="A12" i="105"/>
  <c r="A10" i="105"/>
  <c r="K10" i="106"/>
  <c r="K11" i="106"/>
  <c r="K12" i="106"/>
  <c r="E10" i="106"/>
  <c r="G10" i="106"/>
  <c r="E11" i="106"/>
  <c r="F11" i="106"/>
  <c r="E12" i="106"/>
  <c r="F12" i="106"/>
  <c r="F9" i="106"/>
  <c r="E9" i="106"/>
  <c r="A10" i="106"/>
  <c r="A11" i="106"/>
  <c r="A12" i="106"/>
  <c r="A9" i="106"/>
  <c r="F36" i="1"/>
  <c r="G14" i="112" l="1"/>
  <c r="G19" i="112" s="1"/>
  <c r="K22" i="111"/>
  <c r="K25" i="110"/>
  <c r="H10" i="108"/>
  <c r="H9" i="108"/>
  <c r="K9" i="108"/>
  <c r="F9" i="105"/>
  <c r="K9" i="105" s="1"/>
  <c r="H13" i="99"/>
  <c r="H12" i="99"/>
  <c r="K15" i="109"/>
  <c r="L14" i="109"/>
  <c r="K14" i="109"/>
  <c r="L13" i="109"/>
  <c r="K13" i="109"/>
  <c r="L12" i="109"/>
  <c r="K12" i="109"/>
  <c r="L11" i="109"/>
  <c r="K11" i="109"/>
  <c r="L10" i="109"/>
  <c r="K10" i="109"/>
  <c r="K9" i="109"/>
  <c r="K22" i="109" s="1"/>
  <c r="D39" i="1" s="1"/>
  <c r="C3" i="109"/>
  <c r="K15" i="108"/>
  <c r="L14" i="108"/>
  <c r="K14" i="108"/>
  <c r="L13" i="108"/>
  <c r="K13" i="108"/>
  <c r="L12" i="108"/>
  <c r="K12" i="108"/>
  <c r="L11" i="108"/>
  <c r="K11" i="108"/>
  <c r="L10" i="108"/>
  <c r="K10" i="108"/>
  <c r="C3" i="108"/>
  <c r="K15" i="107"/>
  <c r="L14" i="107"/>
  <c r="K14" i="107"/>
  <c r="L13" i="107"/>
  <c r="K13" i="107"/>
  <c r="L12" i="107"/>
  <c r="K12" i="107"/>
  <c r="L11" i="107"/>
  <c r="K11" i="107"/>
  <c r="L10" i="107"/>
  <c r="K10" i="107"/>
  <c r="K9" i="107"/>
  <c r="K22" i="107" s="1"/>
  <c r="D37" i="1" s="1"/>
  <c r="C3" i="107"/>
  <c r="K15" i="106"/>
  <c r="L14" i="106"/>
  <c r="K14" i="106"/>
  <c r="L13" i="106"/>
  <c r="K13" i="106"/>
  <c r="L12" i="106"/>
  <c r="L11" i="106"/>
  <c r="L10" i="106"/>
  <c r="K9" i="106"/>
  <c r="C3" i="106"/>
  <c r="K15" i="105"/>
  <c r="L14" i="105"/>
  <c r="K14" i="105"/>
  <c r="L13" i="105"/>
  <c r="K13" i="105"/>
  <c r="L12" i="105"/>
  <c r="K12" i="105"/>
  <c r="L11" i="105"/>
  <c r="K11" i="105"/>
  <c r="L10" i="105"/>
  <c r="K10" i="105"/>
  <c r="C3" i="105"/>
  <c r="E1" i="112" l="1"/>
  <c r="K22" i="106"/>
  <c r="D35" i="1" s="1"/>
  <c r="K22" i="108"/>
  <c r="K22" i="105"/>
  <c r="D34" i="1" s="1"/>
  <c r="K12" i="93"/>
  <c r="K13" i="93"/>
  <c r="K10" i="93"/>
  <c r="K11" i="93"/>
  <c r="K9" i="93"/>
  <c r="K13" i="104"/>
  <c r="K12" i="104"/>
  <c r="K11" i="104"/>
  <c r="K10" i="104"/>
  <c r="K9" i="104"/>
  <c r="K20" i="104" s="1"/>
  <c r="C3" i="104"/>
  <c r="K13" i="103"/>
  <c r="K12" i="103"/>
  <c r="K11" i="103"/>
  <c r="K10" i="103"/>
  <c r="K9" i="103"/>
  <c r="C3" i="103"/>
  <c r="K9" i="102"/>
  <c r="K22" i="102" s="1"/>
  <c r="D54" i="1" s="1"/>
  <c r="K15" i="102"/>
  <c r="K14" i="102"/>
  <c r="K13" i="102"/>
  <c r="K12" i="102"/>
  <c r="K11" i="102"/>
  <c r="K10" i="102"/>
  <c r="C3" i="102"/>
  <c r="K15" i="101"/>
  <c r="K14" i="101"/>
  <c r="K13" i="101"/>
  <c r="K12" i="101"/>
  <c r="K11" i="101"/>
  <c r="K10" i="101"/>
  <c r="K9" i="101"/>
  <c r="C3" i="101"/>
  <c r="K15" i="100"/>
  <c r="K14" i="100"/>
  <c r="K13" i="100"/>
  <c r="K12" i="100"/>
  <c r="K11" i="100"/>
  <c r="K10" i="100"/>
  <c r="K9" i="100"/>
  <c r="C3" i="100"/>
  <c r="K15" i="99"/>
  <c r="K14" i="99"/>
  <c r="K13" i="99"/>
  <c r="K12" i="99"/>
  <c r="K11" i="99"/>
  <c r="K10" i="99"/>
  <c r="K9" i="99"/>
  <c r="C3" i="99"/>
  <c r="L14" i="97"/>
  <c r="J13" i="97"/>
  <c r="J11" i="97"/>
  <c r="L11" i="97" s="1"/>
  <c r="K15" i="98"/>
  <c r="L14" i="98"/>
  <c r="K14" i="98"/>
  <c r="L13" i="98"/>
  <c r="K13" i="98"/>
  <c r="L12" i="98"/>
  <c r="K12" i="98"/>
  <c r="L11" i="98"/>
  <c r="K11" i="98"/>
  <c r="L10" i="98"/>
  <c r="K10" i="98"/>
  <c r="K9" i="98"/>
  <c r="K22" i="98" s="1"/>
  <c r="D31" i="1" s="1"/>
  <c r="C3" i="98"/>
  <c r="K16" i="97"/>
  <c r="L15" i="97"/>
  <c r="K15" i="97"/>
  <c r="K14" i="97"/>
  <c r="L13" i="97"/>
  <c r="L12" i="97"/>
  <c r="K12" i="97"/>
  <c r="L10" i="97"/>
  <c r="C3" i="97"/>
  <c r="L26" i="60"/>
  <c r="K26" i="60"/>
  <c r="L25" i="60"/>
  <c r="K25" i="60"/>
  <c r="L24" i="60"/>
  <c r="K24" i="60"/>
  <c r="L19" i="60"/>
  <c r="K19" i="60"/>
  <c r="L20" i="60"/>
  <c r="K20" i="60"/>
  <c r="L21" i="60"/>
  <c r="K21" i="60"/>
  <c r="L22" i="60"/>
  <c r="K22" i="60"/>
  <c r="K13" i="96"/>
  <c r="K12" i="96"/>
  <c r="K11" i="96"/>
  <c r="K10" i="96"/>
  <c r="K9" i="96"/>
  <c r="C3" i="96"/>
  <c r="C1" i="82"/>
  <c r="C1" i="74"/>
  <c r="C1" i="95"/>
  <c r="C1" i="69"/>
  <c r="F13" i="95"/>
  <c r="G13" i="95" s="1"/>
  <c r="F9" i="95" s="1"/>
  <c r="G9" i="95" s="1"/>
  <c r="F6" i="95"/>
  <c r="G6" i="95" s="1"/>
  <c r="G5" i="95"/>
  <c r="F5" i="95"/>
  <c r="G4" i="95"/>
  <c r="D1" i="95"/>
  <c r="K22" i="101" l="1"/>
  <c r="D53" i="1" s="1"/>
  <c r="K22" i="99"/>
  <c r="D33" i="1" s="1"/>
  <c r="K20" i="103"/>
  <c r="K20" i="96"/>
  <c r="K22" i="100"/>
  <c r="D52" i="1" s="1"/>
  <c r="K11" i="97"/>
  <c r="K10" i="97"/>
  <c r="G14" i="95"/>
  <c r="K18" i="94"/>
  <c r="K17" i="94"/>
  <c r="K16" i="94"/>
  <c r="K15" i="94"/>
  <c r="K14" i="94"/>
  <c r="K13" i="94"/>
  <c r="K12" i="94"/>
  <c r="K11" i="94"/>
  <c r="K10" i="94"/>
  <c r="K9" i="94"/>
  <c r="C3" i="94"/>
  <c r="K16" i="93"/>
  <c r="K15" i="93"/>
  <c r="K14" i="93"/>
  <c r="C3" i="93"/>
  <c r="L18" i="60"/>
  <c r="L11" i="60"/>
  <c r="L12" i="60"/>
  <c r="L13" i="60"/>
  <c r="L14" i="60"/>
  <c r="L15" i="60"/>
  <c r="L16" i="60"/>
  <c r="L17" i="60"/>
  <c r="L23" i="60"/>
  <c r="K11" i="60"/>
  <c r="K12" i="60"/>
  <c r="K13" i="60"/>
  <c r="K14" i="60"/>
  <c r="K15" i="60"/>
  <c r="K16" i="60"/>
  <c r="K17" i="60"/>
  <c r="K18" i="60"/>
  <c r="K23" i="60"/>
  <c r="K27" i="60"/>
  <c r="K18" i="92"/>
  <c r="K17" i="92"/>
  <c r="K16" i="92"/>
  <c r="K15" i="92"/>
  <c r="K14" i="92"/>
  <c r="K13" i="92"/>
  <c r="K12" i="92"/>
  <c r="K11" i="92"/>
  <c r="K10" i="92"/>
  <c r="K9" i="92"/>
  <c r="C3" i="92"/>
  <c r="K12" i="91"/>
  <c r="K13" i="91"/>
  <c r="K14" i="91"/>
  <c r="K15" i="91"/>
  <c r="K16" i="91"/>
  <c r="K17" i="91"/>
  <c r="K18" i="91"/>
  <c r="K11" i="91"/>
  <c r="K10" i="91"/>
  <c r="K9" i="91"/>
  <c r="C3" i="91"/>
  <c r="K11" i="90"/>
  <c r="K10" i="90"/>
  <c r="K9" i="90"/>
  <c r="D5" i="90"/>
  <c r="C5" i="90"/>
  <c r="C3" i="90"/>
  <c r="K27" i="94" l="1"/>
  <c r="D46" i="1" s="1"/>
  <c r="K23" i="97"/>
  <c r="K25" i="93"/>
  <c r="G19" i="95"/>
  <c r="E1" i="95"/>
  <c r="K27" i="92"/>
  <c r="D45" i="1" s="1"/>
  <c r="K27" i="91"/>
  <c r="D41" i="1" s="1"/>
  <c r="K27" i="90"/>
  <c r="K11" i="88" l="1"/>
  <c r="K10" i="88"/>
  <c r="F9" i="88"/>
  <c r="E9" i="88"/>
  <c r="K9" i="88" s="1"/>
  <c r="K27" i="88" s="1"/>
  <c r="D26" i="1" s="1"/>
  <c r="A9" i="88"/>
  <c r="C3" i="88"/>
  <c r="K11" i="87"/>
  <c r="K10" i="87"/>
  <c r="F9" i="87"/>
  <c r="E9" i="87"/>
  <c r="K9" i="87" s="1"/>
  <c r="K27" i="87" s="1"/>
  <c r="D25" i="1" s="1"/>
  <c r="A9" i="87"/>
  <c r="C3" i="87"/>
  <c r="K12" i="86"/>
  <c r="K11" i="86"/>
  <c r="K10" i="86"/>
  <c r="K9" i="86"/>
  <c r="D5" i="86"/>
  <c r="C5" i="86"/>
  <c r="C3" i="86"/>
  <c r="C5" i="85"/>
  <c r="D5" i="85"/>
  <c r="C3" i="85"/>
  <c r="E26" i="1"/>
  <c r="E25" i="1"/>
  <c r="H43" i="84"/>
  <c r="H49" i="83"/>
  <c r="A25" i="1"/>
  <c r="A26" i="1" s="1"/>
  <c r="F12" i="82"/>
  <c r="G10" i="82"/>
  <c r="G8" i="82"/>
  <c r="F16" i="82"/>
  <c r="G16" i="82" s="1"/>
  <c r="G12" i="82"/>
  <c r="G9" i="82"/>
  <c r="G7" i="82"/>
  <c r="G6" i="82"/>
  <c r="G5" i="82"/>
  <c r="G4" i="82"/>
  <c r="D1" i="82"/>
  <c r="F26" i="1" l="1"/>
  <c r="K28" i="86"/>
  <c r="K28" i="85"/>
  <c r="F25" i="1"/>
  <c r="G17" i="82"/>
  <c r="G22" i="82" l="1"/>
  <c r="E1" i="82"/>
  <c r="G16" i="81" l="1"/>
  <c r="G14" i="81"/>
  <c r="G12" i="81"/>
  <c r="G11" i="81"/>
  <c r="G10" i="81"/>
  <c r="D1" i="81"/>
  <c r="C1" i="81"/>
  <c r="G6" i="81"/>
  <c r="G5" i="81"/>
  <c r="G4" i="81"/>
  <c r="G12" i="80"/>
  <c r="G8" i="80"/>
  <c r="G6" i="80"/>
  <c r="G5" i="80"/>
  <c r="G4" i="80"/>
  <c r="G13" i="80" s="1"/>
  <c r="D1" i="80"/>
  <c r="C1" i="80"/>
  <c r="G12" i="79"/>
  <c r="G13" i="79" s="1"/>
  <c r="G6" i="79"/>
  <c r="G5" i="79"/>
  <c r="G4" i="79"/>
  <c r="C1" i="79"/>
  <c r="D1" i="79"/>
  <c r="G21" i="76"/>
  <c r="G20" i="76"/>
  <c r="E8" i="76"/>
  <c r="K7" i="76"/>
  <c r="K8" i="76"/>
  <c r="D38" i="76"/>
  <c r="G27" i="76"/>
  <c r="G26" i="76"/>
  <c r="H31" i="76" s="1"/>
  <c r="E14" i="76" s="1"/>
  <c r="G14" i="76" s="1"/>
  <c r="H17" i="76" s="1"/>
  <c r="H23" i="76"/>
  <c r="G15" i="76"/>
  <c r="G9" i="76"/>
  <c r="G8" i="76"/>
  <c r="H11" i="76" s="1"/>
  <c r="B4" i="76"/>
  <c r="D40" i="75"/>
  <c r="F29" i="75"/>
  <c r="D29" i="75"/>
  <c r="E29" i="75" s="1"/>
  <c r="C29" i="75"/>
  <c r="D28" i="75"/>
  <c r="C28" i="75"/>
  <c r="H25" i="75"/>
  <c r="G17" i="75"/>
  <c r="G16" i="75"/>
  <c r="G15" i="75"/>
  <c r="G14" i="75"/>
  <c r="H5" i="75"/>
  <c r="B5" i="75"/>
  <c r="B4" i="75"/>
  <c r="F15" i="74"/>
  <c r="G15" i="74" s="1"/>
  <c r="G11" i="74"/>
  <c r="F11" i="74"/>
  <c r="F8" i="74"/>
  <c r="G8" i="74" s="1"/>
  <c r="G7" i="74"/>
  <c r="F7" i="74"/>
  <c r="F6" i="74"/>
  <c r="G6" i="74" s="1"/>
  <c r="G5" i="74"/>
  <c r="F5" i="74"/>
  <c r="G4" i="74"/>
  <c r="D1" i="74"/>
  <c r="E54" i="1"/>
  <c r="C1" i="73"/>
  <c r="G12" i="73"/>
  <c r="G6" i="73"/>
  <c r="G5" i="73"/>
  <c r="G4" i="73"/>
  <c r="G8" i="73"/>
  <c r="D1" i="73"/>
  <c r="G16" i="72"/>
  <c r="F11" i="72"/>
  <c r="G4" i="72"/>
  <c r="G5" i="72"/>
  <c r="G6" i="72"/>
  <c r="G7" i="72"/>
  <c r="G8" i="72"/>
  <c r="G9" i="72"/>
  <c r="C1" i="72"/>
  <c r="G15" i="72"/>
  <c r="G13" i="72"/>
  <c r="G11" i="72"/>
  <c r="D1" i="72"/>
  <c r="C1" i="71"/>
  <c r="G8" i="71"/>
  <c r="G9" i="71"/>
  <c r="G11" i="71"/>
  <c r="G6" i="71" s="1"/>
  <c r="D1" i="71"/>
  <c r="A52" i="1"/>
  <c r="A53" i="1" s="1"/>
  <c r="A54" i="1" s="1"/>
  <c r="G15" i="70"/>
  <c r="F10" i="70" s="1"/>
  <c r="G10" i="70" s="1"/>
  <c r="E15" i="70"/>
  <c r="F13" i="70"/>
  <c r="G13" i="70" s="1"/>
  <c r="G11" i="70"/>
  <c r="D1" i="70"/>
  <c r="C1" i="70"/>
  <c r="G8" i="70"/>
  <c r="G7" i="70"/>
  <c r="G6" i="70"/>
  <c r="G5" i="70"/>
  <c r="G4" i="70"/>
  <c r="F6" i="69"/>
  <c r="F5" i="69"/>
  <c r="G4" i="69"/>
  <c r="F13" i="69"/>
  <c r="G13" i="69" s="1"/>
  <c r="F9" i="69" s="1"/>
  <c r="G9" i="69" s="1"/>
  <c r="G6" i="69"/>
  <c r="G5" i="69"/>
  <c r="D1" i="69"/>
  <c r="F15" i="68"/>
  <c r="G15" i="68" s="1"/>
  <c r="F8" i="68"/>
  <c r="F7" i="68"/>
  <c r="G7" i="68" s="1"/>
  <c r="F6" i="68"/>
  <c r="G6" i="68" s="1"/>
  <c r="F5" i="68"/>
  <c r="G5" i="68" s="1"/>
  <c r="F4" i="68"/>
  <c r="G4" i="68" s="1"/>
  <c r="C1" i="68"/>
  <c r="F11" i="68"/>
  <c r="G11" i="68" s="1"/>
  <c r="G8" i="68"/>
  <c r="D1" i="68"/>
  <c r="F41" i="1"/>
  <c r="A41" i="1"/>
  <c r="A42" i="1" s="1"/>
  <c r="A43" i="1" s="1"/>
  <c r="A45" i="1"/>
  <c r="A46" i="1" s="1"/>
  <c r="F11" i="67"/>
  <c r="G11" i="67" s="1"/>
  <c r="G12" i="67"/>
  <c r="G9" i="66"/>
  <c r="F9" i="66"/>
  <c r="G6" i="67"/>
  <c r="G5" i="67"/>
  <c r="C1" i="67"/>
  <c r="G17" i="67"/>
  <c r="G15" i="67"/>
  <c r="G14" i="67"/>
  <c r="G9" i="67"/>
  <c r="G8" i="67"/>
  <c r="G7" i="67"/>
  <c r="G4" i="67"/>
  <c r="D1" i="67"/>
  <c r="F14" i="66"/>
  <c r="E14" i="66"/>
  <c r="G14" i="66" s="1"/>
  <c r="F7" i="66"/>
  <c r="G7" i="66"/>
  <c r="G6" i="66"/>
  <c r="F5" i="66"/>
  <c r="G5" i="66" s="1"/>
  <c r="G12" i="66"/>
  <c r="G11" i="66"/>
  <c r="G4" i="66"/>
  <c r="C12" i="65"/>
  <c r="D1" i="65"/>
  <c r="C1" i="65"/>
  <c r="G12" i="65"/>
  <c r="G10" i="65"/>
  <c r="G5" i="65"/>
  <c r="G4" i="65"/>
  <c r="A47" i="1" l="1"/>
  <c r="A48" i="1" s="1"/>
  <c r="A49" i="1" s="1"/>
  <c r="A50" i="1" s="1"/>
  <c r="G13" i="65"/>
  <c r="G17" i="81"/>
  <c r="G18" i="80"/>
  <c r="E1" i="80"/>
  <c r="G18" i="79"/>
  <c r="E1" i="79"/>
  <c r="H33" i="76"/>
  <c r="G29" i="75"/>
  <c r="E28" i="75"/>
  <c r="G28" i="75" s="1"/>
  <c r="H33" i="75" s="1"/>
  <c r="G8" i="75" s="1"/>
  <c r="H11" i="75" s="1"/>
  <c r="H19" i="75"/>
  <c r="G16" i="74"/>
  <c r="F54" i="1"/>
  <c r="G13" i="73"/>
  <c r="E1" i="73" s="1"/>
  <c r="G12" i="71"/>
  <c r="G17" i="71" s="1"/>
  <c r="F49" i="1"/>
  <c r="G16" i="70"/>
  <c r="G14" i="69"/>
  <c r="G19" i="69" s="1"/>
  <c r="G16" i="68"/>
  <c r="G21" i="68" s="1"/>
  <c r="G18" i="67"/>
  <c r="G15" i="66"/>
  <c r="G9" i="65"/>
  <c r="G22" i="81" l="1"/>
  <c r="E1" i="81"/>
  <c r="G38" i="76"/>
  <c r="H35" i="75"/>
  <c r="E1" i="74"/>
  <c r="G21" i="74"/>
  <c r="G18" i="73"/>
  <c r="E1" i="72"/>
  <c r="G21" i="72"/>
  <c r="E1" i="71"/>
  <c r="G21" i="70"/>
  <c r="E1" i="70"/>
  <c r="E1" i="69"/>
  <c r="E1" i="68"/>
  <c r="E1" i="67"/>
  <c r="G23" i="67"/>
  <c r="E1" i="66"/>
  <c r="G20" i="66"/>
  <c r="G18" i="65"/>
  <c r="E1" i="65"/>
  <c r="G40" i="75" l="1"/>
  <c r="F34" i="1" l="1"/>
  <c r="F11" i="64" l="1"/>
  <c r="E116" i="26"/>
  <c r="F9" i="64"/>
  <c r="F8" i="64"/>
  <c r="G8" i="64" s="1"/>
  <c r="G4" i="64"/>
  <c r="G11" i="64" s="1"/>
  <c r="G5" i="64"/>
  <c r="G7" i="64"/>
  <c r="G16" i="64"/>
  <c r="G9" i="64" s="1"/>
  <c r="F35" i="1"/>
  <c r="A33" i="1"/>
  <c r="A34" i="1" l="1"/>
  <c r="A35" i="1" s="1"/>
  <c r="A38" i="1" s="1"/>
  <c r="F6" i="64"/>
  <c r="G6" i="64" s="1"/>
  <c r="F13" i="64" s="1"/>
  <c r="G13" i="64" s="1"/>
  <c r="G14" i="64"/>
  <c r="A39" i="1" l="1"/>
  <c r="G17" i="64"/>
  <c r="E1" i="64" s="1"/>
  <c r="G22" i="64" l="1"/>
  <c r="D35" i="63" l="1"/>
  <c r="E26" i="63"/>
  <c r="G26" i="63" s="1"/>
  <c r="H23" i="63"/>
  <c r="G15" i="63"/>
  <c r="G14" i="63"/>
  <c r="H17" i="63" s="1"/>
  <c r="H5" i="63"/>
  <c r="B5" i="63"/>
  <c r="B4" i="63"/>
  <c r="H29" i="63" l="1"/>
  <c r="G8" i="63" s="1"/>
  <c r="H11" i="63" s="1"/>
  <c r="H31" i="63" s="1"/>
  <c r="G36" i="63" s="1"/>
  <c r="G35" i="63" l="1"/>
  <c r="H37" i="63" s="1"/>
  <c r="H40" i="63" s="1"/>
  <c r="E12" i="1" s="1"/>
  <c r="F12" i="1" s="1"/>
  <c r="G20" i="62" l="1"/>
  <c r="G14" i="62"/>
  <c r="G12" i="62"/>
  <c r="G10" i="62"/>
  <c r="G9" i="62"/>
  <c r="F8" i="62"/>
  <c r="G8" i="62" s="1"/>
  <c r="G6" i="62"/>
  <c r="G5" i="62"/>
  <c r="G15" i="62" s="1"/>
  <c r="E1" i="62" s="1"/>
  <c r="G4" i="62"/>
  <c r="G13" i="61"/>
  <c r="F9" i="61" s="1"/>
  <c r="G9" i="61" s="1"/>
  <c r="G8" i="61"/>
  <c r="G7" i="61"/>
  <c r="G6" i="61"/>
  <c r="G5" i="61"/>
  <c r="G4" i="61"/>
  <c r="F36" i="57"/>
  <c r="F34" i="57"/>
  <c r="G9" i="55"/>
  <c r="G8" i="55"/>
  <c r="E29" i="55"/>
  <c r="G29" i="55" s="1"/>
  <c r="D28" i="1"/>
  <c r="G10" i="60"/>
  <c r="G9" i="60"/>
  <c r="F10" i="60"/>
  <c r="K10" i="60" s="1"/>
  <c r="F9" i="60"/>
  <c r="A9" i="60"/>
  <c r="K10" i="59"/>
  <c r="K9" i="59"/>
  <c r="L10" i="60" l="1"/>
  <c r="K9" i="60"/>
  <c r="F11" i="61"/>
  <c r="G11" i="61" s="1"/>
  <c r="G14" i="61" s="1"/>
  <c r="E1" i="61" l="1"/>
  <c r="G19" i="61"/>
  <c r="C3" i="60"/>
  <c r="K11" i="59"/>
  <c r="C3" i="59"/>
  <c r="A28" i="1"/>
  <c r="D5" i="59" l="1"/>
  <c r="C5" i="87"/>
  <c r="C5" i="88"/>
  <c r="A29" i="1"/>
  <c r="A30" i="1" s="1"/>
  <c r="C5" i="59"/>
  <c r="K34" i="60"/>
  <c r="D29" i="1" s="1"/>
  <c r="K27" i="59"/>
  <c r="A31" i="1" l="1"/>
  <c r="C5" i="60"/>
  <c r="C5" i="93"/>
  <c r="D5" i="93"/>
  <c r="D5" i="87"/>
  <c r="D5" i="88"/>
  <c r="C5" i="92"/>
  <c r="D5" i="92"/>
  <c r="D5" i="91"/>
  <c r="D24" i="1"/>
  <c r="D23" i="1"/>
  <c r="K9" i="18"/>
  <c r="K10" i="17"/>
  <c r="K9" i="17"/>
  <c r="F9" i="14"/>
  <c r="K10" i="13"/>
  <c r="F9" i="13"/>
  <c r="F9" i="12"/>
  <c r="F9" i="11"/>
  <c r="E9" i="11"/>
  <c r="A9" i="11"/>
  <c r="F9" i="7"/>
  <c r="E9" i="7"/>
  <c r="K9" i="7" s="1"/>
  <c r="A9" i="7"/>
  <c r="F9" i="5"/>
  <c r="E9" i="5"/>
  <c r="A9" i="5"/>
  <c r="E24" i="1"/>
  <c r="G27" i="56"/>
  <c r="G26" i="56"/>
  <c r="G20" i="56"/>
  <c r="H23" i="56" s="1"/>
  <c r="G15" i="56"/>
  <c r="G14" i="56"/>
  <c r="G9" i="56"/>
  <c r="G8" i="56"/>
  <c r="H5" i="56"/>
  <c r="B5" i="56"/>
  <c r="B4" i="56"/>
  <c r="G30" i="55"/>
  <c r="G23" i="55"/>
  <c r="H26" i="55" s="1"/>
  <c r="G18" i="55"/>
  <c r="G17" i="55"/>
  <c r="G16" i="55"/>
  <c r="G15" i="55"/>
  <c r="G14" i="55"/>
  <c r="G13" i="55"/>
  <c r="H5" i="55"/>
  <c r="B5" i="55"/>
  <c r="B4" i="55"/>
  <c r="E16" i="44"/>
  <c r="G17" i="44"/>
  <c r="G8" i="44"/>
  <c r="G10" i="44"/>
  <c r="G9" i="44"/>
  <c r="G22" i="44"/>
  <c r="G11" i="44"/>
  <c r="G21" i="41"/>
  <c r="G8" i="41"/>
  <c r="G10" i="41"/>
  <c r="B5" i="41"/>
  <c r="G9" i="41"/>
  <c r="G28" i="43"/>
  <c r="G22" i="43"/>
  <c r="H11" i="43"/>
  <c r="G9" i="43"/>
  <c r="G10" i="43"/>
  <c r="G8" i="43"/>
  <c r="G28" i="34"/>
  <c r="G22" i="34"/>
  <c r="G10" i="34"/>
  <c r="G11" i="34"/>
  <c r="G9" i="34"/>
  <c r="G8" i="34"/>
  <c r="D5" i="60" l="1"/>
  <c r="D5" i="113"/>
  <c r="C5" i="113"/>
  <c r="D5" i="111"/>
  <c r="C5" i="111"/>
  <c r="C5" i="110"/>
  <c r="D5" i="110"/>
  <c r="C5" i="108"/>
  <c r="D5" i="109"/>
  <c r="C5" i="109"/>
  <c r="D5" i="107"/>
  <c r="C5" i="106"/>
  <c r="C5" i="107"/>
  <c r="D5" i="105"/>
  <c r="C5" i="105"/>
  <c r="D5" i="106"/>
  <c r="D5" i="108"/>
  <c r="D5" i="104"/>
  <c r="D5" i="103"/>
  <c r="C5" i="102"/>
  <c r="C5" i="100"/>
  <c r="C5" i="96"/>
  <c r="C5" i="99"/>
  <c r="D5" i="97"/>
  <c r="C5" i="97"/>
  <c r="D5" i="96"/>
  <c r="C5" i="104"/>
  <c r="C5" i="103"/>
  <c r="D5" i="101"/>
  <c r="D5" i="99"/>
  <c r="D5" i="98"/>
  <c r="C5" i="101"/>
  <c r="C5" i="98"/>
  <c r="D5" i="102"/>
  <c r="D5" i="100"/>
  <c r="C5" i="94"/>
  <c r="D5" i="94"/>
  <c r="C5" i="91"/>
  <c r="H5" i="76"/>
  <c r="B5" i="76"/>
  <c r="F24" i="1"/>
  <c r="H31" i="56"/>
  <c r="H17" i="56"/>
  <c r="H11" i="56"/>
  <c r="H20" i="55"/>
  <c r="F9" i="4"/>
  <c r="H33" i="56" l="1"/>
  <c r="H34" i="55"/>
  <c r="K9" i="14"/>
  <c r="H10" i="55" l="1"/>
  <c r="H36" i="55" s="1"/>
  <c r="J9" i="5"/>
  <c r="K9" i="5" s="1"/>
  <c r="K9" i="16" l="1"/>
  <c r="K9" i="2"/>
  <c r="E15" i="28" l="1"/>
  <c r="K28" i="14" l="1"/>
  <c r="D18" i="1" s="1"/>
  <c r="K9" i="13"/>
  <c r="K28" i="13" s="1"/>
  <c r="D17" i="1" s="1"/>
  <c r="K9" i="12"/>
  <c r="K28" i="12" s="1"/>
  <c r="D16" i="1" s="1"/>
  <c r="K9" i="11"/>
  <c r="K28" i="11" s="1"/>
  <c r="D15" i="1" s="1"/>
  <c r="K10" i="5"/>
  <c r="K11" i="5"/>
  <c r="K27" i="5" l="1"/>
  <c r="K9" i="15"/>
  <c r="E15" i="54"/>
  <c r="G15" i="54" s="1"/>
  <c r="E16" i="54"/>
  <c r="G16" i="54" s="1"/>
  <c r="E17" i="54"/>
  <c r="G17" i="54" s="1"/>
  <c r="E18" i="54"/>
  <c r="G18" i="54" s="1"/>
  <c r="E19" i="54"/>
  <c r="G19" i="54" s="1"/>
  <c r="E14" i="54"/>
  <c r="G14" i="54" s="1"/>
  <c r="F31" i="54"/>
  <c r="H27" i="54"/>
  <c r="H5" i="54"/>
  <c r="B5" i="54"/>
  <c r="B4" i="54"/>
  <c r="F31" i="52"/>
  <c r="E20" i="52"/>
  <c r="G20" i="52" s="1"/>
  <c r="E15" i="52"/>
  <c r="G15" i="52" s="1"/>
  <c r="E16" i="52"/>
  <c r="G16" i="52" s="1"/>
  <c r="E17" i="52"/>
  <c r="G17" i="52" s="1"/>
  <c r="E18" i="52"/>
  <c r="G18" i="52" s="1"/>
  <c r="H27" i="52"/>
  <c r="E19" i="52"/>
  <c r="G19" i="52" s="1"/>
  <c r="E14" i="52"/>
  <c r="G14" i="52" s="1"/>
  <c r="E9" i="52"/>
  <c r="G9" i="52" s="1"/>
  <c r="H5" i="52"/>
  <c r="B5" i="52"/>
  <c r="B4" i="52"/>
  <c r="E15" i="48"/>
  <c r="G15" i="48" s="1"/>
  <c r="E16" i="48"/>
  <c r="G16" i="48" s="1"/>
  <c r="E14" i="48"/>
  <c r="G14" i="48" s="1"/>
  <c r="E9" i="48"/>
  <c r="G9" i="48" s="1"/>
  <c r="F27" i="48"/>
  <c r="H23" i="48"/>
  <c r="B5" i="48"/>
  <c r="B4" i="48"/>
  <c r="G16" i="44"/>
  <c r="H25" i="44"/>
  <c r="G18" i="44"/>
  <c r="H5" i="44"/>
  <c r="B5" i="44"/>
  <c r="B4" i="44"/>
  <c r="G15" i="43"/>
  <c r="G14" i="43"/>
  <c r="H25" i="43"/>
  <c r="H5" i="43"/>
  <c r="B5" i="43"/>
  <c r="B4" i="43"/>
  <c r="H24" i="41"/>
  <c r="G16" i="41"/>
  <c r="G15" i="41"/>
  <c r="G14" i="41"/>
  <c r="H18" i="41" s="1"/>
  <c r="H5" i="41"/>
  <c r="B4" i="41"/>
  <c r="D129" i="26"/>
  <c r="H25" i="34"/>
  <c r="G17" i="34"/>
  <c r="G16" i="34"/>
  <c r="G15" i="34"/>
  <c r="H5" i="34"/>
  <c r="B5" i="34"/>
  <c r="B4" i="34"/>
  <c r="K9" i="33"/>
  <c r="H5" i="30"/>
  <c r="B5" i="30"/>
  <c r="H5" i="31"/>
  <c r="B5" i="31"/>
  <c r="H5" i="29"/>
  <c r="B5" i="29"/>
  <c r="H5" i="28"/>
  <c r="B5" i="28"/>
  <c r="B4" i="29"/>
  <c r="B4" i="30"/>
  <c r="B4" i="31"/>
  <c r="B4" i="28"/>
  <c r="K9" i="3"/>
  <c r="K28" i="3" s="1"/>
  <c r="B5" i="33"/>
  <c r="D5" i="33" s="1"/>
  <c r="C3" i="33"/>
  <c r="D35" i="28"/>
  <c r="G25" i="32"/>
  <c r="G24" i="32"/>
  <c r="G23" i="32"/>
  <c r="G22" i="32"/>
  <c r="G21" i="32"/>
  <c r="G20" i="32"/>
  <c r="G19" i="32"/>
  <c r="F14" i="32"/>
  <c r="F27" i="31"/>
  <c r="H23" i="31"/>
  <c r="D15" i="31"/>
  <c r="A15" i="31"/>
  <c r="D14" i="31"/>
  <c r="A14" i="31"/>
  <c r="F27" i="30"/>
  <c r="H23" i="30"/>
  <c r="A14" i="30"/>
  <c r="F28" i="29"/>
  <c r="H24" i="29"/>
  <c r="D14" i="29"/>
  <c r="H23" i="28"/>
  <c r="C29" i="27"/>
  <c r="C35" i="27" s="1"/>
  <c r="D25" i="27"/>
  <c r="D26" i="27" s="1"/>
  <c r="G11" i="32" s="1"/>
  <c r="C23" i="27"/>
  <c r="C25" i="27" s="1"/>
  <c r="C26" i="27" s="1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8" i="26"/>
  <c r="D137" i="26"/>
  <c r="D136" i="26"/>
  <c r="D135" i="26"/>
  <c r="D134" i="26"/>
  <c r="G14" i="31" s="1"/>
  <c r="D133" i="26"/>
  <c r="E14" i="30" s="1"/>
  <c r="G14" i="30" s="1"/>
  <c r="H17" i="30" s="1"/>
  <c r="D128" i="26"/>
  <c r="D127" i="26"/>
  <c r="E15" i="29" s="1"/>
  <c r="G15" i="29" s="1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E14" i="28" s="1"/>
  <c r="D37" i="26"/>
  <c r="D35" i="26"/>
  <c r="D34" i="26"/>
  <c r="D33" i="26"/>
  <c r="D32" i="26"/>
  <c r="D31" i="26"/>
  <c r="D30" i="26"/>
  <c r="D29" i="26"/>
  <c r="E16" i="29" s="1"/>
  <c r="G16" i="29" s="1"/>
  <c r="D28" i="26"/>
  <c r="E14" i="29" s="1"/>
  <c r="G14" i="29" s="1"/>
  <c r="D27" i="26"/>
  <c r="D26" i="26"/>
  <c r="D25" i="26"/>
  <c r="E17" i="29" s="1"/>
  <c r="G17" i="29" s="1"/>
  <c r="D24" i="26"/>
  <c r="G15" i="28" s="1"/>
  <c r="D23" i="26"/>
  <c r="G14" i="28" s="1"/>
  <c r="D18" i="95" l="1"/>
  <c r="G18" i="95" s="1"/>
  <c r="H20" i="95" s="1"/>
  <c r="D18" i="112"/>
  <c r="G18" i="112" s="1"/>
  <c r="H20" i="112" s="1"/>
  <c r="E38" i="1" s="1"/>
  <c r="D21" i="82"/>
  <c r="G21" i="82" s="1"/>
  <c r="H23" i="82" s="1"/>
  <c r="E50" i="1" s="1"/>
  <c r="F50" i="1" s="1"/>
  <c r="D21" i="81"/>
  <c r="G21" i="81" s="1"/>
  <c r="H23" i="81" s="1"/>
  <c r="E31" i="1" s="1"/>
  <c r="F31" i="1" s="1"/>
  <c r="D17" i="79"/>
  <c r="G17" i="79" s="1"/>
  <c r="H19" i="79" s="1"/>
  <c r="E13" i="1" s="1"/>
  <c r="F13" i="1" s="1"/>
  <c r="D17" i="80"/>
  <c r="G17" i="80" s="1"/>
  <c r="H19" i="80" s="1"/>
  <c r="E43" i="1" s="1"/>
  <c r="F43" i="1" s="1"/>
  <c r="D37" i="76"/>
  <c r="G37" i="76" s="1"/>
  <c r="H39" i="76" s="1"/>
  <c r="H42" i="76" s="1"/>
  <c r="E42" i="1" s="1"/>
  <c r="F42" i="1" s="1"/>
  <c r="F40" i="1" s="1"/>
  <c r="D39" i="75"/>
  <c r="G39" i="75" s="1"/>
  <c r="H41" i="75" s="1"/>
  <c r="H44" i="75" s="1"/>
  <c r="E20" i="1" s="1"/>
  <c r="F20" i="1" s="1"/>
  <c r="D20" i="70"/>
  <c r="G20" i="70" s="1"/>
  <c r="H22" i="70" s="1"/>
  <c r="E30" i="1" s="1"/>
  <c r="F30" i="1" s="1"/>
  <c r="D20" i="74"/>
  <c r="G20" i="74" s="1"/>
  <c r="H22" i="74" s="1"/>
  <c r="E48" i="1" s="1"/>
  <c r="F48" i="1" s="1"/>
  <c r="D20" i="72"/>
  <c r="G20" i="72" s="1"/>
  <c r="H22" i="72" s="1"/>
  <c r="E53" i="1" s="1"/>
  <c r="F53" i="1" s="1"/>
  <c r="D17" i="73"/>
  <c r="G17" i="73" s="1"/>
  <c r="H19" i="73" s="1"/>
  <c r="D16" i="71"/>
  <c r="G16" i="71" s="1"/>
  <c r="H18" i="71" s="1"/>
  <c r="E52" i="1" s="1"/>
  <c r="F52" i="1" s="1"/>
  <c r="F51" i="1" s="1"/>
  <c r="D18" i="69"/>
  <c r="G18" i="69" s="1"/>
  <c r="H20" i="69" s="1"/>
  <c r="D20" i="68"/>
  <c r="G20" i="68" s="1"/>
  <c r="H22" i="68" s="1"/>
  <c r="E45" i="1" s="1"/>
  <c r="F45" i="1" s="1"/>
  <c r="D19" i="66"/>
  <c r="G19" i="66" s="1"/>
  <c r="H21" i="66" s="1"/>
  <c r="D22" i="67"/>
  <c r="G22" i="67" s="1"/>
  <c r="H24" i="67" s="1"/>
  <c r="D21" i="64"/>
  <c r="G21" i="64" s="1"/>
  <c r="H23" i="64" s="1"/>
  <c r="E33" i="1" s="1"/>
  <c r="F33" i="1" s="1"/>
  <c r="D17" i="65"/>
  <c r="G17" i="65" s="1"/>
  <c r="H19" i="65" s="1"/>
  <c r="D18" i="61"/>
  <c r="G18" i="61" s="1"/>
  <c r="H20" i="61" s="1"/>
  <c r="E29" i="1" s="1"/>
  <c r="F29" i="1" s="1"/>
  <c r="D19" i="62"/>
  <c r="G19" i="62" s="1"/>
  <c r="H21" i="62" s="1"/>
  <c r="E28" i="1" s="1"/>
  <c r="F28" i="1" s="1"/>
  <c r="D38" i="29"/>
  <c r="D37" i="56"/>
  <c r="G37" i="56" s="1"/>
  <c r="D40" i="55"/>
  <c r="G40" i="55" s="1"/>
  <c r="D38" i="31"/>
  <c r="D38" i="56"/>
  <c r="G38" i="56" s="1"/>
  <c r="G41" i="55"/>
  <c r="D29" i="44"/>
  <c r="D26" i="48"/>
  <c r="D28" i="41"/>
  <c r="D27" i="41"/>
  <c r="D31" i="54"/>
  <c r="D30" i="54"/>
  <c r="D31" i="52"/>
  <c r="D28" i="44"/>
  <c r="D27" i="48"/>
  <c r="D30" i="52"/>
  <c r="D6" i="1"/>
  <c r="K28" i="33"/>
  <c r="K10" i="2"/>
  <c r="K11" i="2"/>
  <c r="D41" i="52"/>
  <c r="D42" i="52"/>
  <c r="D41" i="54"/>
  <c r="D38" i="41"/>
  <c r="D37" i="48"/>
  <c r="D42" i="54"/>
  <c r="D39" i="41"/>
  <c r="D39" i="43"/>
  <c r="D38" i="48"/>
  <c r="D40" i="43"/>
  <c r="D39" i="44"/>
  <c r="D40" i="44"/>
  <c r="H21" i="54"/>
  <c r="H21" i="52"/>
  <c r="H17" i="48"/>
  <c r="H19" i="44"/>
  <c r="H19" i="43"/>
  <c r="D39" i="34"/>
  <c r="D40" i="34"/>
  <c r="H19" i="34"/>
  <c r="H18" i="29"/>
  <c r="C5" i="33"/>
  <c r="D39" i="29"/>
  <c r="H17" i="28"/>
  <c r="G12" i="32"/>
  <c r="H11" i="32"/>
  <c r="G13" i="32"/>
  <c r="H13" i="32" s="1"/>
  <c r="D26" i="31"/>
  <c r="D26" i="30"/>
  <c r="D26" i="28"/>
  <c r="D27" i="29"/>
  <c r="D27" i="31"/>
  <c r="D27" i="30"/>
  <c r="D27" i="28"/>
  <c r="D28" i="29"/>
  <c r="F35" i="27"/>
  <c r="D9" i="26" s="1"/>
  <c r="D35" i="27"/>
  <c r="E35" i="27" s="1"/>
  <c r="G35" i="27" s="1"/>
  <c r="C32" i="27"/>
  <c r="C37" i="27"/>
  <c r="D37" i="30"/>
  <c r="D37" i="31"/>
  <c r="D29" i="27"/>
  <c r="E29" i="27" s="1"/>
  <c r="G29" i="27" s="1"/>
  <c r="G47" i="27" s="1"/>
  <c r="C34" i="27"/>
  <c r="E15" i="31"/>
  <c r="G15" i="31" s="1"/>
  <c r="H17" i="31" s="1"/>
  <c r="F2" i="27"/>
  <c r="C31" i="27"/>
  <c r="C39" i="27"/>
  <c r="D38" i="30"/>
  <c r="F29" i="27"/>
  <c r="C36" i="27"/>
  <c r="C33" i="27"/>
  <c r="C30" i="27"/>
  <c r="C38" i="27"/>
  <c r="E46" i="1" l="1"/>
  <c r="F46" i="1" s="1"/>
  <c r="E47" i="1"/>
  <c r="F47" i="1" s="1"/>
  <c r="F44" i="1" s="1"/>
  <c r="F27" i="1"/>
  <c r="E39" i="1"/>
  <c r="F39" i="1" s="1"/>
  <c r="E37" i="1"/>
  <c r="F37" i="1" s="1"/>
  <c r="F38" i="1"/>
  <c r="H39" i="56"/>
  <c r="H42" i="56" s="1"/>
  <c r="E23" i="1" s="1"/>
  <c r="F23" i="1" s="1"/>
  <c r="H42" i="55"/>
  <c r="H45" i="55" s="1"/>
  <c r="E22" i="1" s="1"/>
  <c r="C26" i="28"/>
  <c r="C30" i="52"/>
  <c r="E30" i="52" s="1"/>
  <c r="G30" i="52" s="1"/>
  <c r="C30" i="54"/>
  <c r="E30" i="54" s="1"/>
  <c r="G30" i="54" s="1"/>
  <c r="C26" i="48"/>
  <c r="C27" i="41"/>
  <c r="E27" i="41" s="1"/>
  <c r="G27" i="41" s="1"/>
  <c r="C27" i="29"/>
  <c r="E27" i="29" s="1"/>
  <c r="G27" i="29" s="1"/>
  <c r="C28" i="44"/>
  <c r="E28" i="44" s="1"/>
  <c r="G28" i="44" s="1"/>
  <c r="E26" i="48"/>
  <c r="G26" i="48" s="1"/>
  <c r="K27" i="2"/>
  <c r="D5" i="1" s="1"/>
  <c r="F34" i="27"/>
  <c r="D8" i="26" s="1"/>
  <c r="D34" i="27"/>
  <c r="E34" i="27" s="1"/>
  <c r="G34" i="27" s="1"/>
  <c r="D30" i="27"/>
  <c r="F30" i="27"/>
  <c r="D4" i="26" s="1"/>
  <c r="E30" i="27"/>
  <c r="G30" i="27" s="1"/>
  <c r="D33" i="27"/>
  <c r="E33" i="27" s="1"/>
  <c r="G33" i="27" s="1"/>
  <c r="F33" i="27"/>
  <c r="F39" i="27"/>
  <c r="D13" i="26" s="1"/>
  <c r="D39" i="27"/>
  <c r="E39" i="27" s="1"/>
  <c r="G39" i="27" s="1"/>
  <c r="G14" i="32"/>
  <c r="H14" i="32" s="1"/>
  <c r="H12" i="32"/>
  <c r="F36" i="27"/>
  <c r="D10" i="26" s="1"/>
  <c r="D36" i="27"/>
  <c r="E36" i="27" s="1"/>
  <c r="G36" i="27" s="1"/>
  <c r="C26" i="31"/>
  <c r="E26" i="31" s="1"/>
  <c r="G26" i="31" s="1"/>
  <c r="C26" i="30"/>
  <c r="E26" i="30" s="1"/>
  <c r="G26" i="30" s="1"/>
  <c r="F47" i="27"/>
  <c r="D21" i="26" s="1"/>
  <c r="D3" i="26"/>
  <c r="F31" i="27"/>
  <c r="D31" i="27"/>
  <c r="E31" i="27" s="1"/>
  <c r="G31" i="27" s="1"/>
  <c r="F37" i="27"/>
  <c r="D11" i="26" s="1"/>
  <c r="D37" i="27"/>
  <c r="E37" i="27" s="1"/>
  <c r="G37" i="27" s="1"/>
  <c r="D38" i="27"/>
  <c r="E38" i="27" s="1"/>
  <c r="G38" i="27" s="1"/>
  <c r="F38" i="27"/>
  <c r="F32" i="27"/>
  <c r="D32" i="27"/>
  <c r="E32" i="27" s="1"/>
  <c r="G32" i="27" s="1"/>
  <c r="F32" i="1" l="1"/>
  <c r="C27" i="28"/>
  <c r="E27" i="28" s="1"/>
  <c r="G27" i="28" s="1"/>
  <c r="C27" i="48"/>
  <c r="E27" i="48" s="1"/>
  <c r="G27" i="48" s="1"/>
  <c r="H31" i="48" s="1"/>
  <c r="G8" i="48" s="1"/>
  <c r="H11" i="48" s="1"/>
  <c r="H33" i="48" s="1"/>
  <c r="G38" i="48" s="1"/>
  <c r="H33" i="43"/>
  <c r="H35" i="43" s="1"/>
  <c r="G40" i="43" s="1"/>
  <c r="C29" i="44"/>
  <c r="E29" i="44" s="1"/>
  <c r="H33" i="34"/>
  <c r="H12" i="34" s="1"/>
  <c r="H35" i="34" s="1"/>
  <c r="C31" i="54"/>
  <c r="E31" i="54" s="1"/>
  <c r="G31" i="54" s="1"/>
  <c r="H35" i="54" s="1"/>
  <c r="G8" i="54" s="1"/>
  <c r="H11" i="54" s="1"/>
  <c r="H37" i="54" s="1"/>
  <c r="C31" i="52"/>
  <c r="E31" i="52" s="1"/>
  <c r="G31" i="52" s="1"/>
  <c r="H35" i="52" s="1"/>
  <c r="G8" i="52" s="1"/>
  <c r="H11" i="52" s="1"/>
  <c r="H37" i="52" s="1"/>
  <c r="G42" i="52" s="1"/>
  <c r="C28" i="41"/>
  <c r="E28" i="41" s="1"/>
  <c r="G28" i="41" s="1"/>
  <c r="H32" i="41" s="1"/>
  <c r="H11" i="41" s="1"/>
  <c r="H34" i="41" s="1"/>
  <c r="G41" i="52"/>
  <c r="G43" i="27"/>
  <c r="D6" i="26"/>
  <c r="C28" i="29"/>
  <c r="E28" i="29" s="1"/>
  <c r="G28" i="29" s="1"/>
  <c r="H32" i="29" s="1"/>
  <c r="G8" i="29" s="1"/>
  <c r="H11" i="29" s="1"/>
  <c r="H34" i="29" s="1"/>
  <c r="F46" i="27"/>
  <c r="D20" i="26" s="1"/>
  <c r="F42" i="27"/>
  <c r="D16" i="26" s="1"/>
  <c r="C27" i="31"/>
  <c r="E27" i="31" s="1"/>
  <c r="G27" i="31" s="1"/>
  <c r="H31" i="31" s="1"/>
  <c r="G8" i="31" s="1"/>
  <c r="H11" i="31" s="1"/>
  <c r="H33" i="31" s="1"/>
  <c r="C27" i="30"/>
  <c r="E27" i="30" s="1"/>
  <c r="G27" i="30" s="1"/>
  <c r="H31" i="30" s="1"/>
  <c r="G8" i="30" s="1"/>
  <c r="H11" i="30" s="1"/>
  <c r="H33" i="30" s="1"/>
  <c r="F45" i="27"/>
  <c r="D19" i="26" s="1"/>
  <c r="F41" i="27"/>
  <c r="D15" i="26" s="1"/>
  <c r="D5" i="26"/>
  <c r="F44" i="27"/>
  <c r="D18" i="26" s="1"/>
  <c r="F40" i="27"/>
  <c r="D14" i="26" s="1"/>
  <c r="E26" i="28"/>
  <c r="G26" i="28" s="1"/>
  <c r="H29" i="28" s="1"/>
  <c r="D7" i="26"/>
  <c r="F43" i="27"/>
  <c r="D17" i="26" s="1"/>
  <c r="D12" i="26"/>
  <c r="I10" i="32"/>
  <c r="G46" i="27"/>
  <c r="G42" i="27"/>
  <c r="G45" i="27"/>
  <c r="G41" i="27"/>
  <c r="G44" i="27"/>
  <c r="G40" i="27"/>
  <c r="H43" i="52" l="1"/>
  <c r="H46" i="52" s="1"/>
  <c r="E18" i="1" s="1"/>
  <c r="G29" i="44"/>
  <c r="H33" i="44" s="1"/>
  <c r="H13" i="44" s="1"/>
  <c r="H35" i="44" s="1"/>
  <c r="G37" i="48"/>
  <c r="H39" i="48" s="1"/>
  <c r="H42" i="48" s="1"/>
  <c r="E17" i="1" s="1"/>
  <c r="G39" i="34"/>
  <c r="G40" i="34"/>
  <c r="G42" i="54"/>
  <c r="G41" i="54"/>
  <c r="G38" i="41"/>
  <c r="G39" i="41"/>
  <c r="G39" i="43"/>
  <c r="H41" i="43" s="1"/>
  <c r="H44" i="43" s="1"/>
  <c r="E15" i="1" s="1"/>
  <c r="G8" i="28"/>
  <c r="H11" i="28" s="1"/>
  <c r="H31" i="28" s="1"/>
  <c r="G35" i="28" s="1"/>
  <c r="G38" i="31"/>
  <c r="G37" i="31"/>
  <c r="G38" i="29"/>
  <c r="G39" i="29"/>
  <c r="G38" i="30"/>
  <c r="G37" i="30"/>
  <c r="H43" i="54" l="1"/>
  <c r="H46" i="54" s="1"/>
  <c r="E19" i="1" s="1"/>
  <c r="G40" i="44"/>
  <c r="G39" i="44"/>
  <c r="H41" i="34"/>
  <c r="H44" i="34" s="1"/>
  <c r="E10" i="1" s="1"/>
  <c r="H40" i="41"/>
  <c r="H43" i="41" s="1"/>
  <c r="E11" i="1" s="1"/>
  <c r="G36" i="28"/>
  <c r="H37" i="28" s="1"/>
  <c r="H40" i="28" s="1"/>
  <c r="H39" i="31"/>
  <c r="H42" i="31" s="1"/>
  <c r="H40" i="29"/>
  <c r="H43" i="29" s="1"/>
  <c r="E8" i="1" s="1"/>
  <c r="H39" i="30"/>
  <c r="H42" i="30" s="1"/>
  <c r="E7" i="1" s="1"/>
  <c r="H41" i="44" l="1"/>
  <c r="H44" i="44" s="1"/>
  <c r="E16" i="1" s="1"/>
  <c r="E5" i="1"/>
  <c r="F5" i="1" s="1"/>
  <c r="K11" i="15"/>
  <c r="K10" i="15"/>
  <c r="K11" i="16"/>
  <c r="K10" i="16"/>
  <c r="K10" i="18"/>
  <c r="K28" i="17"/>
  <c r="K9" i="4"/>
  <c r="K27" i="16" l="1"/>
  <c r="D22" i="1" s="1"/>
  <c r="K27" i="15"/>
  <c r="D19" i="1" s="1"/>
  <c r="K28" i="7"/>
  <c r="D11" i="1" s="1"/>
  <c r="F11" i="1" s="1"/>
  <c r="K11" i="18"/>
  <c r="K27" i="18" s="1"/>
  <c r="K28" i="4"/>
  <c r="D8" i="1" s="1"/>
  <c r="F8" i="1" s="1"/>
  <c r="F17" i="1"/>
  <c r="F16" i="1"/>
  <c r="F15" i="1"/>
  <c r="D10" i="1"/>
  <c r="F10" i="1" s="1"/>
  <c r="F7" i="1"/>
  <c r="F6" i="1"/>
  <c r="D5" i="18"/>
  <c r="C5" i="18"/>
  <c r="C3" i="18"/>
  <c r="D5" i="17"/>
  <c r="C5" i="17"/>
  <c r="C3" i="17"/>
  <c r="D5" i="16"/>
  <c r="C5" i="16"/>
  <c r="C3" i="16"/>
  <c r="D5" i="15"/>
  <c r="C5" i="15"/>
  <c r="C3" i="15"/>
  <c r="D5" i="14"/>
  <c r="C5" i="14"/>
  <c r="C3" i="14"/>
  <c r="D5" i="13"/>
  <c r="C5" i="13"/>
  <c r="C3" i="13"/>
  <c r="D5" i="12"/>
  <c r="C5" i="12"/>
  <c r="C3" i="12"/>
  <c r="D5" i="11"/>
  <c r="C5" i="11"/>
  <c r="C3" i="11"/>
  <c r="D5" i="7"/>
  <c r="C5" i="7"/>
  <c r="C3" i="7"/>
  <c r="D5" i="5"/>
  <c r="C5" i="5"/>
  <c r="C3" i="5"/>
  <c r="D5" i="4"/>
  <c r="C5" i="4"/>
  <c r="C3" i="4"/>
  <c r="D5" i="3"/>
  <c r="C5" i="3"/>
  <c r="C3" i="3"/>
  <c r="C5" i="2"/>
  <c r="C3" i="2"/>
  <c r="F9" i="1" l="1"/>
  <c r="F22" i="1"/>
  <c r="F21" i="1" s="1"/>
  <c r="F4" i="1"/>
  <c r="F18" i="1"/>
  <c r="F19" i="1"/>
  <c r="D5" i="2"/>
  <c r="F14" i="1" l="1"/>
  <c r="F55" i="1" s="1"/>
  <c r="F56" i="1" l="1"/>
  <c r="F58" i="1" s="1"/>
  <c r="F4" i="32"/>
  <c r="J14" i="32" s="1"/>
  <c r="K25" i="32"/>
  <c r="K26" i="32" s="1"/>
  <c r="J13" i="32" l="1"/>
  <c r="J11" i="32"/>
  <c r="F18" i="32"/>
  <c r="F20" i="32" s="1"/>
  <c r="F23" i="32" s="1"/>
  <c r="H23" i="32" s="1"/>
  <c r="J23" i="32" s="1"/>
  <c r="J9" i="32"/>
  <c r="J12" i="32"/>
  <c r="F57" i="1"/>
  <c r="F59" i="1"/>
  <c r="F25" i="32" l="1"/>
  <c r="H25" i="32" s="1"/>
  <c r="J25" i="32" s="1"/>
  <c r="J10" i="32"/>
  <c r="H20" i="32"/>
  <c r="J20" i="32" s="1"/>
  <c r="F24" i="32"/>
  <c r="H24" i="32" s="1"/>
  <c r="J24" i="32" s="1"/>
  <c r="F19" i="32"/>
  <c r="F21" i="32" s="1"/>
  <c r="H21" i="32" s="1"/>
  <c r="J21" i="32" s="1"/>
  <c r="H18" i="32"/>
  <c r="J18" i="32" s="1"/>
  <c r="F60" i="1"/>
  <c r="H19" i="32" l="1"/>
  <c r="J19" i="32" s="1"/>
  <c r="F22" i="32"/>
  <c r="H22" i="32" s="1"/>
  <c r="J22" i="32" s="1"/>
  <c r="J17" i="32" l="1"/>
  <c r="J16" i="32" s="1"/>
  <c r="I17" i="32"/>
  <c r="I26" i="32" s="1"/>
  <c r="J26" i="32" s="1"/>
  <c r="J29" i="32" s="1"/>
</calcChain>
</file>

<file path=xl/sharedStrings.xml><?xml version="1.0" encoding="utf-8"?>
<sst xmlns="http://schemas.openxmlformats.org/spreadsheetml/2006/main" count="3422" uniqueCount="635">
  <si>
    <t xml:space="preserve">ALCALDIA DE AGUADAS </t>
  </si>
  <si>
    <t>ITEM</t>
  </si>
  <si>
    <t>ACTIVIDAD</t>
  </si>
  <si>
    <t>UNIDAD</t>
  </si>
  <si>
    <t>CANTIDAD</t>
  </si>
  <si>
    <t>VR. UNITARIO</t>
  </si>
  <si>
    <t xml:space="preserve">VR TOTAL </t>
  </si>
  <si>
    <t>PRELIMINARES</t>
  </si>
  <si>
    <t>SUMINISTRO, TRANSPORTE E INSTALACIÓN DE SEÑAL PREVENTIVA, REGLAMENTARIA E INFORMATIVA</t>
  </si>
  <si>
    <t xml:space="preserve">DESMONTES </t>
  </si>
  <si>
    <t>CUBIERTA</t>
  </si>
  <si>
    <t>SUMINISTRO, TRANSPORTE E INSTALACION CANAL EN LAMINA GALVANIZADA CAL .20 D/ 0.60 M. (SUMINISTRO E INSTALACIÓN CON WASH PRIMER + ESMALTE + ANCLAJE A MURO + SILICONA)</t>
  </si>
  <si>
    <t>SUMINISTRO, TRANSPORTE E INSTALACION BAJANTE AGUAS LLUVIAS PVC 3" (INCLUYE CODO, UNION Y ACCESORIOS DE FIJACION)</t>
  </si>
  <si>
    <t>M2</t>
  </si>
  <si>
    <t>UND</t>
  </si>
  <si>
    <t>ML</t>
  </si>
  <si>
    <t>COSTO DIRECTO</t>
  </si>
  <si>
    <t>ADMINISTRACIÓN</t>
  </si>
  <si>
    <t>IMPREVISTOS</t>
  </si>
  <si>
    <t>UTILIDAD</t>
  </si>
  <si>
    <t xml:space="preserve">MEMORIAS DE CALCULO DE CANTIDADES DE OBRA </t>
  </si>
  <si>
    <r>
      <rPr>
        <b/>
        <sz val="10"/>
        <rFont val="Arial"/>
        <family val="2"/>
      </rPr>
      <t xml:space="preserve"> Contratista:</t>
    </r>
    <r>
      <rPr>
        <sz val="10"/>
        <rFont val="Arial"/>
        <family val="2"/>
      </rPr>
      <t xml:space="preserve"> </t>
    </r>
  </si>
  <si>
    <t xml:space="preserve"> Objeto:  </t>
  </si>
  <si>
    <t xml:space="preserve">Base
No. </t>
  </si>
  <si>
    <t>Item No.</t>
  </si>
  <si>
    <t>Unidad</t>
  </si>
  <si>
    <t>Descripción</t>
  </si>
  <si>
    <t>Acta</t>
  </si>
  <si>
    <t xml:space="preserve"> Fecha preacta</t>
  </si>
  <si>
    <t>PRESUPUESTO DE OBRA</t>
  </si>
  <si>
    <t xml:space="preserve">Localización / Descripción </t>
  </si>
  <si>
    <t>Dimensiones promedio</t>
  </si>
  <si>
    <t xml:space="preserve"> Medida Total</t>
  </si>
  <si>
    <t xml:space="preserve"> Ancho (m)</t>
  </si>
  <si>
    <t>Longitud (m)</t>
  </si>
  <si>
    <t>Espesor / Altura (m)</t>
  </si>
  <si>
    <t>Área          (m2)</t>
  </si>
  <si>
    <t>Volumen (m3)</t>
  </si>
  <si>
    <t xml:space="preserve">Nº Elementos / factor de expansión </t>
  </si>
  <si>
    <t>Supervisor</t>
  </si>
  <si>
    <t>Contratista</t>
  </si>
  <si>
    <t>Total Item Acumulado</t>
  </si>
  <si>
    <t xml:space="preserve">SUMINISTRO, TRANSPORTE E INSTALACION BARRERA CON BOMBONES PLÁSTICOS, CINTA DE SEGURIDAD Y YUTE PARA CERRAMIENTO </t>
  </si>
  <si>
    <t>BASE DE DATOS PERSONAL/MATERIALES/EQUIPOS</t>
  </si>
  <si>
    <t>DESCRIPCIÓN</t>
  </si>
  <si>
    <t>VALOR UNITARIO</t>
  </si>
  <si>
    <t>IPC 2024</t>
  </si>
  <si>
    <t>AYUDANTE</t>
  </si>
  <si>
    <t>Día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</si>
  <si>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</si>
  <si>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</si>
  <si>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</si>
  <si>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</si>
  <si>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</si>
  <si>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</si>
  <si>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</si>
  <si>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</si>
  <si>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</si>
  <si>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</si>
  <si>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</si>
  <si>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</si>
  <si>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</si>
  <si>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</si>
  <si>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</si>
  <si>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</si>
  <si>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</si>
  <si>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</si>
  <si>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ESTACA </t>
  </si>
  <si>
    <t>Un</t>
  </si>
  <si>
    <t>PINTURA EN VINILO</t>
  </si>
  <si>
    <t>1/4 GLN</t>
  </si>
  <si>
    <t xml:space="preserve">CINTA DE SEÑALIZACIÓN </t>
  </si>
  <si>
    <t>ml</t>
  </si>
  <si>
    <t>PLASTICO</t>
  </si>
  <si>
    <t>HILO</t>
  </si>
  <si>
    <t>Rollo</t>
  </si>
  <si>
    <t>TELA YUTE H=2</t>
  </si>
  <si>
    <t>BOMBONES EN GUADUA</t>
  </si>
  <si>
    <t>UN</t>
  </si>
  <si>
    <t>AGUA</t>
  </si>
  <si>
    <t>LT</t>
  </si>
  <si>
    <t xml:space="preserve">MATERIAL DE BASE GRANULAR </t>
  </si>
  <si>
    <t>M3</t>
  </si>
  <si>
    <t xml:space="preserve">AFIRMADO </t>
  </si>
  <si>
    <t>CEMENTO</t>
  </si>
  <si>
    <t>KG</t>
  </si>
  <si>
    <t xml:space="preserve">ARENA </t>
  </si>
  <si>
    <t>TRITURADO</t>
  </si>
  <si>
    <t xml:space="preserve">LISTON EN AMARILLO 8 x.2.2 x3 </t>
  </si>
  <si>
    <t xml:space="preserve">PUNTILLA </t>
  </si>
  <si>
    <t>LB</t>
  </si>
  <si>
    <t>ANTISOL BLANCO (presentación 20 Kg)</t>
  </si>
  <si>
    <t>VARILLON ESQUELETAR SAJO</t>
  </si>
  <si>
    <t>ACERO DE REFUERZO</t>
  </si>
  <si>
    <t xml:space="preserve">TABLA FORMALETA </t>
  </si>
  <si>
    <t>PINTURA ACRILICA PURA AMARILLA PARA TRAFICO</t>
  </si>
  <si>
    <t>GL</t>
  </si>
  <si>
    <t>PINTURA ACRILICA PURA NEGRA PARA TRAFICO</t>
  </si>
  <si>
    <t>DISOLVENTE (3%) tiner</t>
  </si>
  <si>
    <t>ALAMBRE</t>
  </si>
  <si>
    <t>SOLDADURA 6/13</t>
  </si>
  <si>
    <t>GRASA O LUBRICANTE</t>
  </si>
  <si>
    <t>ACELERANTE SIKA-SET L</t>
  </si>
  <si>
    <t>CORDON SIKAROLD</t>
  </si>
  <si>
    <t>SELLO ELASTOMERICO</t>
  </si>
  <si>
    <t xml:space="preserve">TAPA ANTIRUIDO </t>
  </si>
  <si>
    <t>TAPA EN HF</t>
  </si>
  <si>
    <t>TUBERIA DE 10" PVC</t>
  </si>
  <si>
    <t xml:space="preserve">CAJA MEDIDOR </t>
  </si>
  <si>
    <t>GEOTEXTIL TEJIDO 2400</t>
  </si>
  <si>
    <t>POSTE EN ANGULO DE 2*2*1/4 DE 3M PARA SEÑAL</t>
  </si>
  <si>
    <t>SEÑAL (GRUPO 1). TABLERO EN LÁMINA GALVANIZADA DE 75CM*75CM, CALIBRE 16, REFLECTIVO TIPO 1/ INCLUYE POSTE</t>
  </si>
  <si>
    <t>ESFERAS REFLECTIVAS</t>
  </si>
  <si>
    <t>RESINA TERMOPLÁSTICA</t>
  </si>
  <si>
    <t>EQUIPO DE TOPOGRAFIA</t>
  </si>
  <si>
    <t>Hr</t>
  </si>
  <si>
    <t>COMPRESOR 120 HP, CON MARTILLO (INCLUYE TRANSPORTE DEL EQUIPO)</t>
  </si>
  <si>
    <t>MOTONIVELADORA  POTENCIA 215 HP, ANCHO DE CUCHILLA 4,27 M, PESO 18 TON.(INCLUYE OPERADOR Y TRANSPORTE DEL EQUIPO)</t>
  </si>
  <si>
    <t>VIBROCOMPACTADOR, POTENCIA 153 HP, PESO 10 TON. (INCLUYE OPERADOR Y TRANSPORTE DEL EQUIPO)</t>
  </si>
  <si>
    <t>CARROTANQUE DE AGUA 10000 LITROS.(INCLUYE OPERADOR Y TRANSPORTE DEL EQUIPO)</t>
  </si>
  <si>
    <t xml:space="preserve"> 
CARGADOR : POTENCIA EN EL VOLANTE 125 HP, CLASIFICACIÓN DE RPM DEL MOTOR 2300.(INCLUYE OPERADOR Y TRANSPORTE DEL EQUIPO)
</t>
  </si>
  <si>
    <t>VOLQUETA</t>
  </si>
  <si>
    <t>VIBRADOR TIPO RANA</t>
  </si>
  <si>
    <t xml:space="preserve">CONCRETADORA 1 SACO </t>
  </si>
  <si>
    <t>VIBRADOR DE CONCRETO</t>
  </si>
  <si>
    <t>REGLA VIBRATORIA A GASOLINA</t>
  </si>
  <si>
    <t>FORMALETA METALICA</t>
  </si>
  <si>
    <t>CIZALLA</t>
  </si>
  <si>
    <t>EQUIPO DE CORTE</t>
  </si>
  <si>
    <t>MAQUINA DE SELLADO</t>
  </si>
  <si>
    <t>CAMIONETA D300</t>
  </si>
  <si>
    <t>EQUIPO AUTOPROPULSADO PARA PINTURA TERMOPLÁSTICA</t>
  </si>
  <si>
    <t>CEPILLO TEXTURIZADOR DE CONCRETO</t>
  </si>
  <si>
    <t>REJA SUMIDERO DOBLE</t>
  </si>
  <si>
    <t>CEPA DE GUADUA</t>
  </si>
  <si>
    <t>GRAPAS</t>
  </si>
  <si>
    <t>CAJA</t>
  </si>
  <si>
    <t>Tuberia de Drenaje de 4 Pulgadas Drainpipe</t>
  </si>
  <si>
    <t>SEÑAL PREVENTIVA</t>
  </si>
  <si>
    <t>VALLA INSTITUCIONAL 2x4</t>
  </si>
  <si>
    <t>VOLQUETA Y DISPOSICIÓN FINAL DE MATERIAL</t>
  </si>
  <si>
    <t>TUBERIA NOVAFORT 12"</t>
  </si>
  <si>
    <t xml:space="preserve">FORMALETA CIRCULAR </t>
  </si>
  <si>
    <t>CONCRETO 3000 P.S.I</t>
  </si>
  <si>
    <t xml:space="preserve">TUBERIA NOVAFORT 6" </t>
  </si>
  <si>
    <t>SILLA Y DE 12"X6"</t>
  </si>
  <si>
    <t>ADHESIVO ACONDICIONADOR</t>
  </si>
  <si>
    <t>CUARTO</t>
  </si>
  <si>
    <t>TUBERIA NOVAFORT 10"</t>
  </si>
  <si>
    <t>TUBERIA DE 2" UNION MECANICA</t>
  </si>
  <si>
    <t xml:space="preserve">MANGUERA PF+UAD DE 1/2" </t>
  </si>
  <si>
    <t xml:space="preserve">COLLAR DE DEREVACION DE 2" A 1/2" </t>
  </si>
  <si>
    <t>ADAPTADOR MACHO PF +UAD DE 1/2"</t>
  </si>
  <si>
    <t>CRUZ HD DE 2" POR 2"</t>
  </si>
  <si>
    <t xml:space="preserve">MATERIAL DE subBASE GRANULAR </t>
  </si>
  <si>
    <t>TELERA DE SAJO 0,2x0,4x3M</t>
  </si>
  <si>
    <t>MALLA ELECTROSOLDADA 4MM 15X15CM</t>
  </si>
  <si>
    <t>ANÁLISIS MANO DE OBRA</t>
  </si>
  <si>
    <t>AFP</t>
  </si>
  <si>
    <t>Salario Mínimo Mensual Legal Vigente año 2025</t>
  </si>
  <si>
    <t>Subsidio de Transporte (salario &lt;= 2 SMMLV)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</si>
  <si>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</si>
  <si>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</si>
  <si>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</si>
  <si>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</si>
  <si>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</si>
  <si>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</si>
  <si>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</si>
  <si>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</si>
  <si>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</si>
  <si>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</si>
  <si>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</si>
  <si>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</si>
  <si>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</si>
  <si>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</si>
  <si>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</si>
  <si>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</si>
  <si>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</si>
  <si>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</si>
  <si>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</si>
  <si>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Examenes medicos de ingreso y egreso</t>
  </si>
  <si>
    <t>NOMBRE</t>
  </si>
  <si>
    <t>SALARIO MENSUAL</t>
  </si>
  <si>
    <t>PRESTACIONES Y APORTES</t>
  </si>
  <si>
    <t>SALARIO + PRESTACIONES</t>
  </si>
  <si>
    <t>SALARIO DIA SIN PRESTACIONES</t>
  </si>
  <si>
    <t>SALARIO DIA</t>
  </si>
  <si>
    <t>Ayudante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</si>
  <si>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</si>
  <si>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</si>
  <si>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</si>
  <si>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</si>
  <si>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</si>
  <si>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</si>
  <si>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</si>
  <si>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</si>
  <si>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</si>
  <si>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</si>
  <si>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</si>
  <si>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</si>
  <si>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</si>
  <si>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</si>
  <si>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</si>
  <si>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</si>
  <si>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</si>
  <si>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</si>
  <si>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>FORMATO DE ANALISIS DE PRECIOS UNITARIOS-APU</t>
  </si>
  <si>
    <t>REPUBLICA DE COLOMBIA</t>
  </si>
  <si>
    <t>ANALISIS DE PRECIOS UNITARIOS</t>
  </si>
  <si>
    <t>OBJETO:</t>
  </si>
  <si>
    <t>ITEM:</t>
  </si>
  <si>
    <t>DESCRIPCIÓN:</t>
  </si>
  <si>
    <t>UNIDAD:</t>
  </si>
  <si>
    <t>I.EQUIPO</t>
  </si>
  <si>
    <t>Tipo</t>
  </si>
  <si>
    <t>Tarifa/Hora</t>
  </si>
  <si>
    <t>Rendimiento</t>
  </si>
  <si>
    <t>Valor-Unit.</t>
  </si>
  <si>
    <t>Sub-Total</t>
  </si>
  <si>
    <t>II. MATERIALES EN OBRA</t>
  </si>
  <si>
    <t>Precio-Unit.</t>
  </si>
  <si>
    <t>Cantidad</t>
  </si>
  <si>
    <t>III.TRANSPORTES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</si>
  <si>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</si>
  <si>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</si>
  <si>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</si>
  <si>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</si>
  <si>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</si>
  <si>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</si>
  <si>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</si>
  <si>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</si>
  <si>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</si>
  <si>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</si>
  <si>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</si>
  <si>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V. AU</t>
  </si>
  <si>
    <t xml:space="preserve">PORCENTAJE </t>
  </si>
  <si>
    <t xml:space="preserve">ADMINISTRACIÓN </t>
  </si>
  <si>
    <t xml:space="preserve">UTILIDADES </t>
  </si>
  <si>
    <t>Total Costo</t>
  </si>
  <si>
    <t>HERRAMIENTA MENOR</t>
  </si>
  <si>
    <t>YUTE VERDE H2M</t>
  </si>
  <si>
    <t>OBREROS (2)</t>
  </si>
  <si>
    <t>OFICIAL (1)</t>
  </si>
  <si>
    <t>DISCRIMINACION  DEL A.I.U.</t>
  </si>
  <si>
    <t>PROYECTO:</t>
  </si>
  <si>
    <t>Valor estimado de la Obra (Costo Directo).</t>
  </si>
  <si>
    <t>Valor</t>
  </si>
  <si>
    <t xml:space="preserve">Plazo estimado de ejecución </t>
  </si>
  <si>
    <t>Meses</t>
  </si>
  <si>
    <t>CAPITULO</t>
  </si>
  <si>
    <t>TIPO DE GASTO</t>
  </si>
  <si>
    <t>CANT</t>
  </si>
  <si>
    <t>DISPONIBILIDAD</t>
  </si>
  <si>
    <t>VALOR UNIT (mes)</t>
  </si>
  <si>
    <t>FACTOR</t>
  </si>
  <si>
    <t>VALOR TOTAL</t>
  </si>
  <si>
    <t>SUMA</t>
  </si>
  <si>
    <t>%</t>
  </si>
  <si>
    <t>GASTOS GENERALES.</t>
  </si>
  <si>
    <t>MANO DE OBRA Y GASTOS DE OFICINA</t>
  </si>
  <si>
    <t>Ingeniero Residente de Obra</t>
  </si>
  <si>
    <t>Profesional Social</t>
  </si>
  <si>
    <t>Profesional Siso</t>
  </si>
  <si>
    <t>GASTOS INDIRECTOS.</t>
  </si>
  <si>
    <t>IMPUESTOS Y VALORES AGREGADOS</t>
  </si>
  <si>
    <t xml:space="preserve">Contribución Especial </t>
  </si>
  <si>
    <t>Estampilla Pro Cultura</t>
  </si>
  <si>
    <t>Estampilla Prouniversidad</t>
  </si>
  <si>
    <t xml:space="preserve">Estampilla Prohospital </t>
  </si>
  <si>
    <t>Estampilla Proanciano</t>
  </si>
  <si>
    <t>Estampilla Prodeporte</t>
  </si>
  <si>
    <t>Reteica</t>
  </si>
  <si>
    <t>Polizas</t>
  </si>
  <si>
    <t>TOTAL GASTOS ADMINISTRACION</t>
  </si>
  <si>
    <t>TOTAL A.I.U.</t>
  </si>
  <si>
    <t>LOCALIZACIÓN Y REPLANTEO</t>
  </si>
  <si>
    <t>Valla</t>
  </si>
  <si>
    <t>SUMINISTRO, TRANSPORTE E INSTALACIÓN DE VALLA INFORMATIVA GENERAL DEL PROYECTO  2x4MTS</t>
  </si>
  <si>
    <t>CINTA REFLECTIVA DE SEGURIDAD (2 HILERAS)</t>
  </si>
  <si>
    <t>OBREROS (1)</t>
  </si>
  <si>
    <t>ANDAMIO METÁLICO</t>
  </si>
  <si>
    <t>$/hr</t>
  </si>
  <si>
    <t>VOLQUETA 6M3 (CARGUE A MANO) Y DISPOSICIÓN FINAL</t>
  </si>
  <si>
    <t>PLATINA L 0.90X0.10M X 1/4"</t>
  </si>
  <si>
    <t>VIGA CHANUL 20X20XM X 3M</t>
  </si>
  <si>
    <t>SIKADUR-42 ANCLAJE O SIMILAR</t>
  </si>
  <si>
    <t>PERNO GRADO 6</t>
  </si>
  <si>
    <t>VIGUETA CHANUL 3M</t>
  </si>
  <si>
    <t>COLUMNA DE MADERA CHANUL 12X12CM</t>
  </si>
  <si>
    <t>TORNILLO ESTRUCTURAL DRYWALL 8X12"</t>
  </si>
  <si>
    <t>ESMALTE SINTÉTICO 3 EN 1</t>
  </si>
  <si>
    <t>GAL</t>
  </si>
  <si>
    <t>VIGUETA DE MADERA CHANUL 12X4CM</t>
  </si>
  <si>
    <t>TABLA CHANUL 3M</t>
  </si>
  <si>
    <t>CUARTON CHANUL 3M</t>
  </si>
  <si>
    <t>SOPLETE GAS CON GATILLO QUEMADOR 25-35-50MM</t>
  </si>
  <si>
    <t>PINTURA BITUMINOSA</t>
  </si>
  <si>
    <t>EMULSIÓN ASFÁLTICA TIPO CRL-1</t>
  </si>
  <si>
    <t>IMPERMEABILIZACIÓN TIPO MANTO MORTER PLAS AL -80 E=35MM O SIMILAR</t>
  </si>
  <si>
    <t>SOPLETE GAS CON GATILLOO QUEMADOR 25-35-50MM</t>
  </si>
  <si>
    <t>LIMAHOYA ASBESTO CEMENTO PERFIL 7-1000</t>
  </si>
  <si>
    <t>MASILLA PLASTICA</t>
  </si>
  <si>
    <t>TELERA 20 CM X 4 CM X 3 M.</t>
  </si>
  <si>
    <t>MORTERO 1:4</t>
  </si>
  <si>
    <t>MANTO P4 Pro 4mm</t>
  </si>
  <si>
    <t>MALLA VENA 0.60X2M C34</t>
  </si>
  <si>
    <t>TEJA DE BARRO TIPO COLONIAL</t>
  </si>
  <si>
    <t>3.1.</t>
  </si>
  <si>
    <t>WASH PRIMER COMPONENTE A</t>
  </si>
  <si>
    <t>WASH PRIMER COMPONENTE B</t>
  </si>
  <si>
    <t>LAMINA GALVANIZADA CAL. 20</t>
  </si>
  <si>
    <t>PLATINA SOPORTE 3MM</t>
  </si>
  <si>
    <t>SOLDADURA DE ESTAÑO 60-40 250GR 1/16" (1.6MM)</t>
  </si>
  <si>
    <t>SIKAFLEX 1A O SIMILAR</t>
  </si>
  <si>
    <t>ESMALTE SINTETICO PINTULUX 3 EN 1 (No requiere anticorrosivo)</t>
  </si>
  <si>
    <t xml:space="preserve">WASH PRIMER COMPONENTE A - 1/4 GL  REF. 509A O SIMILAR </t>
  </si>
  <si>
    <t>WASH PRIMER COMPONENTE B - 1/4 GL REF. 509B O SIMILAR</t>
  </si>
  <si>
    <t>LAMINA GALVANIZADA CAL. 20 TIPO ACESCO O SIMILAR.</t>
  </si>
  <si>
    <t>PLATINA SOPORTE 3 MM</t>
  </si>
  <si>
    <t>SOLDADURA DE ESTAÑO 60-40 250GR 1/16"  (1.6 MM)</t>
  </si>
  <si>
    <t>SIKAFLEX 1A TUBO 305 CC O SIMILAR.</t>
  </si>
  <si>
    <t>ABRAZADERA EN ACERO</t>
  </si>
  <si>
    <t>CODO 90° 1/4 CXC SANITARIO 3''</t>
  </si>
  <si>
    <t>LIMPIADOR REM PVC 760 GRMS. (1/4)</t>
  </si>
  <si>
    <t>SOLDADURA PVC LIQUIDA 1/4</t>
  </si>
  <si>
    <t xml:space="preserve">TUBO PVC A.LL-VENTILACION  3'' </t>
  </si>
  <si>
    <t>UNION SANITARIA 3" PVC</t>
  </si>
  <si>
    <t>M</t>
  </si>
  <si>
    <t>INTERVINILO - TIPO PINTUCO REF. 2501 SEGÚN COLOR DISEÑO O SIMILAR</t>
  </si>
  <si>
    <t xml:space="preserve">VINILTEX ACRILTEX- TIPO PINTUCO REF. SEGÚN COLOR DISEÑO O SIMILAR. </t>
  </si>
  <si>
    <t>CINTA MALLA DE FIBRA DE VIDRIO ( 90 M. )</t>
  </si>
  <si>
    <t>PERFIL VIGUETA CIELO RASO x 2.4m CAL 26</t>
  </si>
  <si>
    <t>PERFIL OMEGA CAL 26 - 2.44 M.</t>
  </si>
  <si>
    <t>ÁNGULO CIELO RASO 20×30 CALIBRE 26 (0.38) X 2.44MT</t>
  </si>
  <si>
    <t>SUPERBOARD  ( 2.44 X 1.22 )  E= 6 MM</t>
  </si>
  <si>
    <t>TORNILLO AUTOPERFORANTE  EST.  7/16 "</t>
  </si>
  <si>
    <t>TORNILLO AUTOPERFORANTE YESO 6 X1</t>
  </si>
  <si>
    <t>TORNILLO PTA BROCA EXTRAPL. EST 8 X 1/2" ( 13MM )</t>
  </si>
  <si>
    <t>ROLLO</t>
  </si>
  <si>
    <t>LÁMINA TRIPLEX (1.22X2.44) E = 3.2MM</t>
  </si>
  <si>
    <t>MASILLA SUPERMASTIC USG X 28 KG</t>
  </si>
  <si>
    <t>CANECA</t>
  </si>
  <si>
    <t>DILATACION Z 8MM X3.05M</t>
  </si>
  <si>
    <t>FIBRA DE VIDRIO FRESCASA DE 3 1/2"</t>
  </si>
  <si>
    <t>SUMINISTRO, TRANSPORTE E INSTALACION IMPERMEABILIZACION Tipo Manto Morter Plas AL-80 de 3.5 mm con foil de aluminio o Similar. INCLUYE (Canales y/o cubiertas planas, incluye media cañas, remates, pintura bituminosa)</t>
  </si>
  <si>
    <t>HERRAMIENTA MENOR (5%MO)</t>
  </si>
  <si>
    <t>PUNTILLA CON CABEEZA 2"</t>
  </si>
  <si>
    <t>LM</t>
  </si>
  <si>
    <t>DURMIENTO 4X4</t>
  </si>
  <si>
    <t>DURMIENTE 4X4</t>
  </si>
  <si>
    <t>Señales preventivas</t>
  </si>
  <si>
    <t>Cerramiento de áreas</t>
  </si>
  <si>
    <t>Área auditorio</t>
  </si>
  <si>
    <t xml:space="preserve">DESMONTE DE CUBIERTA EN LÁMINA DE FIBROCEMENTO. INCLUYE RETIRO </t>
  </si>
  <si>
    <t>EQUIPO DE TRANSPORTE</t>
  </si>
  <si>
    <t>DIA</t>
  </si>
  <si>
    <t>TALADRO ROTO PERCUTOR</t>
  </si>
  <si>
    <t>ACARREO INTERNO</t>
  </si>
  <si>
    <t>CUADRILLA AA TIPO 2 (1 OFICIAL + 2 AYUDANTE) (Albañileria)</t>
  </si>
  <si>
    <t>TEJA TERMOACÚSTICA a= 0.82 m</t>
  </si>
  <si>
    <t>ACCESORIOS %</t>
  </si>
  <si>
    <t>KIT ARNÉS PARA ALTURAS</t>
  </si>
  <si>
    <t>ANDAMIO TUBULAR CON TIJERA 1.50x1.50 m</t>
  </si>
  <si>
    <t>TIJERA CORTA LÁMINA 10"</t>
  </si>
  <si>
    <t>CAMIÓN 350</t>
  </si>
  <si>
    <t>CUADRILLA 1 OF + 1 AY</t>
  </si>
  <si>
    <t>SUMINISTRO, TRANSPORTE E INSTALACIÓN DE TEJA TERMOACÚSTICA TIPO CINDURIB O SIMILAR, A=0.82 M, INCLUYE ACCESORIOS DE FIJACIÓN.</t>
  </si>
  <si>
    <t>DESMONTE CIELO RASO (INCLUYE RETIRO)</t>
  </si>
  <si>
    <t>SUMINISTRO, TRANSPORTE E INSTALACION CABALLETE TEJA TERMOACÚSTICA CINDULIT / CINDURIB O SIMILAR. COLOR SEGÚN DISEÑO</t>
  </si>
  <si>
    <t>ANDAMIO COLGANTE</t>
  </si>
  <si>
    <t>CABALLETE LISO TEJA TIPO CINDULIT / CINDURIB  L=3.05 M. O SIMILAR.  COLOR VERDE, AZUL O ROJO SEGÚN DISEÑO.</t>
  </si>
  <si>
    <t>TORNILLO AUTOPERFORANTE TEJA TIPO CINDU O SIMILAR. DIAM. 3/4".</t>
  </si>
  <si>
    <t>TALADRO ROJO PERCUTOR</t>
  </si>
  <si>
    <t>CIELO RASO</t>
  </si>
  <si>
    <t>Kg</t>
  </si>
  <si>
    <t>Gal</t>
  </si>
  <si>
    <t>RUEDA GIRATORIA PARA ANDAMIO</t>
  </si>
  <si>
    <t>CAMIONETA</t>
  </si>
  <si>
    <t>CUADRILLA PINTURA</t>
  </si>
  <si>
    <t>SUMINISTRO, TRANSPORTE E INSTALACIÓN DE PANEL LED 60X60 cm 38W</t>
  </si>
  <si>
    <t>PANEL LED 60x60 cm 38W</t>
  </si>
  <si>
    <t>CINTA AISLANTE SUPER 33 x 20 m</t>
  </si>
  <si>
    <t>ESCALERA DE ALUMINIO EN TIJERA 6 PASOS</t>
  </si>
  <si>
    <t>HERRAMIENTAS PARA ELECTRICISTA</t>
  </si>
  <si>
    <t>CUADRILLA ELECTRICISTA</t>
  </si>
  <si>
    <t>I.MATERIALES</t>
  </si>
  <si>
    <t>II. EQUIPO Y HERRAMIENTAS</t>
  </si>
  <si>
    <t>INP-01</t>
  </si>
  <si>
    <t>VLR. UNI.</t>
  </si>
  <si>
    <t>PUNTO ELÉCTRICO INCLUYE TUBERÍA CONDIUT, 3 CABLE AWG N°12 Y CAJA OCTAGONAL</t>
  </si>
  <si>
    <t>I. EQUIPO</t>
  </si>
  <si>
    <t>CANT/REND</t>
  </si>
  <si>
    <t>V/UNITARIO</t>
  </si>
  <si>
    <t>V/PARCIAL</t>
  </si>
  <si>
    <t>Herramienta menor</t>
  </si>
  <si>
    <t>SUBTOTAL</t>
  </si>
  <si>
    <t>II. MATERIALES</t>
  </si>
  <si>
    <t>Limpiador PVC</t>
  </si>
  <si>
    <t>GR</t>
  </si>
  <si>
    <t>Tubo Conduit PVC 1/2" x 3m</t>
  </si>
  <si>
    <t xml:space="preserve">Adaptador Terminal PVC 1/2" Conduit </t>
  </si>
  <si>
    <t>Caja galvanizada octagonal</t>
  </si>
  <si>
    <t>Alambre de cobre THHN/THWN #12 AWG</t>
  </si>
  <si>
    <t>Cinta Aislante super 33x20 m</t>
  </si>
  <si>
    <t>Tomacorriente o Interruptor o luminaria</t>
  </si>
  <si>
    <t>III. TRANSPORTES</t>
  </si>
  <si>
    <t>MATERIAL</t>
  </si>
  <si>
    <t>unidad</t>
  </si>
  <si>
    <t>tarifa</t>
  </si>
  <si>
    <t>cantidad</t>
  </si>
  <si>
    <t>Camioneta</t>
  </si>
  <si>
    <t>DESCRIPCION</t>
  </si>
  <si>
    <t>JNL. TOTAL</t>
  </si>
  <si>
    <t>Cuadrilla electricista</t>
  </si>
  <si>
    <t>DÍA</t>
  </si>
  <si>
    <t>TOTAL COSTOS DIRECTOS</t>
  </si>
  <si>
    <t>PRECIO TOTAL INCLUYE AIU</t>
  </si>
  <si>
    <t>Largo auditorio</t>
  </si>
  <si>
    <t>Viga canal existente</t>
  </si>
  <si>
    <t>Plancha existente</t>
  </si>
  <si>
    <t>vigas transversales</t>
  </si>
  <si>
    <t>Bajantes nuevas</t>
  </si>
  <si>
    <t>Auditorio</t>
  </si>
  <si>
    <t>Tarima</t>
  </si>
  <si>
    <t>Puntos eléctricos de luminaria nuevos</t>
  </si>
  <si>
    <t>REPOSICION DE REDES DE ACUEDUCTO Y ALCANTARILLADO EN LA CALLE 4 ENTRE CARRERAS 4 Y 5 Y EN LA CARRERA 5 ENTRE CALLES 4 Y 5 DEL MUNICIPIO DE AGUADAS CALDAS</t>
  </si>
  <si>
    <t>PINTURA</t>
  </si>
  <si>
    <t>SUMINISTRO E INSTALACION DE CIELO RASO EN PVC. INCLUYE ESTRUCTURA Y DEMAS ELEMENTOS DE FIJACION</t>
  </si>
  <si>
    <t>SUMINISTRO, TRANSPORTE E INSTALACION ESTUCO Y PINTURA TIPO KORAZA O SIMILAR 3 MANOS INTERNA (INCLUYE ESTUCO, 1 MANO EN PINTURA TIPO 2 Y DOS MANOS EN PINTURA TIPO KORAZA O SIMILAR, FILOS Y DILATACIONES).</t>
  </si>
  <si>
    <t>SUMINISTRO E INSTALACIÓN DE ESTUCO Y PINTURA PARA INTERIOR 3 MANOS. (INCLUYE ESTUCO, UNA MANO EN PINTURA TIPO 2 Y DOS MANOS EN PINTURA TIPO 1, FILOS Y DILATACIONES). COLOR BLANCO SEGÚN DISEÑO. INCLUYE MATERIALES, EQUIPOS, HERRAMIENTA Y MANO DE OBRA NECESARIOS PARA LA EJECUCIÓN DE LA ACTIVIDAD</t>
  </si>
  <si>
    <t xml:space="preserve">Muro exterior </t>
  </si>
  <si>
    <t>Lamina PVC</t>
  </si>
  <si>
    <t xml:space="preserve">Angulo </t>
  </si>
  <si>
    <t>Omegas</t>
  </si>
  <si>
    <t>Perfil perimetral</t>
  </si>
  <si>
    <t>Tornillo cabeza auto perforante</t>
  </si>
  <si>
    <t>Tornillo cabeza lenteja</t>
  </si>
  <si>
    <t>Andamio tubular con tijera 1.50x1.50m</t>
  </si>
  <si>
    <t>Rueda giratoria para andamio</t>
  </si>
  <si>
    <t>DÌA</t>
  </si>
  <si>
    <t>VALOR PARCIAL</t>
  </si>
  <si>
    <t>MATERIALES</t>
  </si>
  <si>
    <t>M0031</t>
  </si>
  <si>
    <t>ESTUCO</t>
  </si>
  <si>
    <t>gal</t>
  </si>
  <si>
    <t>M0088</t>
  </si>
  <si>
    <t>VINILTEX - TIPO PINTUCO PARA INTERIOR SEGÚN COLOR DISEÑO O SIMILAR</t>
  </si>
  <si>
    <t>M0045</t>
  </si>
  <si>
    <t>KORAZA - TIPO PINTUCO REF. 2650 SEGÚN COLOR DISEÑO O SIMILAR</t>
  </si>
  <si>
    <t>M0213</t>
  </si>
  <si>
    <t>PABMERIL PLIEGO 9" X 11"</t>
  </si>
  <si>
    <t>un</t>
  </si>
  <si>
    <t>HE0002</t>
  </si>
  <si>
    <t>ANDAMIO METALICO CERTIFICADO, INCLUYE ESCALERILLA CON BARANDAS Y PLATAFORMAS DE TRABAJO</t>
  </si>
  <si>
    <t>día</t>
  </si>
  <si>
    <t>HE0013</t>
  </si>
  <si>
    <t>MEZCLADORA A GASOLINA DE UN SACO</t>
  </si>
  <si>
    <t>hr</t>
  </si>
  <si>
    <t>TRANSPORTE</t>
  </si>
  <si>
    <t>HE0019</t>
  </si>
  <si>
    <t>TRANSPORTE MATERIAL (% Tuberia)</t>
  </si>
  <si>
    <t>MANO DE OBRA</t>
  </si>
  <si>
    <t>C1</t>
  </si>
  <si>
    <t>CUADRILLA TIPO 1 (1 of + 1 Ayu)</t>
  </si>
  <si>
    <t>LIJA DE AGUA</t>
  </si>
  <si>
    <t>Pliego</t>
  </si>
  <si>
    <t>ESTUCOR ESTUCO PLÁSTICO</t>
  </si>
  <si>
    <t>VINILO KORAZA EXTERIOR 1</t>
  </si>
  <si>
    <t>EQUIPO</t>
  </si>
  <si>
    <t>HERRAMIENTAS PARA PINTOR</t>
  </si>
  <si>
    <t>DESMONTE DE PISOS O PAREDES EN MADERA; INCLUYE ESTRUCTURA DE SOPORTE</t>
  </si>
  <si>
    <t>CUADRILLA #1</t>
  </si>
  <si>
    <t>SUMINISTRO, TRANSPORTE E INSTALACIÓN DE MUROS EN CONCRETO F'C 28 MPA</t>
  </si>
  <si>
    <t>CONCRETO DE 4000 PSI (28 MPA) PRODUCCIÓN</t>
  </si>
  <si>
    <t>MALLA ELECTROSOLDADA 6MM 15X15CM</t>
  </si>
  <si>
    <t>PUNTILLA CON CABEZA DE 2"</t>
  </si>
  <si>
    <t>LISTON 2 X 4</t>
  </si>
  <si>
    <t>TABLA CHAPA ORDINARIO 30 CM X 2 CM X 3 M</t>
  </si>
  <si>
    <t>SA0009</t>
  </si>
  <si>
    <t>M0104</t>
  </si>
  <si>
    <t>M0114</t>
  </si>
  <si>
    <t>M137</t>
  </si>
  <si>
    <t>IH0098</t>
  </si>
  <si>
    <t>HE0010</t>
  </si>
  <si>
    <t>VIBRADOR CONCRETO</t>
  </si>
  <si>
    <t>HE0015</t>
  </si>
  <si>
    <t>HE0027</t>
  </si>
  <si>
    <t>CORTADORA INCLUYE DISCO</t>
  </si>
  <si>
    <t>CUADRILLA TIPO 9 (1 of + 6 Ayu)</t>
  </si>
  <si>
    <t>PERFIL METÁLICO C 100X50X2.0 MM</t>
  </si>
  <si>
    <t>SUMINISTRO, TRANSPORTE E INSTALACION CERÁMICA DE PISO TIPO NACIONAL. ALFA O SIMILAR. (INCLUYE MORTERO DE NIVELACIÓN Y DILATACIÓN EN PVC)</t>
  </si>
  <si>
    <t>SUMINISTRO, TRANSPORTE E INSTALACIÓN DE CINTA-ANTIDESLIZANTE COLOR NEGRA 48MM, PARA PISOS, ESCALAS, RAMPAS Y ACCESOS INCLUYE ( TODOS LOS ACCESORIOS PARA SU CORRECTA INSTALACION,SEGÚN DISEÑO)</t>
  </si>
  <si>
    <t>CINTA ANTIDESLIZANTE DE 48MM</t>
  </si>
  <si>
    <t>Ml</t>
  </si>
  <si>
    <t xml:space="preserve">ACARREO INTERNO </t>
  </si>
  <si>
    <t>HR</t>
  </si>
  <si>
    <t>SUMINISTRO, INSTALACIÓN Y TRANSPORTE DE PISO FLOTANTE TIPO MADERA SEGÚN DISEÑO</t>
  </si>
  <si>
    <t>LÁMINA DE ESPUMA DE POLIETILENO DE 3MM DE ESPESOR BLANCO PLATESA</t>
  </si>
  <si>
    <t>Cinta autoadhesiva para sellado de juntas.</t>
  </si>
  <si>
    <t>Piso Laminado 6 mm Essen Caja 2.96 m2 Holztek</t>
  </si>
  <si>
    <t>Adhesivo, para interiores con presencia de humedad persistente y exteriores a la intemperie.</t>
  </si>
  <si>
    <t>TRANSPORTE MATERIAL</t>
  </si>
  <si>
    <t>Cuadrilla A 1 Of + 1 Ay (jornal + prestaciones)</t>
  </si>
  <si>
    <t>SUMINISTRO, TRANSPORTE E INSTALACIÓN DE ESCALERA DE ACCESO TIPO CHANUL, INCLUYE ESTRUCTURA METÁLICA DE SOPORTE, ACABADO CON LACA SELLADORA, ELEMENTOS DE FIJACIÓN Y DEMÁS ACCESORIOS REQUERIDOS PARA SU CORRECTA INSTALACIÓN Y FUNCIONAMIENTO.</t>
  </si>
  <si>
    <t>LACA SELLADOR POLIURETANO</t>
  </si>
  <si>
    <t>PARAL SOPORTE DE CIERRE MADERA</t>
  </si>
  <si>
    <t>PARAL SOPORTE TRAMO 0.20 X 0.05 M</t>
  </si>
  <si>
    <t>PASO Y CONTRAPASO SAPAN 0.30 M</t>
  </si>
  <si>
    <t>PERNO DE ANCLAJE 1/2”</t>
  </si>
  <si>
    <t>PLATINA DE APOYO 0.30 X 0.30 X 1/4”·</t>
  </si>
  <si>
    <t>PULODORA PISOS</t>
  </si>
  <si>
    <t>Cuadrilla A 1 Of + 1 Ay (Carpintería)</t>
  </si>
  <si>
    <t xml:space="preserve"> TARIMA</t>
  </si>
  <si>
    <t>PUERTAS Y OTROS</t>
  </si>
  <si>
    <t>SUMINISTRO, TRANSPORTE E INSTALACION PUERTA ENTAMBORADA EN LAMINA TRIPLEX OKUME - TIPO PIZANO OKUMÉ O SIMILAR. ANCHO: 0,76 A 1,10 M. ALTO: 1,80 A 2,40 M. HOJA LISA CON MARQUETE CAPACANTO OKUMÉ. ACABADO: TINTILLA, SELLADOR (MÍNIMO 6 MANOS) Y LACA SEGÚN DISEÑO. (INCLUYE BISAGRAS).</t>
  </si>
  <si>
    <t>ELÉCTRICA</t>
  </si>
  <si>
    <t xml:space="preserve">SUMINISTRO, TRANSPORTE E INSTALACION TOMACORRIENTE DOBLE </t>
  </si>
  <si>
    <t>TOMACORRIENTE DOBLE</t>
  </si>
  <si>
    <t>CINTA AISLANTE 3M</t>
  </si>
  <si>
    <t>CAJA METÁLICA GALVANIZADA</t>
  </si>
  <si>
    <t>ALAMBRE COBRE N° 12 THHN AWG</t>
  </si>
  <si>
    <t>ACCESORIOS DE FIJACIÓN</t>
  </si>
  <si>
    <t>CUADRILLA FF TIPO 2 (1 OFICIAL + 2 AYUDANTE) (Electricas)</t>
  </si>
  <si>
    <t>ALAMBRE  12AWG HFFR LS 600V 75º CT</t>
  </si>
  <si>
    <t>BALA LED CIRCULAR DE SOBREPONER 20W</t>
  </si>
  <si>
    <t>CINTA AISLANTE SCOTH</t>
  </si>
  <si>
    <t>PINTURA ESMALTE ANTICORROSIVO (GALÓN)</t>
  </si>
  <si>
    <t>DISOLVENTE PARA PINTURA (GALÓN)</t>
  </si>
  <si>
    <t>LIJA DE AGUA N°150</t>
  </si>
  <si>
    <t>ESTOPA</t>
  </si>
  <si>
    <t>ESTUCOR (25 KG)</t>
  </si>
  <si>
    <t>und</t>
  </si>
  <si>
    <t>kg</t>
  </si>
  <si>
    <t>saco</t>
  </si>
  <si>
    <t>%MO</t>
  </si>
  <si>
    <t>ANDAMIO PLEGABLE Y/O ZANCOS</t>
  </si>
  <si>
    <t>SANITARIOS</t>
  </si>
  <si>
    <t>DESMONTE APARATOS SANITARIOS</t>
  </si>
  <si>
    <t>CUADRILLA AA TIPO 1 (1 OFICIAL + 1 AYUDANTE) (Albañileria)</t>
  </si>
  <si>
    <t>VOLQUETA 6M3 (CARGUE A MANO)</t>
  </si>
  <si>
    <t>VJE</t>
  </si>
  <si>
    <t>SUMINISTRO E INSTALACION DE COMBO SANITARIO Y LAVAMANOS.</t>
  </si>
  <si>
    <t>Combo Sanitario y lavamanos con pedestal</t>
  </si>
  <si>
    <t>Acople sanitario plástico 1/2"</t>
  </si>
  <si>
    <t>Desague sencillo cromado</t>
  </si>
  <si>
    <t>Sifón botella PVC 1 1/2"</t>
  </si>
  <si>
    <t>Cinta teflón 1/2 x10m</t>
  </si>
  <si>
    <t>Cemento blanco</t>
  </si>
  <si>
    <t>CUADRILLA PLOMERÍA</t>
  </si>
  <si>
    <t>SUMINISTRO, TRANSPORTE E INSTALACIÓN DE CERÁMICA DE PISOS PARA BAÑOS.</t>
  </si>
  <si>
    <t>Cerámica para baños</t>
  </si>
  <si>
    <t>Pegante de ceramica</t>
  </si>
  <si>
    <t xml:space="preserve"> Boquilla  </t>
  </si>
  <si>
    <t>m2</t>
  </si>
  <si>
    <t>CUADRILLA TIPO 8 ( 1 Ofi + 3 Ayud)</t>
  </si>
  <si>
    <t>SUMINISTRO, TRANSPORTE E INSTALACIÓN INTERRUPTOR SENCILLO</t>
  </si>
  <si>
    <t>INTERRUPTOR SENCILLO</t>
  </si>
  <si>
    <t>RECORRIDO DE CUBIERTA</t>
  </si>
  <si>
    <t>GANCHO PARA TEJA ETERNIT</t>
  </si>
  <si>
    <t>AMARRA PARA TEJA ETERNIT</t>
  </si>
  <si>
    <t>ADECUACIÓN DE REDES ELÉCTRICAS SALA DE SISTEMAS REUTILIZANDO MATERIAL</t>
  </si>
  <si>
    <t>GLB</t>
  </si>
  <si>
    <t>SUMINISTRO, TRANSPORTE E INSTALACIÓN VIDRIO OPALIZADO 4MM</t>
  </si>
  <si>
    <t>SILICONA TUBO 280 ML</t>
  </si>
  <si>
    <t>VIDRIO OPALIZADO 4MM</t>
  </si>
  <si>
    <t>DEMOLICIÓN MANUAL DE ENCHAPE O PAÑETE</t>
  </si>
  <si>
    <t>ALMADANA 4 lb</t>
  </si>
  <si>
    <t>CINCEL 3/4" ACERO TEMPLADO</t>
  </si>
  <si>
    <t>SUMINISTRO, TRANSPORTE E INSTALACIÓN DE CERÁMICA SEGÚN DISEÑO</t>
  </si>
  <si>
    <t>Cerámica 1ra calidad</t>
  </si>
  <si>
    <t>PINTURA, MANTENIMIENTO Y RESTAURACIÓN DE PUERTAS Y VENTANAS</t>
  </si>
  <si>
    <t>LIMPIEZA, RESTAURACIÓN Y PINTURA DE MARCOS METÁLICOS DE VENTANALES, INCLUYE PREPARACIÓN DE SUPERFICIES, TRATAMIENTO ANTICORROSIVO Y ACABADO FINAL.</t>
  </si>
  <si>
    <t>DECAPANTE QUÍMICO PARA LIMPIEZA METÁLICA</t>
  </si>
  <si>
    <t>LIJA, DISOLVENTE, BROCHAS Y CONSUMIBLES</t>
  </si>
  <si>
    <t>m²</t>
  </si>
  <si>
    <t xml:space="preserve">PINTURA ESMALTE ANTICORROSIVO </t>
  </si>
  <si>
    <t>HERRAMIENTA MENOR (LIJAS, BROCHAS, ETC.)</t>
  </si>
  <si>
    <t>ANDAMIO COMPLETO CON RUEDAS</t>
  </si>
  <si>
    <t>EQUIPO DE ALTURA (ARNÉS, LÍNEAS DE VIDA)</t>
  </si>
  <si>
    <t>ACARREO EN CAMIONETA</t>
  </si>
  <si>
    <t>Tub. Conduit PVC. De 1/2".</t>
  </si>
  <si>
    <t>Adaptador Terminal Conduit PVC. 1/2"</t>
  </si>
  <si>
    <t>Caja Rectangular Conduit Pavco 2X4"</t>
  </si>
  <si>
    <t>Alambre Cobre N°12 THHN Centelsa</t>
  </si>
  <si>
    <t>Cinta Aislante PVC. Tesa De 18 mm.</t>
  </si>
  <si>
    <t>Tomacorriente doble</t>
  </si>
  <si>
    <t>Canaleta plástica 20x12 mm c/tapa</t>
  </si>
  <si>
    <t>SUMINISTRO E INSTALACIÓN DE PUNTO ELÉCTRICO PARA TOMACORRIENTE DOBLE SOBRE CANALETA INCLUYE TUBERÍA CONDUIT Y 3 CABLE N° 12, CANALETA PVC, CONDUCTORES, APARTATO 8m Y DEMÁS ELEMENTOS NECESARIOS PARA SU CORRECTA EJECUCIÓN.</t>
  </si>
  <si>
    <t>MEJORAMIENTO Y ADECUACIÓN DE LA CUBIERTA DE LA CASA DE LA CULTURA FRÁNCICO GIRALDO DEL MUNICIPIO DEL MUNICIPIO DE AGUADAS, CALDAS</t>
  </si>
  <si>
    <t xml:space="preserve">SUMINISTRO, TRANSPORTE E INSTALACIÓN CIELO RASO EN LÁMINA TRIPLEX 3.22MM X 1.22X2.44M. INCLUYE PERFILERIA Y ANCLAJES PARA FIJACIÓN Y PINTURA </t>
  </si>
  <si>
    <t xml:space="preserve">SUMINISTRO, TRANSPORTE E INSTALACION FIBRA DE VIDRIO TIPO FRESCASA  e=3 1/2" sin papel </t>
  </si>
  <si>
    <t>Área tarima</t>
  </si>
  <si>
    <t>Escaleras tarima</t>
  </si>
  <si>
    <t>Sala de sonido</t>
  </si>
  <si>
    <t>Almacén</t>
  </si>
  <si>
    <t>Sala de sistemas</t>
  </si>
  <si>
    <t>Baño Almacén</t>
  </si>
  <si>
    <t>Sala de Informática victor renan Barco</t>
  </si>
  <si>
    <t>Nueva sala de sistemas</t>
  </si>
  <si>
    <t>Puertas salones de tarima</t>
  </si>
  <si>
    <t>Salón banda marcial</t>
  </si>
  <si>
    <t>Sala de sonido tarima</t>
  </si>
  <si>
    <t>Almacén tarima</t>
  </si>
  <si>
    <t>Cielo raso sala de sonido tarima</t>
  </si>
  <si>
    <t>Cielo raso almacén y baño almacén</t>
  </si>
  <si>
    <t>ventana sala sonido</t>
  </si>
  <si>
    <t xml:space="preserve">Sala de sonido tarima </t>
  </si>
  <si>
    <t>SUMINISTRO E INSTALACION BALA LED 18W INCRUSTAR, 120 V LUZ BLANCA NEUTRA</t>
  </si>
  <si>
    <t>SUMINISTRO E INSTALACION BALA LED 18W SOBREPONER, 120 V LUZ BLANCA NEUTRA</t>
  </si>
  <si>
    <t>Baño almacén parte no echapada</t>
  </si>
  <si>
    <t>Salón banda Marcial</t>
  </si>
  <si>
    <t>Ventana almacén</t>
  </si>
  <si>
    <t>Ventanas teatro</t>
  </si>
  <si>
    <t>Nueva sala sistema</t>
  </si>
  <si>
    <t>Baño almacén</t>
  </si>
  <si>
    <t>Sala informática</t>
  </si>
  <si>
    <t>Puerta sala de sistemas</t>
  </si>
  <si>
    <t>Muro frontal tarima</t>
  </si>
  <si>
    <t>Muro trasero tarima</t>
  </si>
  <si>
    <t>Muro lateral tarima</t>
  </si>
  <si>
    <t>Muro rampa 1</t>
  </si>
  <si>
    <t>Muro rampa 2</t>
  </si>
  <si>
    <t>Muro lateral escalera</t>
  </si>
  <si>
    <t>Perfiles longitudinales tarima</t>
  </si>
  <si>
    <t>Rampas</t>
  </si>
  <si>
    <t>Escaleras ingreso tarima</t>
  </si>
  <si>
    <t>PLACA EN METALDECK DE 3" CAL. 22, CONCRETO DE 20.7 MPA</t>
  </si>
  <si>
    <t>Rampa</t>
  </si>
  <si>
    <t>SUMINISTRO, TRANSPORTE E INSTALACION PISOS EN TABLILLA DE ZAPAN Y  VIGUETA DE CHANUL</t>
  </si>
  <si>
    <t>TABLILLA PARA PISO</t>
  </si>
  <si>
    <t>VIGUETA CHANUL 3 MTRS</t>
  </si>
  <si>
    <t>Tomacorrientes nuevos tarima</t>
  </si>
  <si>
    <t>MEJORAMIENTO Y ADECUACIÓN DEL AUDITORIO DE LA INSTITUCIÓN EDUCATIVA MARINO GÓMEZ ESTRADA, SEDE DE LA UNIVERSIDAD DE CALDAS, EN EL MUNICIPIO DE AGUADAS, CALDAS.</t>
  </si>
  <si>
    <t>VALOR TOTAL PRESUPUESTO DE OBRA</t>
  </si>
  <si>
    <t>Baños alternos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</si>
</sst>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#,##0.00\ _€"/>
    <numFmt numFmtId="166" formatCode="&quot;$&quot;\ #,##0.00"/>
    <numFmt numFmtId="167" formatCode="_ &quot;$&quot;\ * #,##0_ ;_ &quot;$&quot;\ * \-#,##0_ ;_ &quot;$&quot;\ * &quot;-&quot;??_ ;_ @_ "/>
    <numFmt numFmtId="168" formatCode="0.0000%"/>
    <numFmt numFmtId="169" formatCode="&quot;$&quot;\ #,##0"/>
    <numFmt numFmtId="170" formatCode="[$$-240A]\ #,##0"/>
    <numFmt numFmtId="171" formatCode="#,##0.000"/>
    <numFmt numFmtId="172" formatCode="#,##0.0000"/>
    <numFmt numFmtId="173" formatCode="#,##0.0"/>
    <numFmt numFmtId="174" formatCode="\$#,##0.00"/>
    <numFmt numFmtId="175" formatCode="_-&quot;$&quot;\ * #,##0.00_-;\-&quot;$&quot;\ * #,##0.00_-;_-&quot;$&quot;\ * &quot;-&quot;??_-;_-@"/>
    <numFmt numFmtId="176" formatCode="_-&quot;$&quot;\ * #,##0_-;\-&quot;$&quot;\ * #,##0_-;_-&quot;$&quot;\ * &quot;-&quot;??_-;_-@_-"/>
    <numFmt numFmtId="177" formatCode="#,##0.00000"/>
    <numFmt numFmtId="178" formatCode="&quot;$&quot;\ #,##0.000"/>
    <numFmt numFmtId="179" formatCode="0.000%"/>
    <numFmt numFmtId="180" formatCode="_(&quot;$&quot;\ * #,##0_);_(&quot;$&quot;\ * \(#,##0\);_(&quot;$&quot;\ * &quot;-&quot;_);_(@_)"/>
    <numFmt numFmtId="181" formatCode="_([$$-240A]\ * #,##0_);_([$$-240A]\ * \(#,##0\);_([$$-240A]\ * &quot;-&quot;??_);_(@_)"/>
    <numFmt numFmtId="182" formatCode="_-&quot;$&quot;* #,##0_-;\-&quot;$&quot;* #,##0_-;_-&quot;$&quot;* &quot;-&quot;_-;_-@"/>
    <numFmt numFmtId="183" formatCode="_(* #,##0_);_(* \(#,##0\);_(* &quot;-&quot;??_);_(@_)"/>
    <numFmt numFmtId="184" formatCode="0.000"/>
    <numFmt numFmtId="185" formatCode="_-&quot;$&quot;* #,##0_-;\-&quot;$&quot;* #,##0_-;_-&quot;$&quot;* &quot;-&quot;_-;_-@_-"/>
    <numFmt numFmtId="186" formatCode="_-* #,##0.00\ &quot;€&quot;_-;\-* #,##0.00\ &quot;€&quot;_-;_-* &quot;-&quot;??\ &quot;€&quot;_-;_-@_-"/>
    <numFmt numFmtId="187" formatCode="_-* #,##0\ _€_-;\-* #,##0\ _€_-;_-* &quot;-&quot;\ _€_-;_-@_-"/>
    <numFmt numFmtId="188" formatCode="_ * #,##0.00_ ;_ * \-#,##0.00_ ;_ * &quot;-&quot;??_ ;_ @_ "/>
    <numFmt numFmtId="189" formatCode="_-* #,##0.00\ &quot;Pts&quot;_-;\-* #,##0.00\ &quot;Pts&quot;_-;_-* &quot;-&quot;??\ &quot;Pts&quot;_-;_-@_-"/>
    <numFmt numFmtId="190" formatCode="&quot;$&quot;\ #,##0.00;[Red]&quot;$&quot;\ \-#,##0.00"/>
    <numFmt numFmtId="191" formatCode="_ &quot;$&quot;\ * #,##0_ ;_ &quot;$&quot;\ * \-#,##0_ ;_ &quot;$&quot;\ * &quot;-&quot;_ ;_ @_ "/>
    <numFmt numFmtId="192" formatCode="&quot;COSTO DIRECTO&quot;\ \ &quot;$&quot;\ #,000"/>
    <numFmt numFmtId="193" formatCode="_(&quot;$&quot;\ * #,##0.00_);_(&quot;$&quot;\ * \(#,##0.00\);_(&quot;$&quot;\ * &quot;-&quot;??_);_(@_)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color rgb="FF00000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sz val="12"/>
      <color rgb="FFFFFFFF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9"/>
      <color theme="1"/>
      <name val="Arial"/>
      <family val="2"/>
    </font>
    <font>
      <sz val="8"/>
      <color theme="1"/>
      <name val="Poppins"/>
    </font>
    <font>
      <sz val="8"/>
      <color rgb="FF000000"/>
      <name val="Arial"/>
      <family val="2"/>
    </font>
    <font>
      <sz val="10"/>
      <color theme="1"/>
      <name val="Arial Narrow"/>
      <family val="2"/>
    </font>
    <font>
      <b/>
      <i/>
      <sz val="10"/>
      <color theme="1"/>
      <name val="Arial"/>
      <family val="2"/>
    </font>
    <font>
      <sz val="14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40808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1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FF0000"/>
      <name val="Calibri"/>
      <family val="2"/>
    </font>
    <font>
      <b/>
      <sz val="10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2626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46F828"/>
        <bgColor rgb="FF46F828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6E4F0"/>
        <bgColor rgb="FFB6E4F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indexed="64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</borders>
  <cellStyleXfs count="7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1" fillId="0" borderId="0"/>
    <xf numFmtId="0" fontId="34" fillId="0" borderId="0"/>
    <xf numFmtId="43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34" fillId="0" borderId="0"/>
    <xf numFmtId="0" fontId="4" fillId="0" borderId="0"/>
    <xf numFmtId="187" fontId="4" fillId="0" borderId="0" applyFont="0" applyFill="0" applyBorder="0" applyAlignment="0" applyProtection="0"/>
    <xf numFmtId="0" fontId="4" fillId="0" borderId="0"/>
    <xf numFmtId="185" fontId="34" fillId="0" borderId="0" applyFont="0" applyFill="0" applyBorder="0" applyAlignment="0" applyProtection="0"/>
    <xf numFmtId="0" fontId="34" fillId="0" borderId="0"/>
    <xf numFmtId="44" fontId="34" fillId="0" borderId="0" applyFont="0" applyFill="0" applyBorder="0" applyAlignment="0" applyProtection="0"/>
    <xf numFmtId="0" fontId="1" fillId="0" borderId="0"/>
    <xf numFmtId="0" fontId="4" fillId="0" borderId="0" applyAlignment="0"/>
    <xf numFmtId="185" fontId="1" fillId="0" borderId="0" applyFont="0" applyFill="0" applyBorder="0" applyAlignment="0" applyProtection="0"/>
    <xf numFmtId="9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9" fontId="4" fillId="0" borderId="0"/>
    <xf numFmtId="41" fontId="34" fillId="0" borderId="0" applyFont="0" applyFill="0" applyBorder="0" applyAlignment="0" applyProtection="0"/>
    <xf numFmtId="0" fontId="4" fillId="0" borderId="0"/>
    <xf numFmtId="0" fontId="1" fillId="0" borderId="0"/>
    <xf numFmtId="9" fontId="34" fillId="0" borderId="0" applyFont="0" applyFill="0" applyBorder="0" applyAlignment="0" applyProtection="0"/>
    <xf numFmtId="0" fontId="1" fillId="0" borderId="0"/>
    <xf numFmtId="0" fontId="1" fillId="0" borderId="0"/>
    <xf numFmtId="188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189" fontId="4" fillId="0" borderId="0" applyFont="0" applyFill="0" applyBorder="0" applyAlignment="0" applyProtection="0"/>
    <xf numFmtId="0" fontId="4" fillId="0" borderId="0"/>
    <xf numFmtId="19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85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85" fontId="1" fillId="0" borderId="0" applyFont="0" applyFill="0" applyBorder="0" applyAlignment="0" applyProtection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85" fontId="1" fillId="0" borderId="0" applyFont="0" applyFill="0" applyBorder="0" applyAlignment="0" applyProtection="0"/>
    <xf numFmtId="0" fontId="1" fillId="0" borderId="0"/>
    <xf numFmtId="0" fontId="1" fillId="0" borderId="0"/>
    <xf numFmtId="43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41" fillId="0" borderId="0"/>
  </cellStyleXfs>
  <cellXfs count="6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4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44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/>
    </xf>
    <xf numFmtId="0" fontId="6" fillId="3" borderId="1" xfId="5" applyFont="1" applyFill="1" applyBorder="1" applyAlignment="1">
      <alignment horizontal="center" vertical="center" wrapText="1"/>
    </xf>
    <xf numFmtId="0" fontId="6" fillId="3" borderId="16" xfId="5" applyFont="1" applyFill="1" applyBorder="1" applyAlignment="1">
      <alignment horizontal="center" vertical="center" wrapText="1"/>
    </xf>
    <xf numFmtId="0" fontId="6" fillId="3" borderId="17" xfId="5" applyFont="1" applyFill="1" applyBorder="1" applyAlignment="1">
      <alignment horizontal="center" vertical="center" wrapText="1"/>
    </xf>
    <xf numFmtId="0" fontId="6" fillId="3" borderId="23" xfId="5" applyFont="1" applyFill="1" applyBorder="1" applyAlignment="1">
      <alignment horizontal="center" vertical="center" wrapText="1"/>
    </xf>
    <xf numFmtId="2" fontId="4" fillId="3" borderId="1" xfId="5" applyNumberFormat="1" applyFill="1" applyBorder="1" applyAlignment="1">
      <alignment vertical="center" wrapText="1"/>
    </xf>
    <xf numFmtId="2" fontId="4" fillId="3" borderId="1" xfId="6" applyNumberFormat="1" applyFont="1" applyFill="1" applyBorder="1" applyAlignment="1">
      <alignment horizontal="right" vertical="center" wrapText="1"/>
    </xf>
    <xf numFmtId="2" fontId="4" fillId="3" borderId="24" xfId="5" applyNumberFormat="1" applyFill="1" applyBorder="1" applyAlignment="1">
      <alignment horizontal="right" vertical="center" wrapText="1"/>
    </xf>
    <xf numFmtId="2" fontId="4" fillId="3" borderId="5" xfId="5" applyNumberFormat="1" applyFill="1" applyBorder="1" applyAlignment="1">
      <alignment vertical="center" wrapText="1"/>
    </xf>
    <xf numFmtId="2" fontId="4" fillId="3" borderId="5" xfId="6" applyNumberFormat="1" applyFont="1" applyFill="1" applyBorder="1" applyAlignment="1">
      <alignment horizontal="right" vertical="center" wrapText="1"/>
    </xf>
    <xf numFmtId="0" fontId="4" fillId="3" borderId="26" xfId="5" applyFill="1" applyBorder="1" applyAlignment="1">
      <alignment vertical="center" wrapText="1"/>
    </xf>
    <xf numFmtId="0" fontId="4" fillId="3" borderId="27" xfId="5" applyFill="1" applyBorder="1" applyAlignment="1">
      <alignment horizontal="justify" vertical="center" wrapText="1"/>
    </xf>
    <xf numFmtId="0" fontId="7" fillId="3" borderId="27" xfId="5" applyFont="1" applyFill="1" applyBorder="1" applyAlignment="1">
      <alignment horizontal="justify" vertical="center" wrapText="1"/>
    </xf>
    <xf numFmtId="0" fontId="4" fillId="3" borderId="28" xfId="5" applyFill="1" applyBorder="1" applyAlignment="1">
      <alignment vertical="center" wrapText="1"/>
    </xf>
    <xf numFmtId="0" fontId="4" fillId="3" borderId="14" xfId="5" applyFill="1" applyBorder="1" applyAlignment="1">
      <alignment vertical="center" wrapText="1"/>
    </xf>
    <xf numFmtId="0" fontId="4" fillId="3" borderId="27" xfId="5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14" xfId="5" applyFont="1" applyFill="1" applyBorder="1" applyAlignment="1">
      <alignment vertical="center" wrapText="1"/>
    </xf>
    <xf numFmtId="43" fontId="6" fillId="3" borderId="31" xfId="6" applyFont="1" applyFill="1" applyBorder="1" applyAlignment="1">
      <alignment horizontal="center" vertical="center" wrapText="1"/>
    </xf>
    <xf numFmtId="2" fontId="4" fillId="3" borderId="0" xfId="5" applyNumberFormat="1" applyFill="1" applyAlignment="1">
      <alignment vertical="center"/>
    </xf>
    <xf numFmtId="0" fontId="7" fillId="3" borderId="0" xfId="5" applyFont="1" applyFill="1" applyAlignment="1">
      <alignment horizontal="justify" vertical="center" wrapText="1"/>
    </xf>
    <xf numFmtId="0" fontId="4" fillId="3" borderId="0" xfId="5" applyFill="1" applyAlignment="1">
      <alignment horizontal="center" vertical="center" wrapText="1"/>
    </xf>
    <xf numFmtId="0" fontId="7" fillId="3" borderId="0" xfId="5" applyFont="1" applyFill="1" applyAlignment="1">
      <alignment horizontal="center" vertical="center" wrapText="1"/>
    </xf>
    <xf numFmtId="0" fontId="4" fillId="3" borderId="0" xfId="5" applyFill="1" applyAlignment="1">
      <alignment vertical="center" wrapText="1"/>
    </xf>
    <xf numFmtId="0" fontId="6" fillId="3" borderId="0" xfId="5" applyFont="1" applyFill="1" applyAlignment="1">
      <alignment vertical="center" wrapText="1"/>
    </xf>
    <xf numFmtId="0" fontId="6" fillId="3" borderId="0" xfId="5" applyFont="1" applyFill="1" applyAlignment="1">
      <alignment horizontal="right" vertical="center" wrapText="1"/>
    </xf>
    <xf numFmtId="0" fontId="6" fillId="3" borderId="32" xfId="5" applyFont="1" applyFill="1" applyBorder="1" applyAlignment="1">
      <alignment vertical="center" wrapText="1"/>
    </xf>
    <xf numFmtId="2" fontId="4" fillId="3" borderId="33" xfId="5" applyNumberFormat="1" applyFill="1" applyBorder="1" applyAlignment="1">
      <alignment horizontal="right" vertical="center" wrapText="1"/>
    </xf>
    <xf numFmtId="2" fontId="4" fillId="3" borderId="6" xfId="5" applyNumberFormat="1" applyFill="1" applyBorder="1" applyAlignment="1">
      <alignment vertical="center" wrapText="1"/>
    </xf>
    <xf numFmtId="2" fontId="4" fillId="3" borderId="6" xfId="6" applyNumberFormat="1" applyFont="1" applyFill="1" applyBorder="1" applyAlignment="1">
      <alignment horizontal="right" vertical="center" wrapText="1"/>
    </xf>
    <xf numFmtId="2" fontId="4" fillId="3" borderId="35" xfId="5" applyNumberFormat="1" applyFill="1" applyBorder="1" applyAlignment="1">
      <alignment horizontal="right" vertical="center" wrapText="1"/>
    </xf>
    <xf numFmtId="0" fontId="4" fillId="3" borderId="0" xfId="5" applyFill="1" applyAlignment="1">
      <alignment horizontal="center" vertical="center"/>
    </xf>
    <xf numFmtId="0" fontId="6" fillId="3" borderId="15" xfId="5" applyFont="1" applyFill="1" applyBorder="1" applyAlignment="1">
      <alignment horizontal="center" vertical="center" wrapText="1"/>
    </xf>
    <xf numFmtId="1" fontId="4" fillId="3" borderId="16" xfId="5" applyNumberFormat="1" applyFill="1" applyBorder="1" applyAlignment="1">
      <alignment horizontal="center" vertical="center" wrapText="1"/>
    </xf>
    <xf numFmtId="2" fontId="4" fillId="3" borderId="37" xfId="5" applyNumberFormat="1" applyFill="1" applyBorder="1" applyAlignment="1">
      <alignment horizontal="center" vertical="center" wrapText="1"/>
    </xf>
    <xf numFmtId="2" fontId="4" fillId="3" borderId="5" xfId="5" applyNumberFormat="1" applyFill="1" applyBorder="1" applyAlignment="1">
      <alignment horizontal="right" vertical="center" wrapText="1"/>
    </xf>
    <xf numFmtId="43" fontId="2" fillId="0" borderId="1" xfId="0" applyNumberFormat="1" applyFont="1" applyBorder="1" applyAlignment="1">
      <alignment horizontal="center" vertical="center"/>
    </xf>
    <xf numFmtId="0" fontId="8" fillId="0" borderId="0" xfId="8" applyAlignment="1">
      <alignment vertical="center"/>
    </xf>
    <xf numFmtId="44" fontId="8" fillId="0" borderId="0" xfId="1" applyFont="1" applyAlignment="1">
      <alignment vertical="center"/>
    </xf>
    <xf numFmtId="0" fontId="6" fillId="4" borderId="1" xfId="8" applyFont="1" applyFill="1" applyBorder="1" applyAlignment="1">
      <alignment horizontal="center" vertical="center" wrapText="1"/>
    </xf>
    <xf numFmtId="0" fontId="6" fillId="4" borderId="1" xfId="8" applyFont="1" applyFill="1" applyBorder="1" applyAlignment="1">
      <alignment horizontal="center" vertical="center"/>
    </xf>
    <xf numFmtId="165" fontId="6" fillId="4" borderId="1" xfId="8" applyNumberFormat="1" applyFont="1" applyFill="1" applyBorder="1" applyAlignment="1">
      <alignment horizontal="center" vertical="center"/>
    </xf>
    <xf numFmtId="0" fontId="10" fillId="0" borderId="45" xfId="8" applyFont="1" applyBorder="1" applyAlignment="1">
      <alignment vertical="center" wrapText="1"/>
    </xf>
    <xf numFmtId="0" fontId="10" fillId="0" borderId="45" xfId="8" applyFont="1" applyBorder="1" applyAlignment="1">
      <alignment horizontal="center" vertical="center"/>
    </xf>
    <xf numFmtId="166" fontId="11" fillId="0" borderId="45" xfId="8" applyNumberFormat="1" applyFont="1" applyBorder="1" applyAlignment="1">
      <alignment horizontal="right" vertical="center"/>
    </xf>
    <xf numFmtId="10" fontId="6" fillId="4" borderId="1" xfId="2" applyNumberFormat="1" applyFont="1" applyFill="1" applyBorder="1" applyAlignment="1">
      <alignment horizontal="center" vertical="center"/>
    </xf>
    <xf numFmtId="0" fontId="10" fillId="0" borderId="46" xfId="8" applyFont="1" applyBorder="1" applyAlignment="1">
      <alignment vertical="center" wrapText="1"/>
    </xf>
    <xf numFmtId="0" fontId="10" fillId="0" borderId="46" xfId="8" applyFont="1" applyBorder="1" applyAlignment="1">
      <alignment horizontal="center" vertical="center"/>
    </xf>
    <xf numFmtId="166" fontId="11" fillId="0" borderId="46" xfId="8" applyNumberFormat="1" applyFont="1" applyBorder="1" applyAlignment="1">
      <alignment horizontal="right" vertical="center"/>
    </xf>
    <xf numFmtId="0" fontId="12" fillId="0" borderId="46" xfId="8" applyFont="1" applyBorder="1" applyAlignment="1">
      <alignment vertical="center" wrapText="1"/>
    </xf>
    <xf numFmtId="166" fontId="8" fillId="0" borderId="0" xfId="8" applyNumberFormat="1" applyAlignment="1">
      <alignment vertical="center"/>
    </xf>
    <xf numFmtId="0" fontId="10" fillId="0" borderId="0" xfId="8" applyFont="1" applyAlignment="1">
      <alignment vertical="center" wrapText="1"/>
    </xf>
    <xf numFmtId="0" fontId="10" fillId="0" borderId="0" xfId="8" applyFont="1" applyAlignment="1">
      <alignment horizontal="center" vertical="center"/>
    </xf>
    <xf numFmtId="166" fontId="11" fillId="0" borderId="0" xfId="8" applyNumberFormat="1" applyFont="1" applyAlignment="1">
      <alignment horizontal="right" vertical="center"/>
    </xf>
    <xf numFmtId="0" fontId="10" fillId="0" borderId="1" xfId="8" applyFont="1" applyBorder="1" applyAlignment="1">
      <alignment vertical="center" wrapText="1"/>
    </xf>
    <xf numFmtId="0" fontId="10" fillId="0" borderId="1" xfId="8" applyFont="1" applyBorder="1" applyAlignment="1">
      <alignment horizontal="center" vertical="center"/>
    </xf>
    <xf numFmtId="166" fontId="11" fillId="0" borderId="1" xfId="8" applyNumberFormat="1" applyFont="1" applyBorder="1" applyAlignment="1">
      <alignment horizontal="right" vertical="center"/>
    </xf>
    <xf numFmtId="165" fontId="11" fillId="0" borderId="0" xfId="8" applyNumberFormat="1" applyFont="1" applyAlignment="1">
      <alignment horizontal="right" vertical="center"/>
    </xf>
    <xf numFmtId="0" fontId="11" fillId="0" borderId="0" xfId="8" applyFont="1" applyAlignment="1">
      <alignment vertical="center" wrapText="1"/>
    </xf>
    <xf numFmtId="165" fontId="11" fillId="0" borderId="0" xfId="8" applyNumberFormat="1" applyFont="1" applyAlignment="1">
      <alignment horizontal="center" vertical="center"/>
    </xf>
    <xf numFmtId="0" fontId="14" fillId="0" borderId="0" xfId="8" applyFont="1" applyAlignment="1">
      <alignment horizontal="left" vertical="center" wrapText="1"/>
    </xf>
    <xf numFmtId="0" fontId="15" fillId="0" borderId="0" xfId="8" applyFont="1" applyAlignment="1">
      <alignment vertical="center"/>
    </xf>
    <xf numFmtId="0" fontId="8" fillId="0" borderId="0" xfId="8" applyAlignment="1">
      <alignment vertical="center" wrapText="1"/>
    </xf>
    <xf numFmtId="0" fontId="10" fillId="0" borderId="0" xfId="8" applyFont="1" applyAlignment="1">
      <alignment vertical="center"/>
    </xf>
    <xf numFmtId="0" fontId="17" fillId="0" borderId="1" xfId="8" applyFont="1" applyBorder="1" applyAlignment="1">
      <alignment horizontal="center" vertical="center"/>
    </xf>
    <xf numFmtId="10" fontId="17" fillId="0" borderId="1" xfId="8" applyNumberFormat="1" applyFont="1" applyBorder="1" applyAlignment="1">
      <alignment vertical="center"/>
    </xf>
    <xf numFmtId="0" fontId="18" fillId="0" borderId="1" xfId="8" applyFont="1" applyBorder="1" applyAlignment="1">
      <alignment vertical="center"/>
    </xf>
    <xf numFmtId="167" fontId="16" fillId="0" borderId="1" xfId="8" applyNumberFormat="1" applyFont="1" applyBorder="1" applyAlignment="1">
      <alignment vertical="center"/>
    </xf>
    <xf numFmtId="0" fontId="12" fillId="0" borderId="0" xfId="8" applyFont="1" applyAlignment="1">
      <alignment horizontal="center" vertical="center"/>
    </xf>
    <xf numFmtId="0" fontId="12" fillId="0" borderId="0" xfId="8" applyFont="1" applyAlignment="1">
      <alignment vertical="center"/>
    </xf>
    <xf numFmtId="0" fontId="19" fillId="0" borderId="48" xfId="8" applyFont="1" applyBorder="1" applyAlignment="1">
      <alignment horizontal="center" vertical="center"/>
    </xf>
    <xf numFmtId="0" fontId="19" fillId="0" borderId="49" xfId="8" applyFont="1" applyBorder="1" applyAlignment="1">
      <alignment horizontal="center" vertical="center"/>
    </xf>
    <xf numFmtId="0" fontId="19" fillId="0" borderId="51" xfId="8" applyFont="1" applyBorder="1" applyAlignment="1">
      <alignment horizontal="center" vertical="center" wrapText="1"/>
    </xf>
    <xf numFmtId="0" fontId="19" fillId="0" borderId="52" xfId="8" applyFont="1" applyBorder="1" applyAlignment="1">
      <alignment horizontal="center" vertical="center" wrapText="1"/>
    </xf>
    <xf numFmtId="0" fontId="16" fillId="0" borderId="45" xfId="8" applyFont="1" applyBorder="1" applyAlignment="1">
      <alignment vertical="center"/>
    </xf>
    <xf numFmtId="0" fontId="18" fillId="0" borderId="45" xfId="8" applyFont="1" applyBorder="1" applyAlignment="1">
      <alignment vertical="center"/>
    </xf>
    <xf numFmtId="167" fontId="10" fillId="0" borderId="0" xfId="8" applyNumberFormat="1" applyFont="1" applyAlignment="1">
      <alignment vertical="center"/>
    </xf>
    <xf numFmtId="0" fontId="18" fillId="0" borderId="46" xfId="8" applyFont="1" applyBorder="1" applyAlignment="1">
      <alignment horizontal="left" vertical="center"/>
    </xf>
    <xf numFmtId="10" fontId="18" fillId="0" borderId="46" xfId="8" applyNumberFormat="1" applyFont="1" applyBorder="1" applyAlignment="1">
      <alignment vertical="center"/>
    </xf>
    <xf numFmtId="0" fontId="16" fillId="0" borderId="46" xfId="8" applyFont="1" applyBorder="1" applyAlignment="1">
      <alignment vertical="center"/>
    </xf>
    <xf numFmtId="10" fontId="18" fillId="0" borderId="53" xfId="8" applyNumberFormat="1" applyFont="1" applyBorder="1" applyAlignment="1">
      <alignment vertical="center"/>
    </xf>
    <xf numFmtId="0" fontId="18" fillId="0" borderId="0" xfId="8" applyFont="1" applyAlignment="1">
      <alignment vertical="center"/>
    </xf>
    <xf numFmtId="10" fontId="20" fillId="0" borderId="54" xfId="8" applyNumberFormat="1" applyFont="1" applyBorder="1" applyAlignment="1">
      <alignment vertical="center"/>
    </xf>
    <xf numFmtId="10" fontId="20" fillId="0" borderId="55" xfId="8" applyNumberFormat="1" applyFont="1" applyBorder="1" applyAlignment="1">
      <alignment vertical="center"/>
    </xf>
    <xf numFmtId="167" fontId="12" fillId="0" borderId="0" xfId="8" applyNumberFormat="1" applyFont="1" applyAlignment="1">
      <alignment vertical="center"/>
    </xf>
    <xf numFmtId="168" fontId="20" fillId="0" borderId="56" xfId="8" applyNumberFormat="1" applyFont="1" applyBorder="1" applyAlignment="1">
      <alignment vertical="center"/>
    </xf>
    <xf numFmtId="10" fontId="20" fillId="0" borderId="57" xfId="8" applyNumberFormat="1" applyFont="1" applyBorder="1" applyAlignment="1">
      <alignment vertical="center"/>
    </xf>
    <xf numFmtId="168" fontId="20" fillId="0" borderId="0" xfId="8" applyNumberFormat="1" applyFont="1" applyAlignment="1">
      <alignment vertical="center"/>
    </xf>
    <xf numFmtId="10" fontId="20" fillId="0" borderId="0" xfId="8" applyNumberFormat="1" applyFont="1" applyAlignment="1">
      <alignment vertical="center"/>
    </xf>
    <xf numFmtId="0" fontId="21" fillId="6" borderId="1" xfId="8" applyFont="1" applyFill="1" applyBorder="1" applyAlignment="1">
      <alignment horizontal="center" vertical="center"/>
    </xf>
    <xf numFmtId="0" fontId="21" fillId="6" borderId="1" xfId="8" applyFont="1" applyFill="1" applyBorder="1" applyAlignment="1">
      <alignment horizontal="center" vertical="center" wrapText="1"/>
    </xf>
    <xf numFmtId="44" fontId="22" fillId="0" borderId="1" xfId="9" applyFont="1" applyBorder="1" applyAlignment="1">
      <alignment vertical="center"/>
    </xf>
    <xf numFmtId="44" fontId="22" fillId="0" borderId="1" xfId="9" applyFont="1" applyBorder="1" applyAlignment="1">
      <alignment horizontal="right" vertical="center"/>
    </xf>
    <xf numFmtId="0" fontId="22" fillId="0" borderId="1" xfId="8" applyFont="1" applyBorder="1" applyAlignment="1">
      <alignment vertical="center"/>
    </xf>
    <xf numFmtId="0" fontId="12" fillId="0" borderId="1" xfId="8" applyFont="1" applyBorder="1" applyAlignment="1">
      <alignment vertical="center"/>
    </xf>
    <xf numFmtId="0" fontId="12" fillId="0" borderId="1" xfId="8" applyFont="1" applyBorder="1" applyAlignment="1">
      <alignment horizontal="center" vertical="center"/>
    </xf>
    <xf numFmtId="0" fontId="22" fillId="0" borderId="1" xfId="8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19" fillId="0" borderId="0" xfId="8" applyFont="1" applyAlignment="1">
      <alignment vertical="center"/>
    </xf>
    <xf numFmtId="0" fontId="19" fillId="0" borderId="0" xfId="8" applyFont="1" applyAlignment="1">
      <alignment horizontal="center" vertical="center"/>
    </xf>
    <xf numFmtId="0" fontId="26" fillId="0" borderId="0" xfId="8" applyFont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164" fontId="13" fillId="0" borderId="0" xfId="8" applyNumberFormat="1" applyFont="1" applyAlignment="1">
      <alignment horizontal="center" vertical="center" wrapText="1"/>
    </xf>
    <xf numFmtId="169" fontId="13" fillId="0" borderId="0" xfId="8" applyNumberFormat="1" applyFont="1" applyAlignment="1">
      <alignment horizontal="center" vertical="center" wrapText="1"/>
    </xf>
    <xf numFmtId="0" fontId="19" fillId="7" borderId="66" xfId="8" applyFont="1" applyFill="1" applyBorder="1" applyAlignment="1">
      <alignment horizontal="center" vertical="center"/>
    </xf>
    <xf numFmtId="0" fontId="19" fillId="7" borderId="67" xfId="8" applyFont="1" applyFill="1" applyBorder="1" applyAlignment="1">
      <alignment horizontal="center" vertical="center"/>
    </xf>
    <xf numFmtId="4" fontId="13" fillId="0" borderId="46" xfId="8" applyNumberFormat="1" applyFont="1" applyBorder="1" applyAlignment="1">
      <alignment horizontal="center" vertical="center"/>
    </xf>
    <xf numFmtId="166" fontId="27" fillId="0" borderId="46" xfId="8" applyNumberFormat="1" applyFont="1" applyBorder="1" applyAlignment="1">
      <alignment vertical="center"/>
    </xf>
    <xf numFmtId="164" fontId="27" fillId="0" borderId="46" xfId="8" applyNumberFormat="1" applyFont="1" applyBorder="1" applyAlignment="1">
      <alignment horizontal="center" vertical="center"/>
    </xf>
    <xf numFmtId="170" fontId="13" fillId="0" borderId="72" xfId="8" applyNumberFormat="1" applyFont="1" applyBorder="1" applyAlignment="1">
      <alignment horizontal="center" vertical="center"/>
    </xf>
    <xf numFmtId="3" fontId="13" fillId="0" borderId="46" xfId="8" applyNumberFormat="1" applyFont="1" applyBorder="1" applyAlignment="1">
      <alignment horizontal="center" vertical="center"/>
    </xf>
    <xf numFmtId="4" fontId="13" fillId="0" borderId="80" xfId="8" applyNumberFormat="1" applyFont="1" applyBorder="1" applyAlignment="1">
      <alignment horizontal="center" vertical="center"/>
    </xf>
    <xf numFmtId="3" fontId="13" fillId="0" borderId="80" xfId="8" applyNumberFormat="1" applyFont="1" applyBorder="1" applyAlignment="1">
      <alignment horizontal="center" vertical="center"/>
    </xf>
    <xf numFmtId="4" fontId="13" fillId="0" borderId="81" xfId="8" applyNumberFormat="1" applyFont="1" applyBorder="1" applyAlignment="1">
      <alignment horizontal="center" vertical="center"/>
    </xf>
    <xf numFmtId="10" fontId="13" fillId="0" borderId="0" xfId="8" applyNumberFormat="1" applyFont="1" applyAlignment="1">
      <alignment vertical="center"/>
    </xf>
    <xf numFmtId="4" fontId="13" fillId="0" borderId="0" xfId="8" applyNumberFormat="1" applyFont="1" applyAlignment="1">
      <alignment vertical="center"/>
    </xf>
    <xf numFmtId="4" fontId="19" fillId="0" borderId="0" xfId="8" applyNumberFormat="1" applyFont="1" applyAlignment="1">
      <alignment horizontal="center" vertical="center"/>
    </xf>
    <xf numFmtId="170" fontId="19" fillId="0" borderId="83" xfId="8" applyNumberFormat="1" applyFont="1" applyBorder="1" applyAlignment="1">
      <alignment vertical="center"/>
    </xf>
    <xf numFmtId="0" fontId="19" fillId="0" borderId="84" xfId="8" applyFont="1" applyBorder="1" applyAlignment="1">
      <alignment vertical="center"/>
    </xf>
    <xf numFmtId="3" fontId="13" fillId="0" borderId="88" xfId="8" applyNumberFormat="1" applyFont="1" applyBorder="1" applyAlignment="1">
      <alignment horizontal="center" vertical="center"/>
    </xf>
    <xf numFmtId="171" fontId="13" fillId="0" borderId="88" xfId="8" applyNumberFormat="1" applyFont="1" applyBorder="1" applyAlignment="1">
      <alignment horizontal="center" vertical="center"/>
    </xf>
    <xf numFmtId="0" fontId="19" fillId="0" borderId="90" xfId="8" applyFont="1" applyBorder="1" applyAlignment="1">
      <alignment vertical="center"/>
    </xf>
    <xf numFmtId="0" fontId="13" fillId="0" borderId="45" xfId="8" applyFont="1" applyBorder="1" applyAlignment="1">
      <alignment horizontal="center" vertical="center"/>
    </xf>
    <xf numFmtId="171" fontId="13" fillId="0" borderId="45" xfId="8" applyNumberFormat="1" applyFont="1" applyBorder="1" applyAlignment="1">
      <alignment horizontal="center" vertical="center"/>
    </xf>
    <xf numFmtId="0" fontId="13" fillId="0" borderId="80" xfId="8" applyFont="1" applyBorder="1" applyAlignment="1">
      <alignment horizontal="center" vertical="center"/>
    </xf>
    <xf numFmtId="0" fontId="19" fillId="0" borderId="95" xfId="8" applyFont="1" applyBorder="1" applyAlignment="1">
      <alignment vertical="center"/>
    </xf>
    <xf numFmtId="0" fontId="19" fillId="7" borderId="96" xfId="8" applyFont="1" applyFill="1" applyBorder="1" applyAlignment="1">
      <alignment horizontal="center" vertical="center" wrapText="1"/>
    </xf>
    <xf numFmtId="0" fontId="19" fillId="7" borderId="97" xfId="8" applyFont="1" applyFill="1" applyBorder="1" applyAlignment="1">
      <alignment horizontal="center" vertical="center" wrapText="1"/>
    </xf>
    <xf numFmtId="4" fontId="27" fillId="0" borderId="46" xfId="8" applyNumberFormat="1" applyFont="1" applyBorder="1" applyAlignment="1">
      <alignment horizontal="center" vertical="center"/>
    </xf>
    <xf numFmtId="169" fontId="13" fillId="0" borderId="46" xfId="8" applyNumberFormat="1" applyFont="1" applyBorder="1" applyAlignment="1">
      <alignment horizontal="center" vertical="center"/>
    </xf>
    <xf numFmtId="169" fontId="13" fillId="0" borderId="72" xfId="8" applyNumberFormat="1" applyFont="1" applyBorder="1" applyAlignment="1">
      <alignment horizontal="center" vertical="center"/>
    </xf>
    <xf numFmtId="0" fontId="13" fillId="0" borderId="46" xfId="8" applyFont="1" applyBorder="1" applyAlignment="1">
      <alignment vertical="center"/>
    </xf>
    <xf numFmtId="4" fontId="13" fillId="0" borderId="46" xfId="8" applyNumberFormat="1" applyFont="1" applyBorder="1" applyAlignment="1">
      <alignment vertical="center"/>
    </xf>
    <xf numFmtId="4" fontId="13" fillId="0" borderId="72" xfId="8" applyNumberFormat="1" applyFont="1" applyBorder="1" applyAlignment="1">
      <alignment horizontal="center" vertical="center"/>
    </xf>
    <xf numFmtId="0" fontId="13" fillId="0" borderId="80" xfId="8" applyFont="1" applyBorder="1" applyAlignment="1">
      <alignment vertical="center"/>
    </xf>
    <xf numFmtId="4" fontId="13" fillId="0" borderId="80" xfId="8" applyNumberFormat="1" applyFont="1" applyBorder="1" applyAlignment="1">
      <alignment vertical="center"/>
    </xf>
    <xf numFmtId="4" fontId="13" fillId="0" borderId="0" xfId="8" applyNumberFormat="1" applyFont="1" applyAlignment="1">
      <alignment horizontal="center" vertical="center"/>
    </xf>
    <xf numFmtId="3" fontId="13" fillId="0" borderId="0" xfId="8" applyNumberFormat="1" applyFont="1" applyAlignment="1">
      <alignment vertical="center"/>
    </xf>
    <xf numFmtId="4" fontId="19" fillId="0" borderId="83" xfId="8" applyNumberFormat="1" applyFont="1" applyBorder="1" applyAlignment="1">
      <alignment vertical="center"/>
    </xf>
    <xf numFmtId="10" fontId="13" fillId="0" borderId="46" xfId="8" applyNumberFormat="1" applyFont="1" applyBorder="1" applyAlignment="1">
      <alignment horizontal="center" vertical="center"/>
    </xf>
    <xf numFmtId="169" fontId="13" fillId="0" borderId="46" xfId="8" applyNumberFormat="1" applyFont="1" applyBorder="1" applyAlignment="1">
      <alignment horizontal="right" vertical="center"/>
    </xf>
    <xf numFmtId="3" fontId="13" fillId="0" borderId="98" xfId="8" applyNumberFormat="1" applyFont="1" applyBorder="1" applyAlignment="1">
      <alignment horizontal="center" vertical="center"/>
    </xf>
    <xf numFmtId="169" fontId="13" fillId="0" borderId="80" xfId="8" applyNumberFormat="1" applyFont="1" applyBorder="1" applyAlignment="1">
      <alignment horizontal="center" vertical="center"/>
    </xf>
    <xf numFmtId="9" fontId="13" fillId="0" borderId="80" xfId="8" applyNumberFormat="1" applyFont="1" applyBorder="1" applyAlignment="1">
      <alignment horizontal="center" vertical="center"/>
    </xf>
    <xf numFmtId="3" fontId="13" fillId="0" borderId="81" xfId="8" applyNumberFormat="1" applyFont="1" applyBorder="1" applyAlignment="1">
      <alignment horizontal="center" vertical="center"/>
    </xf>
    <xf numFmtId="172" fontId="13" fillId="0" borderId="0" xfId="8" applyNumberFormat="1" applyFont="1" applyAlignment="1">
      <alignment vertical="center"/>
    </xf>
    <xf numFmtId="0" fontId="13" fillId="0" borderId="0" xfId="8" applyFont="1" applyAlignment="1">
      <alignment vertical="center"/>
    </xf>
    <xf numFmtId="172" fontId="13" fillId="0" borderId="0" xfId="8" applyNumberFormat="1" applyFont="1" applyAlignment="1">
      <alignment horizontal="center" vertical="center"/>
    </xf>
    <xf numFmtId="4" fontId="19" fillId="0" borderId="0" xfId="8" applyNumberFormat="1" applyFont="1" applyAlignment="1">
      <alignment vertical="center"/>
    </xf>
    <xf numFmtId="170" fontId="8" fillId="0" borderId="0" xfId="8" applyNumberFormat="1" applyAlignment="1">
      <alignment vertical="center"/>
    </xf>
    <xf numFmtId="170" fontId="19" fillId="0" borderId="0" xfId="8" applyNumberFormat="1" applyFont="1" applyAlignment="1">
      <alignment vertical="center"/>
    </xf>
    <xf numFmtId="0" fontId="19" fillId="7" borderId="102" xfId="8" applyFont="1" applyFill="1" applyBorder="1" applyAlignment="1">
      <alignment horizontal="center" vertical="center"/>
    </xf>
    <xf numFmtId="0" fontId="19" fillId="7" borderId="103" xfId="8" applyFont="1" applyFill="1" applyBorder="1" applyAlignment="1">
      <alignment horizontal="center" vertical="center"/>
    </xf>
    <xf numFmtId="9" fontId="13" fillId="0" borderId="1" xfId="2" applyFont="1" applyBorder="1" applyAlignment="1">
      <alignment horizontal="center" vertical="center"/>
    </xf>
    <xf numFmtId="166" fontId="27" fillId="0" borderId="1" xfId="8" applyNumberFormat="1" applyFont="1" applyBorder="1" applyAlignment="1">
      <alignment vertical="center"/>
    </xf>
    <xf numFmtId="164" fontId="27" fillId="0" borderId="1" xfId="8" applyNumberFormat="1" applyFont="1" applyBorder="1" applyAlignment="1">
      <alignment horizontal="center" vertical="center"/>
    </xf>
    <xf numFmtId="170" fontId="13" fillId="0" borderId="2" xfId="8" applyNumberFormat="1" applyFont="1" applyBorder="1" applyAlignment="1">
      <alignment horizontal="center" vertical="center"/>
    </xf>
    <xf numFmtId="3" fontId="13" fillId="0" borderId="1" xfId="8" applyNumberFormat="1" applyFont="1" applyBorder="1" applyAlignment="1">
      <alignment horizontal="center" vertical="center"/>
    </xf>
    <xf numFmtId="0" fontId="13" fillId="0" borderId="0" xfId="8" applyFont="1" applyAlignment="1">
      <alignment horizontal="center" vertical="center"/>
    </xf>
    <xf numFmtId="3" fontId="13" fillId="0" borderId="72" xfId="8" applyNumberFormat="1" applyFont="1" applyBorder="1" applyAlignment="1">
      <alignment vertical="center"/>
    </xf>
    <xf numFmtId="3" fontId="13" fillId="0" borderId="96" xfId="8" applyNumberFormat="1" applyFont="1" applyBorder="1" applyAlignment="1">
      <alignment horizontal="center" vertical="center"/>
    </xf>
    <xf numFmtId="169" fontId="28" fillId="8" borderId="46" xfId="8" applyNumberFormat="1" applyFont="1" applyFill="1" applyBorder="1" applyAlignment="1">
      <alignment horizontal="center" vertical="center"/>
    </xf>
    <xf numFmtId="173" fontId="13" fillId="0" borderId="96" xfId="8" applyNumberFormat="1" applyFont="1" applyBorder="1" applyAlignment="1">
      <alignment horizontal="center" vertical="center"/>
    </xf>
    <xf numFmtId="170" fontId="13" fillId="0" borderId="72" xfId="8" applyNumberFormat="1" applyFont="1" applyBorder="1" applyAlignment="1">
      <alignment vertical="center"/>
    </xf>
    <xf numFmtId="0" fontId="28" fillId="8" borderId="46" xfId="8" applyFont="1" applyFill="1" applyBorder="1" applyAlignment="1">
      <alignment horizontal="center" vertical="center"/>
    </xf>
    <xf numFmtId="173" fontId="28" fillId="8" borderId="46" xfId="8" applyNumberFormat="1" applyFont="1" applyFill="1" applyBorder="1" applyAlignment="1">
      <alignment horizontal="center" vertical="center"/>
    </xf>
    <xf numFmtId="4" fontId="13" fillId="0" borderId="88" xfId="8" applyNumberFormat="1" applyFont="1" applyBorder="1" applyAlignment="1">
      <alignment horizontal="center" vertical="center"/>
    </xf>
    <xf numFmtId="169" fontId="13" fillId="0" borderId="72" xfId="8" applyNumberFormat="1" applyFont="1" applyBorder="1" applyAlignment="1">
      <alignment vertical="center"/>
    </xf>
    <xf numFmtId="169" fontId="13" fillId="0" borderId="53" xfId="8" applyNumberFormat="1" applyFont="1" applyBorder="1" applyAlignment="1">
      <alignment horizontal="center" vertical="center"/>
    </xf>
    <xf numFmtId="173" fontId="13" fillId="0" borderId="45" xfId="8" applyNumberFormat="1" applyFont="1" applyBorder="1" applyAlignment="1">
      <alignment horizontal="center" vertical="center"/>
    </xf>
    <xf numFmtId="0" fontId="19" fillId="7" borderId="104" xfId="8" applyFont="1" applyFill="1" applyBorder="1" applyAlignment="1">
      <alignment horizontal="center" vertical="center"/>
    </xf>
    <xf numFmtId="170" fontId="13" fillId="0" borderId="1" xfId="8" applyNumberFormat="1" applyFont="1" applyBorder="1" applyAlignment="1">
      <alignment horizontal="center" vertical="center"/>
    </xf>
    <xf numFmtId="0" fontId="29" fillId="0" borderId="0" xfId="8" applyFont="1" applyAlignment="1">
      <alignment vertical="center"/>
    </xf>
    <xf numFmtId="4" fontId="6" fillId="9" borderId="105" xfId="8" applyNumberFormat="1" applyFont="1" applyFill="1" applyBorder="1" applyAlignment="1">
      <alignment horizontal="center" vertical="center" wrapText="1"/>
    </xf>
    <xf numFmtId="0" fontId="10" fillId="0" borderId="109" xfId="8" applyFont="1" applyBorder="1" applyAlignment="1">
      <alignment vertical="center"/>
    </xf>
    <xf numFmtId="0" fontId="10" fillId="0" borderId="110" xfId="8" applyFont="1" applyBorder="1" applyAlignment="1">
      <alignment vertical="center"/>
    </xf>
    <xf numFmtId="4" fontId="10" fillId="0" borderId="112" xfId="8" applyNumberFormat="1" applyFont="1" applyBorder="1" applyAlignment="1">
      <alignment vertical="center" wrapText="1"/>
    </xf>
    <xf numFmtId="174" fontId="11" fillId="0" borderId="114" xfId="8" applyNumberFormat="1" applyFont="1" applyBorder="1" applyAlignment="1">
      <alignment vertical="center" wrapText="1"/>
    </xf>
    <xf numFmtId="4" fontId="10" fillId="0" borderId="116" xfId="8" applyNumberFormat="1" applyFont="1" applyBorder="1" applyAlignment="1">
      <alignment vertical="center" wrapText="1"/>
    </xf>
    <xf numFmtId="4" fontId="11" fillId="0" borderId="118" xfId="8" applyNumberFormat="1" applyFont="1" applyBorder="1" applyAlignment="1">
      <alignment vertical="center" wrapText="1"/>
    </xf>
    <xf numFmtId="4" fontId="11" fillId="11" borderId="119" xfId="8" applyNumberFormat="1" applyFont="1" applyFill="1" applyBorder="1" applyAlignment="1">
      <alignment horizontal="center" vertical="center" wrapText="1"/>
    </xf>
    <xf numFmtId="0" fontId="11" fillId="11" borderId="119" xfId="8" applyFont="1" applyFill="1" applyBorder="1" applyAlignment="1">
      <alignment horizontal="center" vertical="center" wrapText="1"/>
    </xf>
    <xf numFmtId="3" fontId="11" fillId="11" borderId="119" xfId="8" applyNumberFormat="1" applyFont="1" applyFill="1" applyBorder="1" applyAlignment="1">
      <alignment horizontal="center" vertical="center" wrapText="1"/>
    </xf>
    <xf numFmtId="10" fontId="11" fillId="11" borderId="119" xfId="8" applyNumberFormat="1" applyFont="1" applyFill="1" applyBorder="1" applyAlignment="1">
      <alignment horizontal="center" vertical="center" wrapText="1"/>
    </xf>
    <xf numFmtId="4" fontId="11" fillId="0" borderId="120" xfId="8" applyNumberFormat="1" applyFont="1" applyBorder="1" applyAlignment="1">
      <alignment horizontal="center" vertical="center"/>
    </xf>
    <xf numFmtId="0" fontId="30" fillId="0" borderId="121" xfId="8" applyFont="1" applyBorder="1" applyAlignment="1">
      <alignment horizontal="center" vertical="center" wrapText="1"/>
    </xf>
    <xf numFmtId="0" fontId="10" fillId="0" borderId="121" xfId="8" applyFont="1" applyBorder="1" applyAlignment="1">
      <alignment horizontal="center" vertical="center" wrapText="1"/>
    </xf>
    <xf numFmtId="4" fontId="10" fillId="0" borderId="121" xfId="8" applyNumberFormat="1" applyFont="1" applyBorder="1" applyAlignment="1">
      <alignment vertical="center" wrapText="1"/>
    </xf>
    <xf numFmtId="3" fontId="10" fillId="0" borderId="121" xfId="8" applyNumberFormat="1" applyFont="1" applyBorder="1" applyAlignment="1">
      <alignment vertical="center" wrapText="1"/>
    </xf>
    <xf numFmtId="0" fontId="10" fillId="0" borderId="121" xfId="8" applyFont="1" applyBorder="1" applyAlignment="1">
      <alignment vertical="center" wrapText="1"/>
    </xf>
    <xf numFmtId="10" fontId="11" fillId="0" borderId="122" xfId="8" applyNumberFormat="1" applyFont="1" applyBorder="1" applyAlignment="1">
      <alignment vertical="center" wrapText="1"/>
    </xf>
    <xf numFmtId="4" fontId="10" fillId="0" borderId="123" xfId="8" applyNumberFormat="1" applyFont="1" applyBorder="1" applyAlignment="1">
      <alignment horizontal="center" vertical="center"/>
    </xf>
    <xf numFmtId="0" fontId="30" fillId="0" borderId="46" xfId="8" applyFont="1" applyBorder="1" applyAlignment="1">
      <alignment horizontal="center" vertical="center" wrapText="1"/>
    </xf>
    <xf numFmtId="0" fontId="10" fillId="0" borderId="46" xfId="8" applyFont="1" applyBorder="1" applyAlignment="1">
      <alignment horizontal="center" vertical="center" wrapText="1"/>
    </xf>
    <xf numFmtId="4" fontId="10" fillId="0" borderId="46" xfId="8" applyNumberFormat="1" applyFont="1" applyBorder="1" applyAlignment="1">
      <alignment vertical="center" wrapText="1"/>
    </xf>
    <xf numFmtId="3" fontId="10" fillId="0" borderId="46" xfId="8" applyNumberFormat="1" applyFont="1" applyBorder="1" applyAlignment="1">
      <alignment vertical="center" wrapText="1"/>
    </xf>
    <xf numFmtId="44" fontId="11" fillId="0" borderId="46" xfId="9" applyFont="1" applyBorder="1" applyAlignment="1">
      <alignment vertical="center" wrapText="1"/>
    </xf>
    <xf numFmtId="10" fontId="11" fillId="0" borderId="124" xfId="8" applyNumberFormat="1" applyFont="1" applyBorder="1" applyAlignment="1">
      <alignment vertical="center" wrapText="1"/>
    </xf>
    <xf numFmtId="44" fontId="10" fillId="0" borderId="46" xfId="9" applyFont="1" applyBorder="1" applyAlignment="1">
      <alignment vertical="center" wrapText="1"/>
    </xf>
    <xf numFmtId="10" fontId="10" fillId="0" borderId="46" xfId="8" applyNumberFormat="1" applyFont="1" applyBorder="1" applyAlignment="1">
      <alignment vertical="center" wrapText="1"/>
    </xf>
    <xf numFmtId="10" fontId="10" fillId="0" borderId="124" xfId="8" applyNumberFormat="1" applyFont="1" applyBorder="1" applyAlignment="1">
      <alignment vertical="center" wrapText="1"/>
    </xf>
    <xf numFmtId="4" fontId="10" fillId="0" borderId="123" xfId="0" applyNumberFormat="1" applyFont="1" applyBorder="1" applyAlignment="1">
      <alignment horizontal="center" vertical="center"/>
    </xf>
    <xf numFmtId="0" fontId="10" fillId="0" borderId="46" xfId="0" applyFont="1" applyBorder="1" applyAlignment="1">
      <alignment vertical="center" wrapText="1"/>
    </xf>
    <xf numFmtId="0" fontId="10" fillId="0" borderId="46" xfId="0" applyFont="1" applyBorder="1" applyAlignment="1">
      <alignment horizontal="center" vertical="center" wrapText="1"/>
    </xf>
    <xf numFmtId="4" fontId="10" fillId="0" borderId="46" xfId="0" applyNumberFormat="1" applyFont="1" applyBorder="1" applyAlignment="1">
      <alignment vertical="center" wrapText="1"/>
    </xf>
    <xf numFmtId="175" fontId="10" fillId="0" borderId="46" xfId="0" applyNumberFormat="1" applyFont="1" applyBorder="1" applyAlignment="1">
      <alignment vertical="center" wrapText="1"/>
    </xf>
    <xf numFmtId="10" fontId="10" fillId="0" borderId="46" xfId="0" applyNumberFormat="1" applyFont="1" applyBorder="1" applyAlignment="1">
      <alignment vertical="center" wrapText="1"/>
    </xf>
    <xf numFmtId="3" fontId="10" fillId="0" borderId="46" xfId="0" applyNumberFormat="1" applyFont="1" applyBorder="1" applyAlignment="1">
      <alignment vertical="center" wrapText="1"/>
    </xf>
    <xf numFmtId="0" fontId="29" fillId="0" borderId="0" xfId="0" applyFont="1" applyAlignment="1">
      <alignment vertical="center"/>
    </xf>
    <xf numFmtId="4" fontId="10" fillId="0" borderId="46" xfId="8" applyNumberFormat="1" applyFont="1" applyBorder="1" applyAlignment="1">
      <alignment horizontal="center" vertical="center" wrapText="1"/>
    </xf>
    <xf numFmtId="4" fontId="11" fillId="0" borderId="123" xfId="8" applyNumberFormat="1" applyFont="1" applyBorder="1" applyAlignment="1">
      <alignment horizontal="center" vertical="center"/>
    </xf>
    <xf numFmtId="0" fontId="11" fillId="0" borderId="46" xfId="8" applyFont="1" applyBorder="1" applyAlignment="1">
      <alignment horizontal="center" vertical="center" wrapText="1"/>
    </xf>
    <xf numFmtId="2" fontId="10" fillId="0" borderId="46" xfId="8" applyNumberFormat="1" applyFont="1" applyBorder="1" applyAlignment="1">
      <alignment vertical="center" wrapText="1"/>
    </xf>
    <xf numFmtId="176" fontId="29" fillId="0" borderId="0" xfId="8" applyNumberFormat="1" applyFont="1" applyAlignment="1">
      <alignment vertical="center"/>
    </xf>
    <xf numFmtId="4" fontId="10" fillId="0" borderId="125" xfId="8" applyNumberFormat="1" applyFont="1" applyBorder="1" applyAlignment="1">
      <alignment horizontal="center" vertical="center"/>
    </xf>
    <xf numFmtId="0" fontId="10" fillId="0" borderId="53" xfId="8" applyFont="1" applyBorder="1" applyAlignment="1">
      <alignment vertical="center" wrapText="1"/>
    </xf>
    <xf numFmtId="4" fontId="10" fillId="0" borderId="53" xfId="8" applyNumberFormat="1" applyFont="1" applyBorder="1" applyAlignment="1">
      <alignment vertical="center" wrapText="1"/>
    </xf>
    <xf numFmtId="4" fontId="10" fillId="0" borderId="46" xfId="8" applyNumberFormat="1" applyFont="1" applyBorder="1" applyAlignment="1">
      <alignment horizontal="center" vertical="center"/>
    </xf>
    <xf numFmtId="4" fontId="10" fillId="0" borderId="126" xfId="8" applyNumberFormat="1" applyFont="1" applyBorder="1" applyAlignment="1">
      <alignment horizontal="center" vertical="center"/>
    </xf>
    <xf numFmtId="0" fontId="10" fillId="0" borderId="45" xfId="8" applyFont="1" applyBorder="1" applyAlignment="1">
      <alignment horizontal="center" vertical="center" wrapText="1"/>
    </xf>
    <xf numFmtId="10" fontId="10" fillId="0" borderId="45" xfId="8" applyNumberFormat="1" applyFont="1" applyBorder="1" applyAlignment="1">
      <alignment vertical="center" wrapText="1"/>
    </xf>
    <xf numFmtId="4" fontId="10" fillId="0" borderId="45" xfId="8" applyNumberFormat="1" applyFont="1" applyBorder="1" applyAlignment="1">
      <alignment vertical="center" wrapText="1"/>
    </xf>
    <xf numFmtId="44" fontId="10" fillId="0" borderId="45" xfId="9" applyFont="1" applyBorder="1" applyAlignment="1">
      <alignment vertical="center" wrapText="1"/>
    </xf>
    <xf numFmtId="2" fontId="10" fillId="0" borderId="45" xfId="8" applyNumberFormat="1" applyFont="1" applyBorder="1" applyAlignment="1">
      <alignment vertical="center" wrapText="1"/>
    </xf>
    <xf numFmtId="3" fontId="10" fillId="0" borderId="45" xfId="8" applyNumberFormat="1" applyFont="1" applyBorder="1" applyAlignment="1">
      <alignment vertical="center" wrapText="1"/>
    </xf>
    <xf numFmtId="10" fontId="10" fillId="0" borderId="127" xfId="8" applyNumberFormat="1" applyFont="1" applyBorder="1" applyAlignment="1">
      <alignment vertical="center" wrapText="1"/>
    </xf>
    <xf numFmtId="4" fontId="29" fillId="0" borderId="0" xfId="8" applyNumberFormat="1" applyFont="1" applyAlignment="1">
      <alignment vertical="center"/>
    </xf>
    <xf numFmtId="4" fontId="10" fillId="0" borderId="128" xfId="8" applyNumberFormat="1" applyFont="1" applyBorder="1" applyAlignment="1">
      <alignment horizontal="center" vertical="center"/>
    </xf>
    <xf numFmtId="0" fontId="30" fillId="0" borderId="129" xfId="8" applyFont="1" applyBorder="1" applyAlignment="1">
      <alignment vertical="center" wrapText="1"/>
    </xf>
    <xf numFmtId="0" fontId="10" fillId="0" borderId="129" xfId="8" applyFont="1" applyBorder="1" applyAlignment="1">
      <alignment horizontal="center" vertical="center" wrapText="1"/>
    </xf>
    <xf numFmtId="172" fontId="10" fillId="0" borderId="129" xfId="8" applyNumberFormat="1" applyFont="1" applyBorder="1" applyAlignment="1">
      <alignment vertical="center" wrapText="1"/>
    </xf>
    <xf numFmtId="4" fontId="10" fillId="0" borderId="129" xfId="8" applyNumberFormat="1" applyFont="1" applyBorder="1" applyAlignment="1">
      <alignment vertical="center" wrapText="1"/>
    </xf>
    <xf numFmtId="3" fontId="10" fillId="0" borderId="129" xfId="8" applyNumberFormat="1" applyFont="1" applyBorder="1" applyAlignment="1">
      <alignment vertical="center" wrapText="1"/>
    </xf>
    <xf numFmtId="0" fontId="10" fillId="0" borderId="129" xfId="8" applyFont="1" applyBorder="1" applyAlignment="1">
      <alignment vertical="center" wrapText="1"/>
    </xf>
    <xf numFmtId="3" fontId="10" fillId="0" borderId="130" xfId="8" applyNumberFormat="1" applyFont="1" applyBorder="1" applyAlignment="1">
      <alignment vertical="center" wrapText="1"/>
    </xf>
    <xf numFmtId="44" fontId="11" fillId="0" borderId="131" xfId="9" applyFont="1" applyBorder="1" applyAlignment="1">
      <alignment vertical="center" wrapText="1"/>
    </xf>
    <xf numFmtId="10" fontId="11" fillId="0" borderId="131" xfId="8" applyNumberFormat="1" applyFont="1" applyBorder="1" applyAlignment="1">
      <alignment vertical="center" wrapText="1"/>
    </xf>
    <xf numFmtId="44" fontId="29" fillId="0" borderId="0" xfId="9" applyFont="1" applyAlignment="1">
      <alignment vertical="center"/>
    </xf>
    <xf numFmtId="4" fontId="10" fillId="0" borderId="132" xfId="8" applyNumberFormat="1" applyFont="1" applyBorder="1" applyAlignment="1">
      <alignment horizontal="center" vertical="center"/>
    </xf>
    <xf numFmtId="0" fontId="11" fillId="0" borderId="133" xfId="8" applyFont="1" applyBorder="1" applyAlignment="1">
      <alignment vertical="center" wrapText="1"/>
    </xf>
    <xf numFmtId="0" fontId="10" fillId="0" borderId="133" xfId="8" applyFont="1" applyBorder="1" applyAlignment="1">
      <alignment horizontal="center" vertical="center" wrapText="1"/>
    </xf>
    <xf numFmtId="4" fontId="10" fillId="0" borderId="133" xfId="8" applyNumberFormat="1" applyFont="1" applyBorder="1" applyAlignment="1">
      <alignment vertical="center" wrapText="1"/>
    </xf>
    <xf numFmtId="3" fontId="10" fillId="0" borderId="133" xfId="8" applyNumberFormat="1" applyFont="1" applyBorder="1" applyAlignment="1">
      <alignment vertical="center" wrapText="1"/>
    </xf>
    <xf numFmtId="0" fontId="10" fillId="0" borderId="133" xfId="8" applyFont="1" applyBorder="1" applyAlignment="1">
      <alignment vertical="center" wrapText="1"/>
    </xf>
    <xf numFmtId="10" fontId="11" fillId="0" borderId="134" xfId="8" applyNumberFormat="1" applyFont="1" applyBorder="1" applyAlignment="1">
      <alignment vertical="center" wrapText="1"/>
    </xf>
    <xf numFmtId="10" fontId="11" fillId="0" borderId="31" xfId="8" applyNumberFormat="1" applyFont="1" applyBorder="1" applyAlignment="1">
      <alignment vertical="center" wrapText="1"/>
    </xf>
    <xf numFmtId="4" fontId="10" fillId="12" borderId="135" xfId="8" applyNumberFormat="1" applyFont="1" applyFill="1" applyBorder="1" applyAlignment="1">
      <alignment horizontal="center" vertical="center"/>
    </xf>
    <xf numFmtId="0" fontId="11" fillId="12" borderId="136" xfId="8" applyFont="1" applyFill="1" applyBorder="1" applyAlignment="1">
      <alignment vertical="center" wrapText="1"/>
    </xf>
    <xf numFmtId="0" fontId="10" fillId="12" borderId="136" xfId="8" applyFont="1" applyFill="1" applyBorder="1" applyAlignment="1">
      <alignment horizontal="center" vertical="center" wrapText="1"/>
    </xf>
    <xf numFmtId="4" fontId="10" fillId="12" borderId="136" xfId="8" applyNumberFormat="1" applyFont="1" applyFill="1" applyBorder="1" applyAlignment="1">
      <alignment vertical="center" wrapText="1"/>
    </xf>
    <xf numFmtId="3" fontId="10" fillId="12" borderId="136" xfId="8" applyNumberFormat="1" applyFont="1" applyFill="1" applyBorder="1" applyAlignment="1">
      <alignment vertical="center" wrapText="1"/>
    </xf>
    <xf numFmtId="0" fontId="10" fillId="12" borderId="136" xfId="8" applyFont="1" applyFill="1" applyBorder="1" applyAlignment="1">
      <alignment vertical="center" wrapText="1"/>
    </xf>
    <xf numFmtId="3" fontId="10" fillId="12" borderId="137" xfId="8" applyNumberFormat="1" applyFont="1" applyFill="1" applyBorder="1" applyAlignment="1">
      <alignment vertical="center" wrapText="1"/>
    </xf>
    <xf numFmtId="10" fontId="11" fillId="12" borderId="138" xfId="8" applyNumberFormat="1" applyFont="1" applyFill="1" applyBorder="1" applyAlignment="1">
      <alignment vertical="center" wrapText="1"/>
    </xf>
    <xf numFmtId="0" fontId="29" fillId="0" borderId="0" xfId="8" applyFont="1" applyAlignment="1">
      <alignment horizontal="center" vertical="center"/>
    </xf>
    <xf numFmtId="0" fontId="29" fillId="0" borderId="0" xfId="8" applyFont="1" applyAlignment="1">
      <alignment horizontal="left" vertical="center" wrapText="1"/>
    </xf>
    <xf numFmtId="0" fontId="29" fillId="0" borderId="0" xfId="8" applyFont="1" applyAlignment="1">
      <alignment horizontal="right" vertical="center"/>
    </xf>
    <xf numFmtId="168" fontId="29" fillId="0" borderId="0" xfId="8" applyNumberFormat="1" applyFont="1" applyAlignment="1">
      <alignment vertical="center"/>
    </xf>
    <xf numFmtId="177" fontId="29" fillId="0" borderId="0" xfId="8" applyNumberFormat="1" applyFont="1" applyAlignment="1">
      <alignment vertical="center"/>
    </xf>
    <xf numFmtId="10" fontId="29" fillId="0" borderId="0" xfId="10" applyNumberFormat="1" applyFont="1" applyAlignment="1">
      <alignment horizontal="right" vertical="center"/>
    </xf>
    <xf numFmtId="0" fontId="2" fillId="0" borderId="0" xfId="8" applyFont="1" applyAlignment="1">
      <alignment horizontal="center" vertical="center"/>
    </xf>
    <xf numFmtId="178" fontId="2" fillId="0" borderId="0" xfId="8" applyNumberFormat="1" applyFont="1" applyAlignment="1">
      <alignment horizontal="center" vertical="center"/>
    </xf>
    <xf numFmtId="169" fontId="2" fillId="0" borderId="0" xfId="8" applyNumberFormat="1" applyFont="1" applyAlignment="1">
      <alignment vertical="center"/>
    </xf>
    <xf numFmtId="0" fontId="2" fillId="0" borderId="0" xfId="8" applyFont="1" applyAlignment="1">
      <alignment vertical="center"/>
    </xf>
    <xf numFmtId="0" fontId="31" fillId="0" borderId="0" xfId="8" applyFont="1" applyAlignment="1">
      <alignment vertical="center"/>
    </xf>
    <xf numFmtId="44" fontId="29" fillId="0" borderId="0" xfId="8" applyNumberFormat="1" applyFont="1" applyAlignment="1">
      <alignment vertical="center"/>
    </xf>
    <xf numFmtId="44" fontId="29" fillId="0" borderId="0" xfId="1" applyFont="1" applyAlignment="1">
      <alignment horizontal="center" vertical="center"/>
    </xf>
    <xf numFmtId="44" fontId="29" fillId="0" borderId="0" xfId="1" applyFont="1" applyAlignment="1">
      <alignment vertical="center"/>
    </xf>
    <xf numFmtId="179" fontId="29" fillId="0" borderId="0" xfId="2" applyNumberFormat="1" applyFont="1" applyAlignment="1">
      <alignment vertical="center"/>
    </xf>
    <xf numFmtId="173" fontId="13" fillId="0" borderId="80" xfId="8" applyNumberFormat="1" applyFont="1" applyBorder="1" applyAlignment="1">
      <alignment horizontal="center" vertical="center"/>
    </xf>
    <xf numFmtId="166" fontId="13" fillId="0" borderId="80" xfId="8" applyNumberFormat="1" applyFont="1" applyBorder="1" applyAlignment="1">
      <alignment horizontal="center" vertical="center"/>
    </xf>
    <xf numFmtId="170" fontId="13" fillId="0" borderId="72" xfId="8" applyNumberFormat="1" applyFont="1" applyBorder="1" applyAlignment="1">
      <alignment horizontal="right" vertical="center"/>
    </xf>
    <xf numFmtId="166" fontId="13" fillId="0" borderId="80" xfId="8" applyNumberFormat="1" applyFont="1" applyBorder="1" applyAlignment="1">
      <alignment horizontal="right" vertical="center"/>
    </xf>
    <xf numFmtId="166" fontId="13" fillId="0" borderId="81" xfId="8" applyNumberFormat="1" applyFont="1" applyBorder="1" applyAlignment="1">
      <alignment horizontal="right" vertical="center"/>
    </xf>
    <xf numFmtId="166" fontId="13" fillId="0" borderId="72" xfId="8" applyNumberFormat="1" applyFont="1" applyBorder="1" applyAlignment="1">
      <alignment vertical="center"/>
    </xf>
    <xf numFmtId="4" fontId="28" fillId="8" borderId="46" xfId="8" applyNumberFormat="1" applyFont="1" applyFill="1" applyBorder="1" applyAlignment="1">
      <alignment horizontal="center" vertical="center"/>
    </xf>
    <xf numFmtId="171" fontId="28" fillId="8" borderId="46" xfId="8" applyNumberFormat="1" applyFont="1" applyFill="1" applyBorder="1" applyAlignment="1">
      <alignment horizontal="center" vertical="center"/>
    </xf>
    <xf numFmtId="171" fontId="13" fillId="0" borderId="80" xfId="8" applyNumberFormat="1" applyFont="1" applyBorder="1" applyAlignment="1">
      <alignment horizontal="center" vertical="center"/>
    </xf>
    <xf numFmtId="2" fontId="13" fillId="0" borderId="0" xfId="8" applyNumberFormat="1" applyFont="1" applyAlignment="1">
      <alignment horizontal="center" vertical="center" wrapText="1"/>
    </xf>
    <xf numFmtId="166" fontId="3" fillId="2" borderId="1" xfId="1" applyNumberFormat="1" applyFont="1" applyFill="1" applyBorder="1" applyAlignment="1">
      <alignment horizontal="center" vertical="center"/>
    </xf>
    <xf numFmtId="166" fontId="3" fillId="2" borderId="1" xfId="1" applyNumberFormat="1" applyFont="1" applyFill="1" applyBorder="1" applyAlignment="1">
      <alignment horizontal="right" vertical="center"/>
    </xf>
    <xf numFmtId="166" fontId="2" fillId="0" borderId="1" xfId="1" applyNumberFormat="1" applyFont="1" applyBorder="1" applyAlignment="1">
      <alignment horizontal="right" vertical="center"/>
    </xf>
    <xf numFmtId="166" fontId="3" fillId="0" borderId="1" xfId="1" applyNumberFormat="1" applyFont="1" applyBorder="1" applyAlignment="1">
      <alignment horizontal="right" vertical="center"/>
    </xf>
    <xf numFmtId="44" fontId="13" fillId="0" borderId="88" xfId="1" applyFont="1" applyBorder="1" applyAlignment="1">
      <alignment horizontal="center" vertical="center"/>
    </xf>
    <xf numFmtId="44" fontId="13" fillId="0" borderId="45" xfId="1" applyFont="1" applyBorder="1" applyAlignment="1">
      <alignment horizontal="center" vertical="center"/>
    </xf>
    <xf numFmtId="44" fontId="13" fillId="0" borderId="80" xfId="1" applyFont="1" applyBorder="1" applyAlignment="1">
      <alignment horizontal="center" vertical="center"/>
    </xf>
    <xf numFmtId="44" fontId="13" fillId="0" borderId="89" xfId="1" applyFont="1" applyBorder="1" applyAlignment="1">
      <alignment horizontal="center" vertical="center"/>
    </xf>
    <xf numFmtId="44" fontId="13" fillId="0" borderId="94" xfId="1" applyFont="1" applyBorder="1" applyAlignment="1">
      <alignment horizontal="center" vertical="center"/>
    </xf>
    <xf numFmtId="44" fontId="13" fillId="0" borderId="81" xfId="1" applyFont="1" applyBorder="1" applyAlignment="1">
      <alignment horizontal="center" vertical="center"/>
    </xf>
    <xf numFmtId="166" fontId="2" fillId="0" borderId="0" xfId="1" applyNumberFormat="1" applyFont="1" applyAlignment="1">
      <alignment horizontal="center" vertical="center"/>
    </xf>
    <xf numFmtId="176" fontId="19" fillId="0" borderId="0" xfId="1" applyNumberFormat="1" applyFont="1" applyAlignment="1">
      <alignment horizontal="center" vertical="center"/>
    </xf>
    <xf numFmtId="176" fontId="19" fillId="0" borderId="0" xfId="1" applyNumberFormat="1" applyFont="1" applyAlignment="1">
      <alignment horizontal="center" vertical="center" wrapText="1"/>
    </xf>
    <xf numFmtId="176" fontId="19" fillId="7" borderId="67" xfId="1" applyNumberFormat="1" applyFont="1" applyFill="1" applyBorder="1" applyAlignment="1">
      <alignment horizontal="center" vertical="center"/>
    </xf>
    <xf numFmtId="176" fontId="13" fillId="0" borderId="72" xfId="1" applyNumberFormat="1" applyFont="1" applyBorder="1" applyAlignment="1">
      <alignment vertical="center"/>
    </xf>
    <xf numFmtId="176" fontId="13" fillId="0" borderId="72" xfId="1" applyNumberFormat="1" applyFont="1" applyBorder="1" applyAlignment="1">
      <alignment horizontal="right" vertical="center"/>
    </xf>
    <xf numFmtId="176" fontId="13" fillId="0" borderId="81" xfId="1" applyNumberFormat="1" applyFont="1" applyBorder="1" applyAlignment="1">
      <alignment horizontal="right" vertical="center"/>
    </xf>
    <xf numFmtId="176" fontId="13" fillId="0" borderId="80" xfId="1" applyNumberFormat="1" applyFont="1" applyBorder="1" applyAlignment="1">
      <alignment horizontal="center" vertical="center"/>
    </xf>
    <xf numFmtId="176" fontId="19" fillId="7" borderId="97" xfId="1" applyNumberFormat="1" applyFont="1" applyFill="1" applyBorder="1" applyAlignment="1">
      <alignment horizontal="center" vertical="center" wrapText="1"/>
    </xf>
    <xf numFmtId="176" fontId="13" fillId="0" borderId="72" xfId="1" applyNumberFormat="1" applyFont="1" applyBorder="1" applyAlignment="1">
      <alignment horizontal="center" vertical="center"/>
    </xf>
    <xf numFmtId="176" fontId="13" fillId="0" borderId="81" xfId="1" applyNumberFormat="1" applyFont="1" applyBorder="1" applyAlignment="1">
      <alignment horizontal="center" vertical="center"/>
    </xf>
    <xf numFmtId="176" fontId="13" fillId="0" borderId="0" xfId="1" applyNumberFormat="1" applyFont="1" applyAlignment="1">
      <alignment horizontal="center" vertical="center"/>
    </xf>
    <xf numFmtId="176" fontId="19" fillId="7" borderId="104" xfId="1" applyNumberFormat="1" applyFont="1" applyFill="1" applyBorder="1" applyAlignment="1">
      <alignment horizontal="center" vertical="center"/>
    </xf>
    <xf numFmtId="176" fontId="13" fillId="0" borderId="1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8" fontId="8" fillId="0" borderId="0" xfId="8" applyNumberFormat="1" applyAlignment="1">
      <alignment vertical="center"/>
    </xf>
    <xf numFmtId="9" fontId="28" fillId="8" borderId="4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4" fontId="13" fillId="0" borderId="1" xfId="8" applyNumberFormat="1" applyFont="1" applyBorder="1" applyAlignment="1">
      <alignment vertical="center"/>
    </xf>
    <xf numFmtId="171" fontId="13" fillId="0" borderId="1" xfId="8" applyNumberFormat="1" applyFont="1" applyBorder="1" applyAlignment="1">
      <alignment horizontal="center" vertical="center"/>
    </xf>
    <xf numFmtId="166" fontId="13" fillId="0" borderId="1" xfId="8" applyNumberFormat="1" applyFont="1" applyBorder="1" applyAlignment="1">
      <alignment vertical="center"/>
    </xf>
    <xf numFmtId="171" fontId="27" fillId="0" borderId="1" xfId="8" applyNumberFormat="1" applyFont="1" applyBorder="1" applyAlignment="1">
      <alignment horizontal="center" vertical="center"/>
    </xf>
    <xf numFmtId="166" fontId="13" fillId="0" borderId="1" xfId="8" applyNumberFormat="1" applyFont="1" applyBorder="1" applyAlignment="1">
      <alignment horizontal="right" vertical="center"/>
    </xf>
    <xf numFmtId="0" fontId="19" fillId="0" borderId="73" xfId="8" applyFont="1" applyBorder="1" applyAlignment="1">
      <alignment vertical="center"/>
    </xf>
    <xf numFmtId="4" fontId="13" fillId="0" borderId="142" xfId="8" applyNumberFormat="1" applyFont="1" applyBorder="1" applyAlignment="1">
      <alignment horizontal="center" vertical="center"/>
    </xf>
    <xf numFmtId="169" fontId="13" fillId="0" borderId="142" xfId="8" applyNumberFormat="1" applyFont="1" applyBorder="1" applyAlignment="1">
      <alignment horizontal="center" vertical="center"/>
    </xf>
    <xf numFmtId="171" fontId="13" fillId="0" borderId="142" xfId="8" applyNumberFormat="1" applyFont="1" applyBorder="1" applyAlignment="1">
      <alignment horizontal="center" vertical="center"/>
    </xf>
    <xf numFmtId="166" fontId="13" fillId="0" borderId="143" xfId="8" applyNumberFormat="1" applyFont="1" applyBorder="1" applyAlignment="1">
      <alignment horizontal="right" vertical="center"/>
    </xf>
    <xf numFmtId="169" fontId="28" fillId="8" borderId="1" xfId="8" applyNumberFormat="1" applyFont="1" applyFill="1" applyBorder="1" applyAlignment="1">
      <alignment horizontal="center" vertical="center"/>
    </xf>
    <xf numFmtId="171" fontId="28" fillId="8" borderId="1" xfId="8" applyNumberFormat="1" applyFont="1" applyFill="1" applyBorder="1" applyAlignment="1">
      <alignment horizontal="center" vertical="center"/>
    </xf>
    <xf numFmtId="170" fontId="13" fillId="0" borderId="1" xfId="8" applyNumberFormat="1" applyFont="1" applyBorder="1" applyAlignment="1">
      <alignment vertical="center"/>
    </xf>
    <xf numFmtId="0" fontId="32" fillId="0" borderId="0" xfId="0" applyFont="1" applyAlignment="1">
      <alignment horizontal="left" vertical="center" wrapText="1"/>
    </xf>
    <xf numFmtId="166" fontId="0" fillId="0" borderId="0" xfId="0" applyNumberFormat="1" applyAlignment="1">
      <alignment vertical="center"/>
    </xf>
    <xf numFmtId="0" fontId="33" fillId="0" borderId="0" xfId="0" applyFont="1" applyAlignment="1">
      <alignment horizontal="right" vertical="center"/>
    </xf>
    <xf numFmtId="166" fontId="33" fillId="0" borderId="0" xfId="0" applyNumberFormat="1" applyFont="1" applyAlignment="1">
      <alignment vertical="center"/>
    </xf>
    <xf numFmtId="0" fontId="35" fillId="0" borderId="0" xfId="17" applyFont="1" applyAlignment="1">
      <alignment vertical="center"/>
    </xf>
    <xf numFmtId="0" fontId="35" fillId="0" borderId="46" xfId="17" applyFont="1" applyBorder="1" applyAlignment="1">
      <alignment horizontal="center" vertical="center"/>
    </xf>
    <xf numFmtId="0" fontId="35" fillId="0" borderId="46" xfId="17" applyFont="1" applyBorder="1" applyAlignment="1">
      <alignment vertical="center"/>
    </xf>
    <xf numFmtId="0" fontId="38" fillId="0" borderId="46" xfId="17" applyFont="1" applyBorder="1" applyAlignment="1">
      <alignment horizontal="center" vertical="center"/>
    </xf>
    <xf numFmtId="9" fontId="38" fillId="0" borderId="46" xfId="17" applyNumberFormat="1" applyFont="1" applyBorder="1" applyAlignment="1">
      <alignment horizontal="center" vertical="center"/>
    </xf>
    <xf numFmtId="0" fontId="38" fillId="0" borderId="46" xfId="17" applyFont="1" applyBorder="1" applyAlignment="1">
      <alignment vertical="center"/>
    </xf>
    <xf numFmtId="183" fontId="38" fillId="0" borderId="46" xfId="17" applyNumberFormat="1" applyFont="1" applyBorder="1" applyAlignment="1">
      <alignment vertical="center"/>
    </xf>
    <xf numFmtId="0" fontId="38" fillId="0" borderId="0" xfId="17" applyFont="1" applyAlignment="1">
      <alignment vertical="center"/>
    </xf>
    <xf numFmtId="0" fontId="37" fillId="0" borderId="0" xfId="17" applyFont="1" applyAlignment="1">
      <alignment horizontal="center" vertical="center"/>
    </xf>
    <xf numFmtId="0" fontId="36" fillId="0" borderId="76" xfId="17" applyFont="1" applyBorder="1" applyAlignment="1">
      <alignment vertical="center"/>
    </xf>
    <xf numFmtId="0" fontId="38" fillId="0" borderId="76" xfId="17" applyFont="1" applyBorder="1" applyAlignment="1">
      <alignment vertical="center"/>
    </xf>
    <xf numFmtId="2" fontId="38" fillId="0" borderId="76" xfId="17" applyNumberFormat="1" applyFont="1" applyBorder="1" applyAlignment="1">
      <alignment vertical="center"/>
    </xf>
    <xf numFmtId="183" fontId="37" fillId="0" borderId="0" xfId="17" applyNumberFormat="1" applyFont="1" applyAlignment="1">
      <alignment horizontal="center" vertical="center"/>
    </xf>
    <xf numFmtId="183" fontId="38" fillId="0" borderId="0" xfId="17" applyNumberFormat="1" applyFont="1" applyAlignment="1">
      <alignment vertical="center"/>
    </xf>
    <xf numFmtId="183" fontId="38" fillId="0" borderId="46" xfId="17" applyNumberFormat="1" applyFont="1" applyBorder="1" applyAlignment="1">
      <alignment horizontal="center" vertical="center"/>
    </xf>
    <xf numFmtId="43" fontId="38" fillId="0" borderId="46" xfId="17" applyNumberFormat="1" applyFont="1" applyBorder="1" applyAlignment="1">
      <alignment vertical="center"/>
    </xf>
    <xf numFmtId="182" fontId="38" fillId="0" borderId="46" xfId="17" applyNumberFormat="1" applyFont="1" applyBorder="1" applyAlignment="1">
      <alignment vertical="center"/>
    </xf>
    <xf numFmtId="9" fontId="38" fillId="0" borderId="46" xfId="17" applyNumberFormat="1" applyFont="1" applyBorder="1" applyAlignment="1">
      <alignment vertical="center"/>
    </xf>
    <xf numFmtId="0" fontId="38" fillId="0" borderId="29" xfId="17" applyFont="1" applyBorder="1" applyAlignment="1">
      <alignment vertical="center"/>
    </xf>
    <xf numFmtId="0" fontId="37" fillId="0" borderId="30" xfId="17" applyFont="1" applyBorder="1" applyAlignment="1">
      <alignment vertical="center"/>
    </xf>
    <xf numFmtId="0" fontId="38" fillId="0" borderId="30" xfId="17" applyFont="1" applyBorder="1" applyAlignment="1">
      <alignment vertical="center"/>
    </xf>
    <xf numFmtId="183" fontId="38" fillId="0" borderId="30" xfId="17" applyNumberFormat="1" applyFont="1" applyBorder="1" applyAlignment="1">
      <alignment vertical="center"/>
    </xf>
    <xf numFmtId="9" fontId="35" fillId="0" borderId="6" xfId="17" applyNumberFormat="1" applyFont="1" applyBorder="1" applyAlignment="1">
      <alignment vertical="center"/>
    </xf>
    <xf numFmtId="183" fontId="38" fillId="0" borderId="76" xfId="17" applyNumberFormat="1" applyFont="1" applyBorder="1" applyAlignment="1">
      <alignment horizontal="left" vertical="center"/>
    </xf>
    <xf numFmtId="182" fontId="37" fillId="0" borderId="0" xfId="17" applyNumberFormat="1" applyFont="1" applyAlignment="1">
      <alignment horizontal="center" vertical="center"/>
    </xf>
    <xf numFmtId="183" fontId="38" fillId="0" borderId="76" xfId="17" applyNumberFormat="1" applyFont="1" applyBorder="1" applyAlignment="1">
      <alignment vertical="center"/>
    </xf>
    <xf numFmtId="0" fontId="39" fillId="13" borderId="152" xfId="17" applyFont="1" applyFill="1" applyBorder="1" applyAlignment="1">
      <alignment horizontal="center" vertical="center" wrapText="1"/>
    </xf>
    <xf numFmtId="0" fontId="35" fillId="13" borderId="148" xfId="17" applyFont="1" applyFill="1" applyBorder="1" applyAlignment="1">
      <alignment horizontal="center" vertical="center" wrapText="1"/>
    </xf>
    <xf numFmtId="0" fontId="37" fillId="13" borderId="148" xfId="17" applyFont="1" applyFill="1" applyBorder="1" applyAlignment="1">
      <alignment horizontal="center" vertical="center"/>
    </xf>
    <xf numFmtId="4" fontId="38" fillId="13" borderId="148" xfId="17" applyNumberFormat="1" applyFont="1" applyFill="1" applyBorder="1" applyAlignment="1">
      <alignment horizontal="center" vertical="center"/>
    </xf>
    <xf numFmtId="181" fontId="39" fillId="13" borderId="148" xfId="17" applyNumberFormat="1" applyFont="1" applyFill="1" applyBorder="1" applyAlignment="1">
      <alignment horizontal="center" vertical="center" wrapText="1"/>
    </xf>
    <xf numFmtId="44" fontId="38" fillId="13" borderId="149" xfId="58" applyFont="1" applyFill="1" applyBorder="1" applyAlignment="1">
      <alignment vertical="center"/>
    </xf>
    <xf numFmtId="0" fontId="38" fillId="13" borderId="153" xfId="17" applyFont="1" applyFill="1" applyBorder="1" applyAlignment="1">
      <alignment horizontal="center" vertical="center"/>
    </xf>
    <xf numFmtId="0" fontId="35" fillId="0" borderId="27" xfId="17" applyFont="1" applyBorder="1" applyAlignment="1">
      <alignment vertical="center"/>
    </xf>
    <xf numFmtId="44" fontId="35" fillId="0" borderId="28" xfId="58" applyFont="1" applyBorder="1" applyAlignment="1">
      <alignment vertical="center"/>
    </xf>
    <xf numFmtId="0" fontId="37" fillId="0" borderId="27" xfId="17" applyFont="1" applyBorder="1" applyAlignment="1">
      <alignment vertical="center"/>
    </xf>
    <xf numFmtId="0" fontId="38" fillId="0" borderId="13" xfId="17" applyFont="1" applyBorder="1" applyAlignment="1">
      <alignment horizontal="center" vertical="center"/>
    </xf>
    <xf numFmtId="0" fontId="38" fillId="0" borderId="4" xfId="17" applyFont="1" applyBorder="1" applyAlignment="1">
      <alignment horizontal="center" vertical="center"/>
    </xf>
    <xf numFmtId="0" fontId="38" fillId="0" borderId="76" xfId="17" applyFont="1" applyBorder="1" applyAlignment="1">
      <alignment horizontal="center" vertical="center"/>
    </xf>
    <xf numFmtId="44" fontId="38" fillId="0" borderId="145" xfId="58" applyFont="1" applyBorder="1" applyAlignment="1">
      <alignment horizontal="center" vertical="center"/>
    </xf>
    <xf numFmtId="0" fontId="38" fillId="0" borderId="13" xfId="17" applyFont="1" applyBorder="1" applyAlignment="1">
      <alignment vertical="center"/>
    </xf>
    <xf numFmtId="0" fontId="35" fillId="0" borderId="4" xfId="17" applyFont="1" applyBorder="1" applyAlignment="1">
      <alignment vertical="center"/>
    </xf>
    <xf numFmtId="184" fontId="38" fillId="0" borderId="46" xfId="17" applyNumberFormat="1" applyFont="1" applyBorder="1" applyAlignment="1">
      <alignment horizontal="right" vertical="center"/>
    </xf>
    <xf numFmtId="44" fontId="38" fillId="0" borderId="46" xfId="58" applyFont="1" applyBorder="1" applyAlignment="1">
      <alignment vertical="center"/>
    </xf>
    <xf numFmtId="44" fontId="38" fillId="0" borderId="145" xfId="58" applyFont="1" applyBorder="1" applyAlignment="1">
      <alignment vertical="center"/>
    </xf>
    <xf numFmtId="1" fontId="38" fillId="0" borderId="13" xfId="17" applyNumberFormat="1" applyFont="1" applyBorder="1" applyAlignment="1">
      <alignment horizontal="left" vertical="center"/>
    </xf>
    <xf numFmtId="0" fontId="38" fillId="0" borderId="27" xfId="17" applyFont="1" applyBorder="1" applyAlignment="1">
      <alignment vertical="center"/>
    </xf>
    <xf numFmtId="44" fontId="38" fillId="0" borderId="28" xfId="58" applyFont="1" applyBorder="1" applyAlignment="1">
      <alignment vertical="center"/>
    </xf>
    <xf numFmtId="0" fontId="38" fillId="0" borderId="146" xfId="17" applyFont="1" applyBorder="1" applyAlignment="1">
      <alignment horizontal="left" vertical="center"/>
    </xf>
    <xf numFmtId="0" fontId="38" fillId="0" borderId="76" xfId="17" applyFont="1" applyBorder="1" applyAlignment="1">
      <alignment horizontal="right" vertical="center"/>
    </xf>
    <xf numFmtId="44" fontId="38" fillId="0" borderId="46" xfId="58" applyFont="1" applyBorder="1" applyAlignment="1">
      <alignment horizontal="center" vertical="center"/>
    </xf>
    <xf numFmtId="183" fontId="38" fillId="0" borderId="146" xfId="17" applyNumberFormat="1" applyFont="1" applyBorder="1" applyAlignment="1">
      <alignment horizontal="left" vertical="center"/>
    </xf>
    <xf numFmtId="183" fontId="38" fillId="0" borderId="146" xfId="17" applyNumberFormat="1" applyFont="1" applyBorder="1" applyAlignment="1">
      <alignment vertical="center"/>
    </xf>
    <xf numFmtId="0" fontId="38" fillId="0" borderId="155" xfId="17" applyFont="1" applyBorder="1" applyAlignment="1">
      <alignment horizontal="center" vertical="center"/>
    </xf>
    <xf numFmtId="0" fontId="35" fillId="0" borderId="155" xfId="17" applyFont="1" applyBorder="1" applyAlignment="1">
      <alignment vertical="center"/>
    </xf>
    <xf numFmtId="183" fontId="38" fillId="0" borderId="155" xfId="17" applyNumberFormat="1" applyFont="1" applyBorder="1" applyAlignment="1">
      <alignment vertical="center"/>
    </xf>
    <xf numFmtId="184" fontId="38" fillId="0" borderId="46" xfId="27" applyNumberFormat="1" applyFont="1" applyBorder="1" applyAlignment="1">
      <alignment vertical="center"/>
    </xf>
    <xf numFmtId="183" fontId="38" fillId="0" borderId="27" xfId="17" applyNumberFormat="1" applyFont="1" applyBorder="1" applyAlignment="1">
      <alignment vertical="center"/>
    </xf>
    <xf numFmtId="0" fontId="38" fillId="0" borderId="22" xfId="17" applyFont="1" applyBorder="1" applyAlignment="1">
      <alignment vertical="center"/>
    </xf>
    <xf numFmtId="0" fontId="38" fillId="0" borderId="19" xfId="17" applyFont="1" applyBorder="1" applyAlignment="1">
      <alignment vertical="center"/>
    </xf>
    <xf numFmtId="183" fontId="38" fillId="0" borderId="19" xfId="17" applyNumberFormat="1" applyFont="1" applyBorder="1" applyAlignment="1">
      <alignment vertical="center"/>
    </xf>
    <xf numFmtId="44" fontId="38" fillId="0" borderId="156" xfId="58" applyFont="1" applyBorder="1" applyAlignment="1">
      <alignment vertical="center"/>
    </xf>
    <xf numFmtId="44" fontId="38" fillId="0" borderId="147" xfId="58" applyFont="1" applyBorder="1" applyAlignment="1">
      <alignment vertical="center"/>
    </xf>
    <xf numFmtId="44" fontId="35" fillId="0" borderId="35" xfId="58" applyFont="1" applyBorder="1" applyAlignment="1">
      <alignment vertical="center"/>
    </xf>
    <xf numFmtId="9" fontId="34" fillId="0" borderId="1" xfId="17" applyNumberFormat="1" applyBorder="1" applyAlignment="1">
      <alignment vertical="center"/>
    </xf>
    <xf numFmtId="44" fontId="34" fillId="0" borderId="24" xfId="58" applyFont="1" applyBorder="1" applyAlignment="1">
      <alignment vertical="center"/>
    </xf>
    <xf numFmtId="44" fontId="39" fillId="0" borderId="150" xfId="58" applyFont="1" applyBorder="1" applyAlignment="1">
      <alignment vertical="center"/>
    </xf>
    <xf numFmtId="0" fontId="28" fillId="8" borderId="1" xfId="8" applyFont="1" applyFill="1" applyBorder="1" applyAlignment="1">
      <alignment horizontal="left" vertical="center" wrapText="1"/>
    </xf>
    <xf numFmtId="0" fontId="38" fillId="0" borderId="157" xfId="17" applyFont="1" applyBorder="1" applyAlignment="1">
      <alignment vertical="center"/>
    </xf>
    <xf numFmtId="183" fontId="38" fillId="0" borderId="157" xfId="17" applyNumberFormat="1" applyFont="1" applyBorder="1" applyAlignment="1">
      <alignment horizontal="left" vertical="center"/>
    </xf>
    <xf numFmtId="183" fontId="38" fillId="0" borderId="157" xfId="17" applyNumberFormat="1" applyFont="1" applyBorder="1" applyAlignment="1">
      <alignment vertical="center"/>
    </xf>
    <xf numFmtId="0" fontId="28" fillId="8" borderId="3" xfId="8" applyFont="1" applyFill="1" applyBorder="1" applyAlignment="1">
      <alignment vertical="center" wrapText="1"/>
    </xf>
    <xf numFmtId="0" fontId="28" fillId="8" borderId="4" xfId="8" applyFont="1" applyFill="1" applyBorder="1" applyAlignment="1">
      <alignment vertical="center" wrapText="1"/>
    </xf>
    <xf numFmtId="44" fontId="13" fillId="0" borderId="1" xfId="1" applyFont="1" applyBorder="1" applyAlignment="1">
      <alignment horizontal="right" vertical="center"/>
    </xf>
    <xf numFmtId="2" fontId="38" fillId="0" borderId="46" xfId="17" applyNumberFormat="1" applyFont="1" applyBorder="1" applyAlignment="1">
      <alignment horizontal="center" vertical="center"/>
    </xf>
    <xf numFmtId="192" fontId="42" fillId="14" borderId="158" xfId="69" applyNumberFormat="1" applyFont="1" applyFill="1" applyBorder="1" applyAlignment="1">
      <alignment horizontal="center" vertical="center"/>
    </xf>
    <xf numFmtId="2" fontId="42" fillId="15" borderId="159" xfId="69" applyNumberFormat="1" applyFont="1" applyFill="1" applyBorder="1" applyAlignment="1">
      <alignment horizontal="center" vertical="center" wrapText="1"/>
    </xf>
    <xf numFmtId="0" fontId="42" fillId="15" borderId="148" xfId="0" applyFont="1" applyFill="1" applyBorder="1" applyAlignment="1">
      <alignment vertical="center" wrapText="1"/>
    </xf>
    <xf numFmtId="0" fontId="42" fillId="15" borderId="148" xfId="0" applyFont="1" applyFill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4" fillId="16" borderId="1" xfId="0" applyFont="1" applyFill="1" applyBorder="1" applyAlignment="1">
      <alignment horizontal="center" vertical="center" wrapText="1"/>
    </xf>
    <xf numFmtId="0" fontId="44" fillId="16" borderId="1" xfId="0" applyFont="1" applyFill="1" applyBorder="1" applyAlignment="1">
      <alignment horizontal="right" vertical="center" wrapText="1"/>
    </xf>
    <xf numFmtId="44" fontId="44" fillId="16" borderId="1" xfId="1" applyFont="1" applyFill="1" applyBorder="1" applyAlignment="1">
      <alignment horizontal="center" vertical="center" wrapText="1"/>
    </xf>
    <xf numFmtId="44" fontId="44" fillId="16" borderId="24" xfId="1" applyFont="1" applyFill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2" fillId="16" borderId="1" xfId="0" applyFont="1" applyFill="1" applyBorder="1" applyAlignment="1">
      <alignment vertical="center" wrapText="1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right" vertical="center"/>
    </xf>
    <xf numFmtId="193" fontId="45" fillId="0" borderId="1" xfId="0" applyNumberFormat="1" applyFont="1" applyBorder="1" applyAlignment="1">
      <alignment vertical="center"/>
    </xf>
    <xf numFmtId="44" fontId="45" fillId="0" borderId="24" xfId="1" applyFont="1" applyBorder="1" applyAlignment="1">
      <alignment vertical="center"/>
    </xf>
    <xf numFmtId="0" fontId="45" fillId="0" borderId="46" xfId="0" applyFont="1" applyBorder="1" applyAlignment="1">
      <alignment vertical="center" wrapText="1"/>
    </xf>
    <xf numFmtId="193" fontId="45" fillId="0" borderId="1" xfId="69" applyNumberFormat="1" applyFont="1" applyBorder="1" applyAlignment="1">
      <alignment vertical="center"/>
    </xf>
    <xf numFmtId="193" fontId="45" fillId="0" borderId="15" xfId="0" applyNumberFormat="1" applyFont="1" applyBorder="1" applyAlignment="1">
      <alignment horizontal="center" vertical="center"/>
    </xf>
    <xf numFmtId="192" fontId="46" fillId="0" borderId="22" xfId="0" applyNumberFormat="1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5" fillId="0" borderId="19" xfId="0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/>
    </xf>
    <xf numFmtId="0" fontId="45" fillId="0" borderId="19" xfId="0" applyFont="1" applyBorder="1" applyAlignment="1">
      <alignment horizontal="right" vertical="center"/>
    </xf>
    <xf numFmtId="0" fontId="45" fillId="0" borderId="19" xfId="0" applyFont="1" applyBorder="1" applyAlignment="1">
      <alignment vertical="center"/>
    </xf>
    <xf numFmtId="44" fontId="47" fillId="0" borderId="57" xfId="1" applyFont="1" applyBorder="1" applyAlignment="1">
      <alignment vertical="center"/>
    </xf>
    <xf numFmtId="192" fontId="42" fillId="17" borderId="158" xfId="69" applyNumberFormat="1" applyFont="1" applyFill="1" applyBorder="1" applyAlignment="1">
      <alignment horizontal="center" vertical="center"/>
    </xf>
    <xf numFmtId="0" fontId="42" fillId="15" borderId="159" xfId="0" applyFont="1" applyFill="1" applyBorder="1" applyAlignment="1">
      <alignment vertical="center" wrapText="1"/>
    </xf>
    <xf numFmtId="0" fontId="42" fillId="15" borderId="159" xfId="0" applyFont="1" applyFill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193" fontId="49" fillId="0" borderId="15" xfId="0" applyNumberFormat="1" applyFont="1" applyBorder="1" applyAlignment="1">
      <alignment horizontal="center" vertical="center"/>
    </xf>
    <xf numFmtId="0" fontId="42" fillId="16" borderId="1" xfId="69" applyFont="1" applyFill="1" applyBorder="1" applyAlignment="1">
      <alignment vertical="center" wrapText="1"/>
    </xf>
    <xf numFmtId="0" fontId="45" fillId="0" borderId="1" xfId="69" applyFont="1" applyBorder="1" applyAlignment="1">
      <alignment horizontal="center" vertical="center"/>
    </xf>
    <xf numFmtId="0" fontId="45" fillId="0" borderId="1" xfId="69" applyFont="1" applyBorder="1" applyAlignment="1">
      <alignment horizontal="right" vertical="center"/>
    </xf>
    <xf numFmtId="44" fontId="45" fillId="0" borderId="24" xfId="58" applyFont="1" applyBorder="1" applyAlignment="1">
      <alignment vertical="center"/>
    </xf>
    <xf numFmtId="0" fontId="49" fillId="0" borderId="1" xfId="0" applyFont="1" applyBorder="1" applyAlignment="1">
      <alignment horizontal="right" vertical="center"/>
    </xf>
    <xf numFmtId="44" fontId="49" fillId="0" borderId="24" xfId="1" applyFont="1" applyBorder="1" applyAlignment="1">
      <alignment vertical="center"/>
    </xf>
    <xf numFmtId="0" fontId="49" fillId="0" borderId="1" xfId="0" applyFont="1" applyBorder="1" applyAlignment="1">
      <alignment horizontal="center" vertical="center"/>
    </xf>
    <xf numFmtId="193" fontId="49" fillId="0" borderId="1" xfId="0" applyNumberFormat="1" applyFont="1" applyBorder="1" applyAlignment="1">
      <alignment vertical="center"/>
    </xf>
    <xf numFmtId="44" fontId="49" fillId="0" borderId="24" xfId="1" applyFont="1" applyFill="1" applyBorder="1" applyAlignment="1">
      <alignment vertical="center"/>
    </xf>
    <xf numFmtId="0" fontId="49" fillId="0" borderId="19" xfId="0" applyFont="1" applyBorder="1" applyAlignment="1">
      <alignment vertical="center" wrapText="1"/>
    </xf>
    <xf numFmtId="0" fontId="49" fillId="0" borderId="19" xfId="0" applyFont="1" applyBorder="1" applyAlignment="1">
      <alignment horizontal="center" vertical="center"/>
    </xf>
    <xf numFmtId="0" fontId="49" fillId="0" borderId="19" xfId="0" applyFont="1" applyBorder="1" applyAlignment="1">
      <alignment horizontal="right" vertical="center"/>
    </xf>
    <xf numFmtId="0" fontId="49" fillId="0" borderId="19" xfId="0" applyFont="1" applyBorder="1" applyAlignment="1">
      <alignment vertical="center"/>
    </xf>
    <xf numFmtId="44" fontId="47" fillId="0" borderId="57" xfId="58" applyFont="1" applyBorder="1" applyAlignment="1">
      <alignment vertical="center"/>
    </xf>
    <xf numFmtId="9" fontId="27" fillId="0" borderId="46" xfId="2" applyFont="1" applyBorder="1" applyAlignment="1">
      <alignment horizontal="center" vertical="center"/>
    </xf>
    <xf numFmtId="0" fontId="43" fillId="0" borderId="15" xfId="69" applyFont="1" applyBorder="1" applyAlignment="1">
      <alignment horizontal="center" vertical="center"/>
    </xf>
    <xf numFmtId="9" fontId="45" fillId="0" borderId="1" xfId="2" applyFont="1" applyBorder="1" applyAlignment="1">
      <alignment horizontal="right" vertical="center"/>
    </xf>
    <xf numFmtId="9" fontId="49" fillId="0" borderId="1" xfId="2" applyFont="1" applyBorder="1" applyAlignment="1">
      <alignment horizontal="right" vertical="center"/>
    </xf>
    <xf numFmtId="0" fontId="45" fillId="0" borderId="1" xfId="0" applyFont="1" applyBorder="1" applyAlignment="1">
      <alignment horizontal="center" vertical="center" wrapText="1"/>
    </xf>
    <xf numFmtId="2" fontId="45" fillId="0" borderId="1" xfId="2" applyNumberFormat="1" applyFont="1" applyBorder="1" applyAlignment="1">
      <alignment horizontal="right" vertical="center"/>
    </xf>
    <xf numFmtId="2" fontId="49" fillId="0" borderId="1" xfId="2" applyNumberFormat="1" applyFont="1" applyBorder="1" applyAlignment="1">
      <alignment horizontal="right" vertical="center"/>
    </xf>
    <xf numFmtId="0" fontId="0" fillId="0" borderId="1" xfId="0" applyBorder="1"/>
    <xf numFmtId="44" fontId="13" fillId="0" borderId="1" xfId="1" applyFont="1" applyBorder="1" applyAlignment="1">
      <alignment vertical="center"/>
    </xf>
    <xf numFmtId="9" fontId="28" fillId="8" borderId="1" xfId="2" applyFont="1" applyFill="1" applyBorder="1" applyAlignment="1">
      <alignment horizontal="center" vertical="center"/>
    </xf>
    <xf numFmtId="44" fontId="43" fillId="0" borderId="24" xfId="58" applyFont="1" applyBorder="1" applyAlignment="1">
      <alignment vertical="center"/>
    </xf>
    <xf numFmtId="0" fontId="43" fillId="0" borderId="1" xfId="69" applyFont="1" applyBorder="1" applyAlignment="1">
      <alignment horizontal="right" vertical="center"/>
    </xf>
    <xf numFmtId="44" fontId="43" fillId="0" borderId="24" xfId="58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16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8" applyFont="1" applyBorder="1" applyAlignment="1">
      <alignment horizontal="center" vertical="center"/>
    </xf>
    <xf numFmtId="0" fontId="8" fillId="0" borderId="1" xfId="8" applyBorder="1" applyAlignment="1">
      <alignment vertical="center"/>
    </xf>
    <xf numFmtId="0" fontId="16" fillId="0" borderId="47" xfId="8" applyFont="1" applyBorder="1" applyAlignment="1">
      <alignment horizontal="center" vertical="center"/>
    </xf>
    <xf numFmtId="0" fontId="4" fillId="0" borderId="50" xfId="8" applyFont="1" applyBorder="1" applyAlignment="1">
      <alignment vertical="center"/>
    </xf>
    <xf numFmtId="4" fontId="16" fillId="0" borderId="0" xfId="8" applyNumberFormat="1" applyFont="1" applyAlignment="1">
      <alignment horizontal="center" vertical="center" wrapText="1"/>
    </xf>
    <xf numFmtId="0" fontId="8" fillId="0" borderId="0" xfId="8" applyAlignment="1">
      <alignment vertical="center"/>
    </xf>
    <xf numFmtId="0" fontId="6" fillId="9" borderId="106" xfId="8" applyFont="1" applyFill="1" applyBorder="1" applyAlignment="1">
      <alignment horizontal="left" vertical="center" wrapText="1"/>
    </xf>
    <xf numFmtId="0" fontId="4" fillId="10" borderId="107" xfId="8" applyFont="1" applyFill="1" applyBorder="1" applyAlignment="1">
      <alignment vertical="center"/>
    </xf>
    <xf numFmtId="0" fontId="4" fillId="10" borderId="108" xfId="8" applyFont="1" applyFill="1" applyBorder="1" applyAlignment="1">
      <alignment vertical="center"/>
    </xf>
    <xf numFmtId="4" fontId="10" fillId="0" borderId="111" xfId="8" applyNumberFormat="1" applyFont="1" applyBorder="1" applyAlignment="1">
      <alignment horizontal="center" vertical="center"/>
    </xf>
    <xf numFmtId="0" fontId="4" fillId="0" borderId="112" xfId="8" applyFont="1" applyBorder="1" applyAlignment="1">
      <alignment vertical="center"/>
    </xf>
    <xf numFmtId="0" fontId="4" fillId="0" borderId="113" xfId="8" applyFont="1" applyBorder="1" applyAlignment="1">
      <alignment vertical="center"/>
    </xf>
    <xf numFmtId="4" fontId="10" fillId="0" borderId="115" xfId="8" applyNumberFormat="1" applyFont="1" applyBorder="1" applyAlignment="1">
      <alignment horizontal="center" vertical="center"/>
    </xf>
    <xf numFmtId="0" fontId="4" fillId="0" borderId="116" xfId="8" applyFont="1" applyBorder="1" applyAlignment="1">
      <alignment vertical="center"/>
    </xf>
    <xf numFmtId="0" fontId="4" fillId="0" borderId="117" xfId="8" applyFont="1" applyBorder="1" applyAlignment="1">
      <alignment vertical="center"/>
    </xf>
    <xf numFmtId="0" fontId="13" fillId="0" borderId="0" xfId="8" applyFont="1" applyAlignment="1">
      <alignment horizontal="center" vertical="center"/>
    </xf>
    <xf numFmtId="0" fontId="19" fillId="7" borderId="63" xfId="8" applyFont="1" applyFill="1" applyBorder="1" applyAlignment="1">
      <alignment horizontal="center" vertical="center"/>
    </xf>
    <xf numFmtId="0" fontId="4" fillId="0" borderId="64" xfId="8" applyFont="1" applyBorder="1" applyAlignment="1">
      <alignment vertical="center"/>
    </xf>
    <xf numFmtId="0" fontId="4" fillId="0" borderId="65" xfId="8" applyFont="1" applyBorder="1" applyAlignment="1">
      <alignment vertical="center"/>
    </xf>
    <xf numFmtId="0" fontId="13" fillId="0" borderId="85" xfId="8" applyFont="1" applyBorder="1" applyAlignment="1">
      <alignment horizontal="left" vertical="center"/>
    </xf>
    <xf numFmtId="0" fontId="4" fillId="0" borderId="86" xfId="8" applyFont="1" applyBorder="1" applyAlignment="1">
      <alignment vertical="center"/>
    </xf>
    <xf numFmtId="0" fontId="4" fillId="0" borderId="87" xfId="8" applyFont="1" applyBorder="1" applyAlignment="1">
      <alignment vertical="center"/>
    </xf>
    <xf numFmtId="0" fontId="19" fillId="0" borderId="68" xfId="8" applyFont="1" applyBorder="1" applyAlignment="1">
      <alignment horizontal="center" vertical="center"/>
    </xf>
    <xf numFmtId="0" fontId="4" fillId="0" borderId="73" xfId="8" applyFont="1" applyBorder="1" applyAlignment="1">
      <alignment vertical="center"/>
    </xf>
    <xf numFmtId="0" fontId="4" fillId="0" borderId="82" xfId="8" applyFont="1" applyBorder="1" applyAlignment="1">
      <alignment vertical="center"/>
    </xf>
    <xf numFmtId="0" fontId="13" fillId="0" borderId="69" xfId="8" applyFont="1" applyBorder="1" applyAlignment="1">
      <alignment horizontal="left" vertical="center"/>
    </xf>
    <xf numFmtId="0" fontId="4" fillId="0" borderId="70" xfId="8" applyFont="1" applyBorder="1" applyAlignment="1">
      <alignment vertical="center"/>
    </xf>
    <xf numFmtId="0" fontId="4" fillId="0" borderId="71" xfId="8" applyFont="1" applyBorder="1" applyAlignment="1">
      <alignment vertical="center"/>
    </xf>
    <xf numFmtId="0" fontId="27" fillId="0" borderId="74" xfId="8" applyFont="1" applyBorder="1" applyAlignment="1">
      <alignment horizontal="left" vertical="center"/>
    </xf>
    <xf numFmtId="0" fontId="4" fillId="0" borderId="75" xfId="8" applyFont="1" applyBorder="1" applyAlignment="1">
      <alignment vertical="center"/>
    </xf>
    <xf numFmtId="0" fontId="4" fillId="0" borderId="76" xfId="8" applyFont="1" applyBorder="1" applyAlignment="1">
      <alignment vertical="center"/>
    </xf>
    <xf numFmtId="0" fontId="13" fillId="0" borderId="77" xfId="8" applyFont="1" applyBorder="1" applyAlignment="1">
      <alignment horizontal="center" vertical="center"/>
    </xf>
    <xf numFmtId="0" fontId="4" fillId="0" borderId="78" xfId="8" applyFont="1" applyBorder="1" applyAlignment="1">
      <alignment vertical="center"/>
    </xf>
    <xf numFmtId="0" fontId="4" fillId="0" borderId="79" xfId="8" applyFont="1" applyBorder="1" applyAlignment="1">
      <alignment vertical="center"/>
    </xf>
    <xf numFmtId="0" fontId="19" fillId="0" borderId="7" xfId="8" applyFont="1" applyBorder="1" applyAlignment="1">
      <alignment horizontal="center" vertical="center"/>
    </xf>
    <xf numFmtId="0" fontId="8" fillId="0" borderId="8" xfId="8" applyBorder="1" applyAlignment="1">
      <alignment vertical="center"/>
    </xf>
    <xf numFmtId="0" fontId="8" fillId="0" borderId="9" xfId="8" applyBorder="1" applyAlignment="1">
      <alignment vertical="center"/>
    </xf>
    <xf numFmtId="0" fontId="19" fillId="0" borderId="58" xfId="8" applyFont="1" applyBorder="1" applyAlignment="1">
      <alignment horizontal="center" vertical="center" wrapText="1"/>
    </xf>
    <xf numFmtId="0" fontId="4" fillId="0" borderId="59" xfId="8" applyFont="1" applyBorder="1" applyAlignment="1">
      <alignment vertical="center"/>
    </xf>
    <xf numFmtId="0" fontId="4" fillId="0" borderId="60" xfId="8" applyFont="1" applyBorder="1" applyAlignment="1">
      <alignment vertical="center"/>
    </xf>
    <xf numFmtId="0" fontId="19" fillId="0" borderId="61" xfId="8" applyFont="1" applyBorder="1" applyAlignment="1">
      <alignment horizontal="center" vertical="center" wrapText="1"/>
    </xf>
    <xf numFmtId="0" fontId="4" fillId="0" borderId="62" xfId="8" applyFont="1" applyBorder="1" applyAlignment="1">
      <alignment vertical="center"/>
    </xf>
    <xf numFmtId="0" fontId="13" fillId="0" borderId="0" xfId="8" applyFont="1" applyAlignment="1">
      <alignment horizontal="left" vertical="center" wrapText="1"/>
    </xf>
    <xf numFmtId="2" fontId="13" fillId="0" borderId="0" xfId="8" applyNumberFormat="1" applyFont="1" applyAlignment="1">
      <alignment horizontal="left" vertical="center" wrapText="1"/>
    </xf>
    <xf numFmtId="0" fontId="13" fillId="0" borderId="91" xfId="8" applyFont="1" applyBorder="1" applyAlignment="1">
      <alignment horizontal="left" vertical="center"/>
    </xf>
    <xf numFmtId="0" fontId="4" fillId="0" borderId="92" xfId="8" applyFont="1" applyBorder="1" applyAlignment="1">
      <alignment vertical="center"/>
    </xf>
    <xf numFmtId="0" fontId="4" fillId="0" borderId="93" xfId="8" applyFont="1" applyBorder="1" applyAlignment="1">
      <alignment vertical="center"/>
    </xf>
    <xf numFmtId="0" fontId="19" fillId="0" borderId="84" xfId="8" applyFont="1" applyBorder="1" applyAlignment="1">
      <alignment horizontal="center" vertical="center"/>
    </xf>
    <xf numFmtId="0" fontId="4" fillId="0" borderId="90" xfId="8" applyFont="1" applyBorder="1" applyAlignment="1">
      <alignment vertical="center"/>
    </xf>
    <xf numFmtId="0" fontId="4" fillId="0" borderId="95" xfId="8" applyFont="1" applyBorder="1" applyAlignment="1">
      <alignment vertical="center"/>
    </xf>
    <xf numFmtId="0" fontId="13" fillId="0" borderId="74" xfId="8" applyFont="1" applyBorder="1" applyAlignment="1">
      <alignment horizontal="left" vertical="center"/>
    </xf>
    <xf numFmtId="0" fontId="13" fillId="0" borderId="74" xfId="8" applyFont="1" applyBorder="1" applyAlignment="1">
      <alignment horizontal="center" vertical="center"/>
    </xf>
    <xf numFmtId="0" fontId="19" fillId="7" borderId="69" xfId="8" applyFont="1" applyFill="1" applyBorder="1" applyAlignment="1">
      <alignment horizontal="center" vertical="center" wrapText="1"/>
    </xf>
    <xf numFmtId="0" fontId="13" fillId="0" borderId="1" xfId="8" applyFont="1" applyBorder="1" applyAlignment="1">
      <alignment horizontal="left" vertical="center"/>
    </xf>
    <xf numFmtId="0" fontId="4" fillId="0" borderId="1" xfId="8" applyFont="1" applyBorder="1" applyAlignment="1">
      <alignment vertical="center"/>
    </xf>
    <xf numFmtId="0" fontId="4" fillId="0" borderId="1" xfId="8" applyFont="1" applyBorder="1" applyAlignment="1">
      <alignment horizontal="left" vertical="center"/>
    </xf>
    <xf numFmtId="0" fontId="13" fillId="0" borderId="76" xfId="8" applyFont="1" applyBorder="1" applyAlignment="1">
      <alignment horizontal="left" vertical="center"/>
    </xf>
    <xf numFmtId="0" fontId="13" fillId="0" borderId="71" xfId="8" applyFont="1" applyBorder="1" applyAlignment="1">
      <alignment horizontal="left" vertical="center"/>
    </xf>
    <xf numFmtId="0" fontId="19" fillId="0" borderId="0" xfId="8" applyFont="1" applyAlignment="1">
      <alignment horizontal="center" vertical="center"/>
    </xf>
    <xf numFmtId="0" fontId="19" fillId="7" borderId="99" xfId="8" applyFont="1" applyFill="1" applyBorder="1" applyAlignment="1">
      <alignment horizontal="center" vertical="center"/>
    </xf>
    <xf numFmtId="0" fontId="4" fillId="0" borderId="100" xfId="8" applyFont="1" applyBorder="1" applyAlignment="1">
      <alignment vertical="center"/>
    </xf>
    <xf numFmtId="0" fontId="4" fillId="0" borderId="101" xfId="8" applyFont="1" applyBorder="1" applyAlignment="1">
      <alignment vertical="center"/>
    </xf>
    <xf numFmtId="0" fontId="28" fillId="8" borderId="74" xfId="8" applyFont="1" applyFill="1" applyBorder="1" applyAlignment="1">
      <alignment horizontal="left" vertical="center"/>
    </xf>
    <xf numFmtId="0" fontId="13" fillId="0" borderId="74" xfId="8" applyFont="1" applyBorder="1" applyAlignment="1">
      <alignment vertical="center"/>
    </xf>
    <xf numFmtId="0" fontId="8" fillId="0" borderId="0" xfId="8" applyAlignment="1">
      <alignment vertical="center" wrapText="1"/>
    </xf>
    <xf numFmtId="0" fontId="13" fillId="0" borderId="77" xfId="8" applyFont="1" applyBorder="1" applyAlignment="1">
      <alignment horizontal="left" vertical="center"/>
    </xf>
    <xf numFmtId="0" fontId="4" fillId="0" borderId="78" xfId="8" applyFont="1" applyBorder="1" applyAlignment="1">
      <alignment horizontal="left" vertical="center"/>
    </xf>
    <xf numFmtId="0" fontId="4" fillId="0" borderId="79" xfId="8" applyFont="1" applyBorder="1" applyAlignment="1">
      <alignment horizontal="left" vertical="center"/>
    </xf>
    <xf numFmtId="0" fontId="13" fillId="0" borderId="77" xfId="8" applyFont="1" applyBorder="1" applyAlignment="1">
      <alignment horizontal="left" vertical="center" wrapText="1"/>
    </xf>
    <xf numFmtId="0" fontId="4" fillId="0" borderId="78" xfId="8" applyFont="1" applyBorder="1" applyAlignment="1">
      <alignment horizontal="left" vertical="center" wrapText="1"/>
    </xf>
    <xf numFmtId="0" fontId="4" fillId="0" borderId="79" xfId="8" applyFont="1" applyBorder="1" applyAlignment="1">
      <alignment horizontal="left" vertical="center" wrapText="1"/>
    </xf>
    <xf numFmtId="192" fontId="42" fillId="15" borderId="159" xfId="0" applyNumberFormat="1" applyFont="1" applyFill="1" applyBorder="1" applyAlignment="1">
      <alignment horizontal="center" vertical="center"/>
    </xf>
    <xf numFmtId="192" fontId="42" fillId="15" borderId="160" xfId="0" applyNumberFormat="1" applyFont="1" applyFill="1" applyBorder="1" applyAlignment="1">
      <alignment horizontal="center" vertical="center"/>
    </xf>
    <xf numFmtId="0" fontId="28" fillId="8" borderId="74" xfId="8" applyFont="1" applyFill="1" applyBorder="1" applyAlignment="1">
      <alignment horizontal="left" vertical="center" wrapText="1"/>
    </xf>
    <xf numFmtId="0" fontId="4" fillId="0" borderId="75" xfId="8" applyFont="1" applyBorder="1" applyAlignment="1">
      <alignment vertical="center" wrapText="1"/>
    </xf>
    <xf numFmtId="0" fontId="4" fillId="0" borderId="76" xfId="8" applyFont="1" applyBorder="1" applyAlignment="1">
      <alignment vertical="center" wrapText="1"/>
    </xf>
    <xf numFmtId="0" fontId="27" fillId="0" borderId="74" xfId="8" applyFont="1" applyBorder="1" applyAlignment="1">
      <alignment horizontal="left" vertical="center" wrapText="1"/>
    </xf>
    <xf numFmtId="0" fontId="8" fillId="0" borderId="100" xfId="8" applyBorder="1" applyAlignment="1">
      <alignment horizontal="left" vertical="center"/>
    </xf>
    <xf numFmtId="0" fontId="8" fillId="0" borderId="101" xfId="8" applyBorder="1" applyAlignment="1">
      <alignment horizontal="left" vertical="center"/>
    </xf>
    <xf numFmtId="0" fontId="19" fillId="0" borderId="73" xfId="8" applyFont="1" applyBorder="1" applyAlignment="1">
      <alignment horizontal="center" vertical="center"/>
    </xf>
    <xf numFmtId="0" fontId="13" fillId="0" borderId="1" xfId="8" applyFont="1" applyBorder="1" applyAlignment="1">
      <alignment horizontal="left" vertical="center" wrapText="1"/>
    </xf>
    <xf numFmtId="0" fontId="4" fillId="0" borderId="1" xfId="8" applyFont="1" applyBorder="1" applyAlignment="1">
      <alignment horizontal="left" vertical="center" wrapText="1"/>
    </xf>
    <xf numFmtId="0" fontId="13" fillId="0" borderId="139" xfId="8" applyFont="1" applyBorder="1" applyAlignment="1">
      <alignment horizontal="left" vertical="center" wrapText="1"/>
    </xf>
    <xf numFmtId="0" fontId="4" fillId="0" borderId="140" xfId="8" applyFont="1" applyBorder="1" applyAlignment="1">
      <alignment horizontal="left" vertical="center" wrapText="1"/>
    </xf>
    <xf numFmtId="0" fontId="4" fillId="0" borderId="141" xfId="8" applyFont="1" applyBorder="1" applyAlignment="1">
      <alignment horizontal="left" vertical="center" wrapText="1"/>
    </xf>
    <xf numFmtId="0" fontId="28" fillId="8" borderId="1" xfId="8" applyFont="1" applyFill="1" applyBorder="1" applyAlignment="1">
      <alignment horizontal="left" vertical="center" wrapText="1"/>
    </xf>
    <xf numFmtId="0" fontId="27" fillId="0" borderId="1" xfId="8" applyFont="1" applyBorder="1" applyAlignment="1">
      <alignment horizontal="left" vertical="center"/>
    </xf>
    <xf numFmtId="4" fontId="35" fillId="13" borderId="144" xfId="17" applyNumberFormat="1" applyFont="1" applyFill="1" applyBorder="1" applyAlignment="1">
      <alignment horizontal="center" vertical="center" wrapText="1"/>
    </xf>
    <xf numFmtId="0" fontId="36" fillId="0" borderId="75" xfId="17" applyFont="1" applyBorder="1" applyAlignment="1">
      <alignment horizontal="center" vertical="center"/>
    </xf>
    <xf numFmtId="0" fontId="36" fillId="0" borderId="154" xfId="17" applyFont="1" applyBorder="1" applyAlignment="1">
      <alignment horizontal="center" vertical="center"/>
    </xf>
    <xf numFmtId="0" fontId="38" fillId="0" borderId="146" xfId="17" applyFont="1" applyBorder="1" applyAlignment="1">
      <alignment horizontal="center" vertical="center"/>
    </xf>
    <xf numFmtId="0" fontId="36" fillId="0" borderId="76" xfId="17" applyFont="1" applyBorder="1" applyAlignment="1">
      <alignment vertical="center"/>
    </xf>
    <xf numFmtId="0" fontId="35" fillId="0" borderId="34" xfId="17" applyFont="1" applyBorder="1" applyAlignment="1">
      <alignment horizontal="center" vertical="center"/>
    </xf>
    <xf numFmtId="0" fontId="35" fillId="0" borderId="6" xfId="17" applyFont="1" applyBorder="1" applyAlignment="1">
      <alignment horizontal="center" vertical="center"/>
    </xf>
    <xf numFmtId="0" fontId="35" fillId="0" borderId="15" xfId="17" applyFont="1" applyBorder="1" applyAlignment="1">
      <alignment horizontal="center" vertical="center"/>
    </xf>
    <xf numFmtId="0" fontId="35" fillId="0" borderId="1" xfId="17" applyFont="1" applyBorder="1" applyAlignment="1">
      <alignment horizontal="center" vertical="center"/>
    </xf>
    <xf numFmtId="0" fontId="37" fillId="0" borderId="151" xfId="17" applyFont="1" applyBorder="1" applyAlignment="1">
      <alignment horizontal="center" vertical="center"/>
    </xf>
    <xf numFmtId="0" fontId="37" fillId="0" borderId="37" xfId="17" applyFont="1" applyBorder="1" applyAlignment="1">
      <alignment horizontal="center" vertical="center"/>
    </xf>
    <xf numFmtId="192" fontId="42" fillId="15" borderId="159" xfId="69" applyNumberFormat="1" applyFont="1" applyFill="1" applyBorder="1" applyAlignment="1">
      <alignment horizontal="center" vertical="center"/>
    </xf>
    <xf numFmtId="192" fontId="42" fillId="15" borderId="160" xfId="69" applyNumberFormat="1" applyFont="1" applyFill="1" applyBorder="1" applyAlignment="1">
      <alignment horizontal="center" vertical="center"/>
    </xf>
    <xf numFmtId="0" fontId="5" fillId="4" borderId="42" xfId="8" applyFont="1" applyFill="1" applyBorder="1" applyAlignment="1">
      <alignment horizontal="center" vertical="center"/>
    </xf>
    <xf numFmtId="0" fontId="9" fillId="5" borderId="43" xfId="8" applyFont="1" applyFill="1" applyBorder="1" applyAlignment="1">
      <alignment vertical="center"/>
    </xf>
    <xf numFmtId="0" fontId="9" fillId="5" borderId="44" xfId="8" applyFont="1" applyFill="1" applyBorder="1" applyAlignment="1">
      <alignment vertical="center"/>
    </xf>
    <xf numFmtId="3" fontId="6" fillId="3" borderId="22" xfId="5" applyNumberFormat="1" applyFont="1" applyFill="1" applyBorder="1" applyAlignment="1">
      <alignment horizontal="center" vertical="center" wrapText="1"/>
    </xf>
    <xf numFmtId="3" fontId="6" fillId="3" borderId="19" xfId="5" applyNumberFormat="1" applyFont="1" applyFill="1" applyBorder="1" applyAlignment="1">
      <alignment horizontal="center" vertical="center" wrapText="1"/>
    </xf>
    <xf numFmtId="0" fontId="6" fillId="3" borderId="22" xfId="5" applyFont="1" applyFill="1" applyBorder="1" applyAlignment="1">
      <alignment horizontal="center" vertical="center" wrapText="1"/>
    </xf>
    <xf numFmtId="0" fontId="6" fillId="3" borderId="19" xfId="5" applyFont="1" applyFill="1" applyBorder="1" applyAlignment="1">
      <alignment horizontal="center" vertical="center" wrapText="1"/>
    </xf>
    <xf numFmtId="0" fontId="6" fillId="3" borderId="21" xfId="5" applyFont="1" applyFill="1" applyBorder="1" applyAlignment="1">
      <alignment horizontal="center" vertical="center" wrapText="1"/>
    </xf>
    <xf numFmtId="164" fontId="6" fillId="3" borderId="29" xfId="5" applyNumberFormat="1" applyFont="1" applyFill="1" applyBorder="1" applyAlignment="1">
      <alignment horizontal="center" vertical="center" wrapText="1"/>
    </xf>
    <xf numFmtId="164" fontId="6" fillId="3" borderId="30" xfId="5" applyNumberFormat="1" applyFont="1" applyFill="1" applyBorder="1" applyAlignment="1">
      <alignment horizontal="center" vertical="center" wrapText="1"/>
    </xf>
    <xf numFmtId="164" fontId="6" fillId="3" borderId="19" xfId="5" applyNumberFormat="1" applyFont="1" applyFill="1" applyBorder="1" applyAlignment="1">
      <alignment horizontal="center" vertical="center" wrapText="1"/>
    </xf>
    <xf numFmtId="164" fontId="6" fillId="3" borderId="21" xfId="5" applyNumberFormat="1" applyFont="1" applyFill="1" applyBorder="1" applyAlignment="1">
      <alignment horizontal="center" vertical="center" wrapText="1"/>
    </xf>
    <xf numFmtId="0" fontId="4" fillId="3" borderId="15" xfId="5" applyFill="1" applyBorder="1" applyAlignment="1">
      <alignment horizontal="left" vertical="center" wrapText="1"/>
    </xf>
    <xf numFmtId="0" fontId="4" fillId="3" borderId="1" xfId="5" applyFill="1" applyBorder="1" applyAlignment="1">
      <alignment horizontal="left" vertical="center" wrapText="1"/>
    </xf>
    <xf numFmtId="0" fontId="4" fillId="3" borderId="25" xfId="5" applyFill="1" applyBorder="1" applyAlignment="1">
      <alignment horizontal="left" vertical="center" wrapText="1"/>
    </xf>
    <xf numFmtId="0" fontId="4" fillId="3" borderId="5" xfId="5" applyFill="1" applyBorder="1" applyAlignment="1">
      <alignment horizontal="left" vertical="center" wrapText="1"/>
    </xf>
    <xf numFmtId="0" fontId="6" fillId="3" borderId="7" xfId="5" applyFont="1" applyFill="1" applyBorder="1" applyAlignment="1">
      <alignment horizontal="center" vertical="center" wrapText="1"/>
    </xf>
    <xf numFmtId="0" fontId="6" fillId="3" borderId="8" xfId="5" applyFont="1" applyFill="1" applyBorder="1" applyAlignment="1">
      <alignment horizontal="center" vertical="center" wrapText="1"/>
    </xf>
    <xf numFmtId="0" fontId="6" fillId="3" borderId="9" xfId="5" applyFont="1" applyFill="1" applyBorder="1" applyAlignment="1">
      <alignment horizontal="center" vertical="center" wrapText="1"/>
    </xf>
    <xf numFmtId="0" fontId="4" fillId="3" borderId="29" xfId="5" applyFill="1" applyBorder="1" applyAlignment="1">
      <alignment horizontal="center" vertical="center" wrapText="1"/>
    </xf>
    <xf numFmtId="0" fontId="4" fillId="3" borderId="30" xfId="5" applyFill="1" applyBorder="1" applyAlignment="1">
      <alignment horizontal="center" vertical="center" wrapText="1"/>
    </xf>
    <xf numFmtId="0" fontId="4" fillId="3" borderId="36" xfId="5" applyFill="1" applyBorder="1" applyAlignment="1">
      <alignment horizontal="center" vertical="center" wrapText="1"/>
    </xf>
    <xf numFmtId="0" fontId="4" fillId="3" borderId="34" xfId="5" applyFill="1" applyBorder="1" applyAlignment="1">
      <alignment horizontal="left" vertical="center" wrapText="1"/>
    </xf>
    <xf numFmtId="0" fontId="4" fillId="3" borderId="6" xfId="5" applyFill="1" applyBorder="1" applyAlignment="1">
      <alignment horizontal="left" vertical="center" wrapText="1"/>
    </xf>
    <xf numFmtId="0" fontId="4" fillId="0" borderId="18" xfId="5" applyBorder="1" applyAlignment="1">
      <alignment horizontal="center" vertical="center" wrapText="1"/>
    </xf>
    <xf numFmtId="0" fontId="4" fillId="0" borderId="19" xfId="5" applyBorder="1" applyAlignment="1">
      <alignment horizontal="center" vertical="center" wrapText="1"/>
    </xf>
    <xf numFmtId="0" fontId="4" fillId="0" borderId="20" xfId="5" applyBorder="1" applyAlignment="1">
      <alignment horizontal="center" vertical="center" wrapText="1"/>
    </xf>
    <xf numFmtId="14" fontId="4" fillId="0" borderId="18" xfId="5" applyNumberFormat="1" applyBorder="1" applyAlignment="1">
      <alignment horizontal="center" vertical="center" wrapText="1"/>
    </xf>
    <xf numFmtId="0" fontId="4" fillId="0" borderId="21" xfId="5" applyBorder="1" applyAlignment="1">
      <alignment horizontal="center" vertical="center" wrapText="1"/>
    </xf>
    <xf numFmtId="0" fontId="6" fillId="3" borderId="10" xfId="5" applyFont="1" applyFill="1" applyBorder="1" applyAlignment="1">
      <alignment horizontal="center" vertical="center" wrapText="1"/>
    </xf>
    <xf numFmtId="0" fontId="6" fillId="3" borderId="11" xfId="5" applyFont="1" applyFill="1" applyBorder="1" applyAlignment="1">
      <alignment horizontal="center" vertical="center" wrapText="1"/>
    </xf>
    <xf numFmtId="0" fontId="6" fillId="3" borderId="12" xfId="5" applyFont="1" applyFill="1" applyBorder="1" applyAlignment="1">
      <alignment horizontal="center" vertical="center" wrapText="1"/>
    </xf>
    <xf numFmtId="39" fontId="4" fillId="3" borderId="40" xfId="5" applyNumberFormat="1" applyFill="1" applyBorder="1" applyAlignment="1">
      <alignment horizontal="center" vertical="center" wrapText="1"/>
    </xf>
    <xf numFmtId="39" fontId="4" fillId="3" borderId="38" xfId="5" applyNumberFormat="1" applyFill="1" applyBorder="1" applyAlignment="1">
      <alignment horizontal="center" vertical="center" wrapText="1"/>
    </xf>
    <xf numFmtId="39" fontId="4" fillId="3" borderId="39" xfId="5" applyNumberFormat="1" applyFill="1" applyBorder="1" applyAlignment="1">
      <alignment horizontal="center" vertical="center" wrapText="1"/>
    </xf>
    <xf numFmtId="0" fontId="6" fillId="3" borderId="2" xfId="5" applyFont="1" applyFill="1" applyBorder="1" applyAlignment="1">
      <alignment horizontal="center" vertical="center" wrapText="1"/>
    </xf>
    <xf numFmtId="0" fontId="6" fillId="3" borderId="3" xfId="5" applyFont="1" applyFill="1" applyBorder="1" applyAlignment="1">
      <alignment horizontal="center" vertical="center" wrapText="1"/>
    </xf>
    <xf numFmtId="0" fontId="6" fillId="3" borderId="4" xfId="5" applyFont="1" applyFill="1" applyBorder="1" applyAlignment="1">
      <alignment horizontal="center" vertical="center" wrapText="1"/>
    </xf>
    <xf numFmtId="0" fontId="6" fillId="3" borderId="14" xfId="5" applyFont="1" applyFill="1" applyBorder="1" applyAlignment="1">
      <alignment horizontal="center" vertical="center" wrapText="1"/>
    </xf>
    <xf numFmtId="0" fontId="5" fillId="3" borderId="7" xfId="5" applyFont="1" applyFill="1" applyBorder="1" applyAlignment="1">
      <alignment horizontal="center" vertical="center" wrapText="1"/>
    </xf>
    <xf numFmtId="0" fontId="5" fillId="3" borderId="8" xfId="5" applyFont="1" applyFill="1" applyBorder="1" applyAlignment="1">
      <alignment horizontal="center" vertical="center" wrapText="1"/>
    </xf>
    <xf numFmtId="0" fontId="5" fillId="3" borderId="9" xfId="5" applyFont="1" applyFill="1" applyBorder="1" applyAlignment="1">
      <alignment horizontal="center" vertical="center" wrapText="1"/>
    </xf>
    <xf numFmtId="0" fontId="4" fillId="3" borderId="10" xfId="5" applyFill="1" applyBorder="1" applyAlignment="1">
      <alignment horizontal="left" vertical="center" wrapText="1"/>
    </xf>
    <xf numFmtId="0" fontId="4" fillId="3" borderId="11" xfId="5" applyFill="1" applyBorder="1" applyAlignment="1">
      <alignment horizontal="left" vertical="center" wrapText="1"/>
    </xf>
    <xf numFmtId="3" fontId="4" fillId="3" borderId="11" xfId="5" applyNumberFormat="1" applyFill="1" applyBorder="1" applyAlignment="1">
      <alignment horizontal="left" vertical="center" wrapText="1"/>
    </xf>
    <xf numFmtId="3" fontId="4" fillId="3" borderId="12" xfId="5" applyNumberFormat="1" applyFill="1" applyBorder="1" applyAlignment="1">
      <alignment horizontal="left" vertical="center" wrapText="1"/>
    </xf>
    <xf numFmtId="0" fontId="6" fillId="3" borderId="13" xfId="5" applyFont="1" applyFill="1" applyBorder="1" applyAlignment="1">
      <alignment horizontal="left" vertical="center" wrapText="1"/>
    </xf>
    <xf numFmtId="0" fontId="6" fillId="3" borderId="3" xfId="5" applyFont="1" applyFill="1" applyBorder="1" applyAlignment="1">
      <alignment horizontal="left" vertical="center" wrapText="1"/>
    </xf>
    <xf numFmtId="0" fontId="4" fillId="3" borderId="3" xfId="5" applyFill="1" applyBorder="1" applyAlignment="1">
      <alignment horizontal="left" vertical="center" wrapText="1"/>
    </xf>
    <xf numFmtId="0" fontId="4" fillId="3" borderId="14" xfId="5" applyFill="1" applyBorder="1" applyAlignment="1">
      <alignment horizontal="left" vertical="center" wrapText="1"/>
    </xf>
    <xf numFmtId="0" fontId="4" fillId="3" borderId="41" xfId="5" applyFill="1" applyBorder="1" applyAlignment="1">
      <alignment horizontal="left" vertical="center" wrapText="1"/>
    </xf>
    <xf numFmtId="0" fontId="4" fillId="3" borderId="13" xfId="5" applyFill="1" applyBorder="1" applyAlignment="1">
      <alignment horizontal="left" vertical="center" wrapText="1"/>
    </xf>
    <xf numFmtId="0" fontId="4" fillId="3" borderId="4" xfId="5" applyFill="1" applyBorder="1" applyAlignment="1">
      <alignment horizontal="left" vertical="center" wrapText="1"/>
    </xf>
    <xf numFmtId="0" fontId="4" fillId="3" borderId="161" xfId="5" applyFill="1" applyBorder="1" applyAlignment="1">
      <alignment horizontal="left" vertical="center" wrapText="1"/>
    </xf>
    <xf numFmtId="0" fontId="4" fillId="3" borderId="38" xfId="5" applyFill="1" applyBorder="1" applyAlignment="1">
      <alignment horizontal="left" vertical="center" wrapText="1"/>
    </xf>
    <xf numFmtId="0" fontId="4" fillId="3" borderId="39" xfId="5" applyFill="1" applyBorder="1" applyAlignment="1">
      <alignment horizontal="left" vertical="center" wrapText="1"/>
    </xf>
  </cellXfs>
  <cellStyles count="70">
    <cellStyle name="Millares [0] 2" xfId="30" xr:uid="{1530F6D3-8B05-4EEB-9928-DEC95F03D6B7}"/>
    <cellStyle name="Millares [0] 3" xfId="19" xr:uid="{EA72B67E-9064-449B-9758-7EEB3C607D27}"/>
    <cellStyle name="Millares 2" xfId="3" xr:uid="{8B298F58-8EF8-4EAC-A755-0B3F42BA9C61}"/>
    <cellStyle name="Millares 2 2" xfId="6" xr:uid="{408F411F-FECB-4E33-A404-3C4EC4DD2952}"/>
    <cellStyle name="Millares 2 3" xfId="50" xr:uid="{834A694F-4C59-4CDE-A7CF-15FFAFA4EA88}"/>
    <cellStyle name="Millares 2 3 2" xfId="43" xr:uid="{753FC42A-61BE-420F-96E4-21623CDCD32C}"/>
    <cellStyle name="Millares 3" xfId="59" xr:uid="{D28CCD1F-EAD2-4BD2-978E-9626E614A473}"/>
    <cellStyle name="Millares 3 2" xfId="28" xr:uid="{027AAEE7-3509-4DD6-B5BC-BE79B6549455}"/>
    <cellStyle name="Millares 3 6" xfId="36" xr:uid="{CCD8CF59-7E21-446F-9A48-06346FBA41F7}"/>
    <cellStyle name="Millares 4" xfId="14" xr:uid="{C15D320D-782A-4108-9EDB-F54611E0E7D3}"/>
    <cellStyle name="Millares 5" xfId="67" xr:uid="{C480E839-8B31-4772-9D8E-C68109D22EE0}"/>
    <cellStyle name="Moneda" xfId="1" builtinId="4"/>
    <cellStyle name="Moneda [0] 2" xfId="26" xr:uid="{3B68C261-8F19-4E6B-9FBA-E366A54121D0}"/>
    <cellStyle name="Moneda [0] 2 4" xfId="57" xr:uid="{D135CAE7-2130-4445-B911-F17FC8130EBC}"/>
    <cellStyle name="Moneda [0] 2 4 2" xfId="64" xr:uid="{0572E706-4DAA-4E6C-8C4D-E76B5C38EC12}"/>
    <cellStyle name="Moneda [0] 3" xfId="60" xr:uid="{4C8C377F-D98B-4A54-8429-0FEDA7071F98}"/>
    <cellStyle name="Moneda [0] 4" xfId="15" xr:uid="{6FCEA7F9-62E9-4D79-BBD5-91FEDAD61307}"/>
    <cellStyle name="Moneda [0] 5" xfId="21" xr:uid="{00399F3F-8719-46D6-914E-BDB128811723}"/>
    <cellStyle name="Moneda [0] 5 2" xfId="49" xr:uid="{9886AD04-ACFB-480B-B7CA-7CCE50E56098}"/>
    <cellStyle name="Moneda 2" xfId="9" xr:uid="{D4A2D412-D854-425A-B744-B79B38019DE2}"/>
    <cellStyle name="Moneda 2 2" xfId="46" xr:uid="{9F2BD07D-AE27-4BF6-8428-82FEB74785D6}"/>
    <cellStyle name="Moneda 2 2 2 2 2" xfId="40" xr:uid="{9668F517-ED4A-469A-9F4F-20B5B0AF866E}"/>
    <cellStyle name="Moneda 2 2 6" xfId="42" xr:uid="{AA3A1D7A-8ED6-4278-9AD2-0DA581F12A28}"/>
    <cellStyle name="Moneda 3" xfId="7" xr:uid="{3E31E94C-B085-4E42-B698-259D7CD1A0D1}"/>
    <cellStyle name="Moneda 3 2" xfId="53" xr:uid="{92CFDA41-5BC8-44BE-891A-DDBFE8F28DB3}"/>
    <cellStyle name="Moneda 3 3" xfId="16" xr:uid="{3215CC7D-B62D-4713-A5FD-386A31583260}"/>
    <cellStyle name="Moneda 4" xfId="58" xr:uid="{EF5248E0-6A74-4A0F-8DA1-740C5FB2720B}"/>
    <cellStyle name="Moneda 5" xfId="23" xr:uid="{0E939AE0-8759-4192-8DE7-F65891A4582C}"/>
    <cellStyle name="Moneda 6" xfId="68" xr:uid="{6465F554-FB2E-49E8-900B-ECFC7B53B7D1}"/>
    <cellStyle name="Normal" xfId="0" builtinId="0"/>
    <cellStyle name="Normal 10" xfId="69" xr:uid="{560A843B-B36B-4D20-9221-63D948E4843B}"/>
    <cellStyle name="Normal 11" xfId="54" xr:uid="{75063994-2EFA-463D-B863-AF7B178FF5B3}"/>
    <cellStyle name="Normal 11 2" xfId="61" xr:uid="{C432773D-BCDA-467B-ADFD-75E18CBB2D41}"/>
    <cellStyle name="Normal 11 3" xfId="65" xr:uid="{7113E481-91CD-4D42-9723-477BC04EAE14}"/>
    <cellStyle name="Normal 12 2" xfId="29" xr:uid="{1581B65D-F3D6-48BB-8E73-0EFE7B2146A8}"/>
    <cellStyle name="Normal 2" xfId="8" xr:uid="{51960928-1B71-4691-8AF3-B59CDDE23275}"/>
    <cellStyle name="Normal 2 10 2 2" xfId="44" xr:uid="{0CBAEBE6-DCFD-4156-ACD1-3BF0629E00D6}"/>
    <cellStyle name="Normal 2 10 3" xfId="41" xr:uid="{727A69E3-E055-4D27-B6CB-631BCC9EBA5C}"/>
    <cellStyle name="Normal 2 2" xfId="31" xr:uid="{09E7A829-E243-42FD-B894-40605EC0D0F4}"/>
    <cellStyle name="Normal 2 2 2" xfId="39" xr:uid="{3D008D89-0C03-4833-A5AF-44DB12AAA681}"/>
    <cellStyle name="Normal 2 3" xfId="12" xr:uid="{30BBA1EC-49C8-4774-80C5-3BA0C15A08C2}"/>
    <cellStyle name="Normal 2 3 2" xfId="25" xr:uid="{9A57CC8D-FD0D-46EF-BE25-BBDAF4C4C204}"/>
    <cellStyle name="Normal 2 3 2 4" xfId="5" xr:uid="{AA1FAC3C-2D90-4410-9732-A36DB082A002}"/>
    <cellStyle name="Normal 2 4" xfId="52" xr:uid="{CF0139BF-2B0E-4637-8199-E6F0013B22B9}"/>
    <cellStyle name="Normal 2 5" xfId="22" xr:uid="{F30FA1D8-8046-431D-A272-5F3453BECBF3}"/>
    <cellStyle name="Normal 3" xfId="11" xr:uid="{68B3E55D-4188-455F-9FBF-275EFAFF8170}"/>
    <cellStyle name="Normal 3 11" xfId="56" xr:uid="{FE9F6EA3-8869-40E7-9DD8-95CCA884EA47}"/>
    <cellStyle name="Normal 3 11 2" xfId="35" xr:uid="{F2CFBD7F-EAD0-4020-9A77-78DB65D505D7}"/>
    <cellStyle name="Normal 3 11 3" xfId="63" xr:uid="{55DCF317-A36D-413E-9BC2-2061EBB8A21D}"/>
    <cellStyle name="Normal 3 2" xfId="20" xr:uid="{0AD1AF78-3499-4D3B-86E5-58703D080CD5}"/>
    <cellStyle name="Normal 3 2 2" xfId="37" xr:uid="{5408A208-0B45-4026-B6F5-E2026B87E5F2}"/>
    <cellStyle name="Normal 3 2 3" xfId="34" xr:uid="{D8E78151-480F-44AA-A39B-C75BFA7372EF}"/>
    <cellStyle name="Normal 3 2 3 2" xfId="48" xr:uid="{8FC3E458-5A7A-413C-9DA8-3F31A3661A0B}"/>
    <cellStyle name="Normal 3 2 3 3" xfId="55" xr:uid="{F4979292-EEC6-4C9F-A86C-FED6BE155D3A}"/>
    <cellStyle name="Normal 3 2 3 3 2" xfId="62" xr:uid="{10E684F0-3D10-4D93-9C08-9A7DE6453EEF}"/>
    <cellStyle name="Normal 3 2 3 3 3" xfId="66" xr:uid="{2AF09C67-D4FA-4EB9-AB05-8CCEFC35A0E6}"/>
    <cellStyle name="Normal 3 2 4" xfId="45" xr:uid="{0B064534-B918-43B5-8BAC-A5FBCD701CC0}"/>
    <cellStyle name="Normal 3 3" xfId="24" xr:uid="{6EB85A24-990D-46B6-B000-389D2FE88CA4}"/>
    <cellStyle name="Normal 4" xfId="4" xr:uid="{68759CF0-B204-4604-8EA3-4F0E951F642D}"/>
    <cellStyle name="Normal 4 2" xfId="17" xr:uid="{42EC434E-466A-40C7-B5F5-346E4097399C}"/>
    <cellStyle name="Normal 5" xfId="32" xr:uid="{7C908E60-F1B3-41FF-9432-0D99A278404E}"/>
    <cellStyle name="Normal 5 2" xfId="18" xr:uid="{06C3AA95-FAA4-4F6C-90EC-4BBF5CAE6AE5}"/>
    <cellStyle name="Normal 6" xfId="51" xr:uid="{B157179D-2ED7-4D13-92CC-C3134E5AA5BE}"/>
    <cellStyle name="Normal 7" xfId="13" xr:uid="{051DB079-269A-4604-A1ED-55DABD275E42}"/>
    <cellStyle name="Porcentaje" xfId="2" builtinId="5"/>
    <cellStyle name="Porcentaje 2" xfId="10" xr:uid="{25EB6FD7-821E-4AD8-9F8F-2517A45B1751}"/>
    <cellStyle name="Porcentaje 2 2" xfId="27" xr:uid="{790C22F5-BD56-41F6-80C5-DD6E043DB4FD}"/>
    <cellStyle name="Porcentaje 3" xfId="47" xr:uid="{25024C11-C418-48EC-A24C-9A7F6ADDCBAD}"/>
    <cellStyle name="Porcentaje 3 2" xfId="38" xr:uid="{31B97066-E332-4395-B451-3B0588D9235D}"/>
    <cellStyle name="Porcentaje 4" xfId="33" xr:uid="{FC2B271B-3623-4093-9DE9-22F291D14F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08918-E8AE-4D90-931E-EA34C269E635}">
  <sheetPr codeName="Hoja1">
    <tabColor rgb="FF92D050"/>
    <pageSetUpPr fitToPage="1"/>
  </sheetPr>
  <dimension ref="A1:H55"/>
  <sheetViews>
    <sheetView view="pageBreakPreview" topLeftCell="A32" zoomScale="85" zoomScaleNormal="100" zoomScaleSheetLayoutView="85" workbookViewId="0">
      <selection activeCell="A2" sqref="A2:F2"/>
    </sheetView>
  </sheetViews>
  <sheetFormatPr baseColWidth="10" defaultColWidth="12.7109375" defaultRowHeight="15" customHeight="1" x14ac:dyDescent="0.25"/>
  <cols>
    <col min="1" max="1" width="1.28515625" style="49" customWidth="1"/>
    <col min="2" max="2" width="50.28515625" style="49" bestFit="1" customWidth="1"/>
    <col min="3" max="3" width="21.7109375" style="49" bestFit="1" customWidth="1"/>
    <col min="4" max="4" width="30.28515625" style="49" bestFit="1" customWidth="1"/>
    <col min="5" max="5" width="20.85546875" style="49" customWidth="1"/>
    <col min="6" max="6" width="19.28515625" style="49" bestFit="1" customWidth="1"/>
    <col min="7" max="7" width="17.5703125" style="49" bestFit="1" customWidth="1"/>
    <col min="8" max="26" width="9.140625" style="49" customWidth="1"/>
    <col min="27" max="16384" width="12.7109375" style="49"/>
  </cols>
  <sheetData>
    <row r="1" spans="1:8" ht="12" customHeight="1" x14ac:dyDescent="0.25">
      <c r="A1" s="75"/>
      <c r="B1" s="75"/>
      <c r="C1" s="75"/>
      <c r="D1" s="75"/>
      <c r="E1" s="75"/>
      <c r="F1" s="75"/>
      <c r="G1" s="75"/>
      <c r="H1" s="75"/>
    </row>
    <row r="2" spans="1:8" ht="21" customHeight="1" x14ac:dyDescent="0.25">
      <c r="A2" s="75"/>
      <c r="B2" s="481" t="s">
        <v>157</v>
      </c>
      <c r="C2" s="482"/>
      <c r="D2" s="482"/>
      <c r="E2" s="76" t="s">
        <v>158</v>
      </c>
      <c r="F2" s="77">
        <f>1+C25</f>
        <v>1.7733266427932983</v>
      </c>
      <c r="G2" s="75"/>
      <c r="H2" s="75"/>
    </row>
    <row r="3" spans="1:8" ht="19.5" customHeight="1" x14ac:dyDescent="0.25">
      <c r="A3" s="75"/>
      <c r="B3" s="78" t="s">
        <v>159</v>
      </c>
      <c r="C3" s="79">
        <v>1750905</v>
      </c>
      <c r="D3" s="80"/>
      <c r="G3" s="75"/>
      <c r="H3" s="81">
        <v>1.7803120689655201</v>
      </c>
    </row>
    <row r="4" spans="1:8" ht="19.5" customHeight="1" x14ac:dyDescent="0.25">
      <c r="A4" s="75"/>
      <c r="B4" s="78" t="s">
        <v>160</v>
      </c>
      <c r="C4" s="79">
        <v>200000</v>
      </c>
      <c r="D4" s="80"/>
      <c r="E4" s="81"/>
      <c r="F4" s="81"/>
      <c r="G4" s="75"/>
      <c r="H4" s="75"/>
    </row>
    <row r="5" spans="1:8" ht="19.5" customHeight="1" thickBot="1" x14ac:dyDescent="0.3">
      <c r="A5" s="75"/>
      <c r="B5" s="81"/>
      <c r="C5" s="81"/>
      <c r="D5" s="80"/>
      <c r="E5" s="81"/>
      <c r="F5" s="81"/>
      <c r="G5" s="75"/>
      <c r="H5" s="75"/>
    </row>
    <row r="6" spans="1:8" ht="19.5" customHeight="1" thickBot="1" x14ac:dyDescent="0.3">
      <c r="A6" s="75"/>
      <c r="B6" s="483" t="s">
        <v>44</v>
      </c>
      <c r="C6" s="82" t="s">
        <v>161</v>
      </c>
      <c r="D6" s="83" t="s">
        <v>162</v>
      </c>
      <c r="E6" s="81"/>
      <c r="F6" s="81"/>
      <c r="G6" s="75"/>
      <c r="H6" s="75"/>
    </row>
    <row r="7" spans="1:8" ht="36.75" customHeight="1" thickBot="1" x14ac:dyDescent="0.3">
      <c r="A7" s="75"/>
      <c r="B7" s="484"/>
      <c r="C7" s="84" t="s">
        <v>163</v>
      </c>
      <c r="D7" s="85" t="s">
        <v>163</v>
      </c>
      <c r="E7" s="81"/>
      <c r="F7" s="81"/>
      <c r="G7" s="75"/>
      <c r="H7" s="75"/>
    </row>
    <row r="8" spans="1:8" ht="19.5" customHeight="1" x14ac:dyDescent="0.25">
      <c r="A8" s="75"/>
      <c r="B8" s="86" t="s">
        <v>164</v>
      </c>
      <c r="C8" s="87"/>
      <c r="D8" s="87"/>
      <c r="E8" s="81"/>
      <c r="F8" s="81"/>
      <c r="G8" s="88"/>
      <c r="H8" s="75"/>
    </row>
    <row r="9" spans="1:8" ht="19.5" customHeight="1" x14ac:dyDescent="0.25">
      <c r="A9" s="75"/>
      <c r="B9" s="89" t="s">
        <v>165</v>
      </c>
      <c r="C9" s="90">
        <v>8.3299999999999999E-2</v>
      </c>
      <c r="D9" s="90">
        <v>8.3299999999999999E-2</v>
      </c>
      <c r="E9" s="81"/>
      <c r="F9" s="81"/>
      <c r="G9" s="75"/>
      <c r="H9" s="75"/>
    </row>
    <row r="10" spans="1:8" ht="19.5" customHeight="1" x14ac:dyDescent="0.25">
      <c r="A10" s="75"/>
      <c r="B10" s="89" t="s">
        <v>166</v>
      </c>
      <c r="C10" s="90">
        <v>0.01</v>
      </c>
      <c r="D10" s="90">
        <v>0.01</v>
      </c>
      <c r="E10" s="81"/>
      <c r="F10" s="81"/>
      <c r="G10" s="88"/>
      <c r="H10" s="75"/>
    </row>
    <row r="11" spans="1:8" ht="19.5" customHeight="1" x14ac:dyDescent="0.25">
      <c r="A11" s="75"/>
      <c r="B11" s="89" t="s">
        <v>167</v>
      </c>
      <c r="C11" s="90">
        <v>4.1700000000000001E-2</v>
      </c>
      <c r="D11" s="90">
        <v>4.1700000000000001E-2</v>
      </c>
      <c r="E11" s="81"/>
      <c r="F11" s="81"/>
      <c r="G11" s="75"/>
      <c r="H11" s="75"/>
    </row>
    <row r="12" spans="1:8" ht="19.5" customHeight="1" x14ac:dyDescent="0.25">
      <c r="A12" s="75"/>
      <c r="B12" s="89" t="s">
        <v>168</v>
      </c>
      <c r="C12" s="90">
        <v>8.3299999999999999E-2</v>
      </c>
      <c r="D12" s="90">
        <v>8.3299999999999999E-2</v>
      </c>
      <c r="E12" s="81"/>
      <c r="F12" s="81"/>
      <c r="G12" s="75"/>
      <c r="H12" s="75"/>
    </row>
    <row r="13" spans="1:8" ht="19.5" customHeight="1" x14ac:dyDescent="0.25">
      <c r="A13" s="75"/>
      <c r="B13" s="89" t="s">
        <v>169</v>
      </c>
      <c r="C13" s="90">
        <v>0.06</v>
      </c>
      <c r="D13" s="90">
        <v>0.04</v>
      </c>
      <c r="E13" s="81"/>
      <c r="F13" s="81"/>
      <c r="G13" s="75"/>
      <c r="H13" s="75"/>
    </row>
    <row r="14" spans="1:8" ht="19.5" customHeight="1" x14ac:dyDescent="0.25">
      <c r="A14" s="75"/>
      <c r="B14" s="91" t="s">
        <v>170</v>
      </c>
      <c r="C14" s="90"/>
      <c r="D14" s="90"/>
      <c r="E14" s="81"/>
      <c r="F14" s="81"/>
      <c r="G14" s="75"/>
      <c r="H14" s="75"/>
    </row>
    <row r="15" spans="1:8" ht="19.5" customHeight="1" x14ac:dyDescent="0.25">
      <c r="A15" s="75"/>
      <c r="B15" s="89" t="s">
        <v>171</v>
      </c>
      <c r="C15" s="90">
        <v>0.12</v>
      </c>
      <c r="D15" s="90">
        <v>0.12</v>
      </c>
      <c r="E15" s="81"/>
      <c r="F15" s="81"/>
      <c r="G15" s="75"/>
      <c r="H15" s="75"/>
    </row>
    <row r="16" spans="1:8" ht="19.5" customHeight="1" x14ac:dyDescent="0.25">
      <c r="A16" s="75"/>
      <c r="B16" s="89" t="s">
        <v>172</v>
      </c>
      <c r="C16" s="90">
        <v>6.9599999999999995E-2</v>
      </c>
      <c r="D16" s="90">
        <v>6.9599999999999995E-2</v>
      </c>
      <c r="E16" s="81"/>
      <c r="F16" s="81"/>
      <c r="G16" s="75"/>
      <c r="H16" s="75"/>
    </row>
    <row r="17" spans="1:7" ht="19.5" customHeight="1" x14ac:dyDescent="0.25">
      <c r="A17" s="75"/>
      <c r="B17" s="89" t="s">
        <v>173</v>
      </c>
      <c r="C17" s="90">
        <v>8.5000000000000006E-2</v>
      </c>
      <c r="D17" s="90">
        <v>8.5000000000000006E-2</v>
      </c>
      <c r="E17" s="81"/>
      <c r="F17" s="81"/>
      <c r="G17" s="75"/>
    </row>
    <row r="18" spans="1:7" ht="19.5" customHeight="1" x14ac:dyDescent="0.25">
      <c r="A18" s="75"/>
      <c r="B18" s="89" t="s">
        <v>174</v>
      </c>
      <c r="C18" s="90">
        <v>2.12E-2</v>
      </c>
      <c r="D18" s="90">
        <v>2.12E-2</v>
      </c>
      <c r="E18" s="81"/>
      <c r="F18" s="81"/>
      <c r="G18" s="75"/>
    </row>
    <row r="19" spans="1:7" ht="19.5" customHeight="1" x14ac:dyDescent="0.25">
      <c r="A19" s="75"/>
      <c r="B19" s="91" t="s">
        <v>175</v>
      </c>
      <c r="C19" s="90"/>
      <c r="D19" s="90"/>
      <c r="E19" s="81"/>
      <c r="F19" s="81"/>
      <c r="G19" s="75"/>
    </row>
    <row r="20" spans="1:7" ht="19.5" customHeight="1" x14ac:dyDescent="0.25">
      <c r="A20" s="75"/>
      <c r="B20" s="89" t="s">
        <v>176</v>
      </c>
      <c r="C20" s="90">
        <v>2.5000000000000001E-2</v>
      </c>
      <c r="D20" s="90">
        <v>2.5000000000000001E-2</v>
      </c>
      <c r="E20" s="81"/>
      <c r="F20" s="81"/>
      <c r="G20" s="75"/>
    </row>
    <row r="21" spans="1:7" ht="19.5" customHeight="1" x14ac:dyDescent="0.25">
      <c r="A21" s="75"/>
      <c r="B21" s="89" t="s">
        <v>177</v>
      </c>
      <c r="C21" s="90">
        <v>0</v>
      </c>
      <c r="D21" s="90">
        <v>0</v>
      </c>
      <c r="E21" s="81"/>
      <c r="G21" s="75"/>
    </row>
    <row r="22" spans="1:7" ht="19.5" customHeight="1" x14ac:dyDescent="0.25">
      <c r="A22" s="75"/>
      <c r="B22" s="89" t="s">
        <v>178</v>
      </c>
      <c r="C22" s="90">
        <v>0.04</v>
      </c>
      <c r="D22" s="90">
        <v>0.04</v>
      </c>
      <c r="E22" s="81"/>
      <c r="F22" s="81"/>
      <c r="G22" s="75"/>
    </row>
    <row r="23" spans="1:7" ht="19.5" customHeight="1" x14ac:dyDescent="0.25">
      <c r="A23" s="75"/>
      <c r="B23" s="89" t="s">
        <v>179</v>
      </c>
      <c r="C23" s="90">
        <f>C4/C3</f>
        <v>0.11422664279329832</v>
      </c>
      <c r="D23" s="90"/>
      <c r="E23" s="81"/>
      <c r="F23" s="81"/>
      <c r="G23" s="75"/>
    </row>
    <row r="24" spans="1:7" ht="19.5" customHeight="1" thickBot="1" x14ac:dyDescent="0.3">
      <c r="A24" s="75"/>
      <c r="B24" s="89" t="s">
        <v>180</v>
      </c>
      <c r="C24" s="92">
        <v>0.02</v>
      </c>
      <c r="D24" s="92">
        <v>0.02</v>
      </c>
      <c r="E24" s="81"/>
      <c r="F24" s="81"/>
      <c r="G24" s="75"/>
    </row>
    <row r="25" spans="1:7" ht="19.5" customHeight="1" thickBot="1" x14ac:dyDescent="0.3">
      <c r="A25" s="75"/>
      <c r="B25" s="93"/>
      <c r="C25" s="94">
        <f t="shared" ref="C25:D25" si="0">SUM(C8:C24)</f>
        <v>0.77332664279329832</v>
      </c>
      <c r="D25" s="95">
        <f t="shared" si="0"/>
        <v>0.6391</v>
      </c>
      <c r="E25" s="81"/>
      <c r="F25" s="81"/>
      <c r="G25" s="75"/>
    </row>
    <row r="26" spans="1:7" ht="19.5" customHeight="1" thickBot="1" x14ac:dyDescent="0.3">
      <c r="A26" s="75"/>
      <c r="B26" s="96"/>
      <c r="C26" s="97">
        <f>ROUND(1+C25,4)</f>
        <v>1.7733000000000001</v>
      </c>
      <c r="D26" s="98">
        <f>ROUND(1+D25,4)</f>
        <v>1.6391</v>
      </c>
      <c r="E26" s="81"/>
      <c r="F26" s="81"/>
      <c r="G26" s="75"/>
    </row>
    <row r="27" spans="1:7" ht="19.5" customHeight="1" x14ac:dyDescent="0.25">
      <c r="A27" s="75"/>
      <c r="B27" s="96"/>
      <c r="C27" s="99"/>
      <c r="D27" s="100"/>
      <c r="E27" s="81"/>
      <c r="F27" s="81"/>
      <c r="G27" s="75"/>
    </row>
    <row r="28" spans="1:7" ht="33" customHeight="1" x14ac:dyDescent="0.25">
      <c r="A28" s="75"/>
      <c r="B28" s="101" t="s">
        <v>181</v>
      </c>
      <c r="C28" s="101" t="s">
        <v>182</v>
      </c>
      <c r="D28" s="102" t="s">
        <v>183</v>
      </c>
      <c r="E28" s="102" t="s">
        <v>184</v>
      </c>
      <c r="F28" s="102" t="s">
        <v>185</v>
      </c>
      <c r="G28" s="102" t="s">
        <v>186</v>
      </c>
    </row>
    <row r="29" spans="1:7" ht="19.5" customHeight="1" x14ac:dyDescent="0.25">
      <c r="A29" s="75"/>
      <c r="B29" s="78" t="s">
        <v>187</v>
      </c>
      <c r="C29" s="103">
        <f>C3</f>
        <v>1750905</v>
      </c>
      <c r="D29" s="104">
        <f t="shared" ref="D29:D39" si="1">ROUND((C29*$C$25),0)</f>
        <v>1354021</v>
      </c>
      <c r="E29" s="103">
        <f t="shared" ref="E29:E39" si="2">C29+D29</f>
        <v>3104926</v>
      </c>
      <c r="F29" s="103">
        <f t="shared" ref="F29:F39" si="3">+ROUND((C29/30),0)</f>
        <v>58364</v>
      </c>
      <c r="G29" s="103">
        <f t="shared" ref="G29:G39" si="4">ROUND((E29/30),0)</f>
        <v>103498</v>
      </c>
    </row>
    <row r="30" spans="1:7" ht="19.5" customHeight="1" x14ac:dyDescent="0.25">
      <c r="A30" s="75"/>
      <c r="B30" s="78" t="s">
        <v>188</v>
      </c>
      <c r="C30" s="103">
        <f>C29*1.4</f>
        <v>2451267</v>
      </c>
      <c r="D30" s="104">
        <f t="shared" si="1"/>
        <v>1895630</v>
      </c>
      <c r="E30" s="103">
        <f t="shared" si="2"/>
        <v>4346897</v>
      </c>
      <c r="F30" s="103">
        <f t="shared" si="3"/>
        <v>81709</v>
      </c>
      <c r="G30" s="103">
        <f t="shared" si="4"/>
        <v>144897</v>
      </c>
    </row>
    <row r="31" spans="1:7" ht="19.5" customHeight="1" x14ac:dyDescent="0.25">
      <c r="A31" s="75"/>
      <c r="B31" s="78" t="s">
        <v>189</v>
      </c>
      <c r="C31" s="103">
        <f>C29*1.8</f>
        <v>3151629</v>
      </c>
      <c r="D31" s="104">
        <f t="shared" si="1"/>
        <v>2437239</v>
      </c>
      <c r="E31" s="103">
        <f t="shared" si="2"/>
        <v>5588868</v>
      </c>
      <c r="F31" s="103">
        <f t="shared" si="3"/>
        <v>105054</v>
      </c>
      <c r="G31" s="103">
        <f t="shared" si="4"/>
        <v>186296</v>
      </c>
    </row>
    <row r="32" spans="1:7" ht="19.5" customHeight="1" x14ac:dyDescent="0.25">
      <c r="A32" s="75"/>
      <c r="B32" s="78" t="s">
        <v>190</v>
      </c>
      <c r="C32" s="103">
        <f>C29*1.5</f>
        <v>2626357.5</v>
      </c>
      <c r="D32" s="104">
        <f t="shared" si="1"/>
        <v>2031032</v>
      </c>
      <c r="E32" s="103">
        <f t="shared" si="2"/>
        <v>4657389.5</v>
      </c>
      <c r="F32" s="103">
        <f t="shared" si="3"/>
        <v>87545</v>
      </c>
      <c r="G32" s="103">
        <f t="shared" si="4"/>
        <v>155246</v>
      </c>
    </row>
    <row r="33" spans="1:7" ht="19.5" customHeight="1" x14ac:dyDescent="0.25">
      <c r="A33" s="75"/>
      <c r="B33" s="78" t="s">
        <v>191</v>
      </c>
      <c r="C33" s="103">
        <f>C29</f>
        <v>1750905</v>
      </c>
      <c r="D33" s="104">
        <f t="shared" si="1"/>
        <v>1354021</v>
      </c>
      <c r="E33" s="103">
        <f t="shared" si="2"/>
        <v>3104926</v>
      </c>
      <c r="F33" s="103">
        <f t="shared" si="3"/>
        <v>58364</v>
      </c>
      <c r="G33" s="103">
        <f t="shared" si="4"/>
        <v>103498</v>
      </c>
    </row>
    <row r="34" spans="1:7" ht="19.5" customHeight="1" x14ac:dyDescent="0.25">
      <c r="A34" s="75"/>
      <c r="B34" s="78" t="s">
        <v>192</v>
      </c>
      <c r="C34" s="103">
        <f>C29*2.8</f>
        <v>4902534</v>
      </c>
      <c r="D34" s="104">
        <f t="shared" si="1"/>
        <v>3791260</v>
      </c>
      <c r="E34" s="103">
        <f t="shared" si="2"/>
        <v>8693794</v>
      </c>
      <c r="F34" s="103">
        <f t="shared" si="3"/>
        <v>163418</v>
      </c>
      <c r="G34" s="103">
        <f t="shared" si="4"/>
        <v>289793</v>
      </c>
    </row>
    <row r="35" spans="1:7" ht="19.5" customHeight="1" x14ac:dyDescent="0.25">
      <c r="A35" s="75"/>
      <c r="B35" s="78" t="s">
        <v>193</v>
      </c>
      <c r="C35" s="103">
        <f>C29*1.8</f>
        <v>3151629</v>
      </c>
      <c r="D35" s="104">
        <f t="shared" si="1"/>
        <v>2437239</v>
      </c>
      <c r="E35" s="103">
        <f t="shared" si="2"/>
        <v>5588868</v>
      </c>
      <c r="F35" s="103">
        <f t="shared" si="3"/>
        <v>105054</v>
      </c>
      <c r="G35" s="103">
        <f t="shared" si="4"/>
        <v>186296</v>
      </c>
    </row>
    <row r="36" spans="1:7" ht="19.5" customHeight="1" x14ac:dyDescent="0.25">
      <c r="A36" s="75"/>
      <c r="B36" s="78" t="s">
        <v>194</v>
      </c>
      <c r="C36" s="103">
        <f>C29*3</f>
        <v>5252715</v>
      </c>
      <c r="D36" s="104">
        <f t="shared" si="1"/>
        <v>4062064</v>
      </c>
      <c r="E36" s="103">
        <f t="shared" si="2"/>
        <v>9314779</v>
      </c>
      <c r="F36" s="103">
        <f t="shared" si="3"/>
        <v>175091</v>
      </c>
      <c r="G36" s="103">
        <f t="shared" si="4"/>
        <v>310493</v>
      </c>
    </row>
    <row r="37" spans="1:7" ht="19.5" customHeight="1" x14ac:dyDescent="0.25">
      <c r="A37" s="75"/>
      <c r="B37" s="78" t="s">
        <v>195</v>
      </c>
      <c r="C37" s="103">
        <f>C29*2</f>
        <v>3501810</v>
      </c>
      <c r="D37" s="104">
        <f t="shared" si="1"/>
        <v>2708043</v>
      </c>
      <c r="E37" s="103">
        <f t="shared" si="2"/>
        <v>6209853</v>
      </c>
      <c r="F37" s="103">
        <f t="shared" si="3"/>
        <v>116727</v>
      </c>
      <c r="G37" s="103">
        <f t="shared" si="4"/>
        <v>206995</v>
      </c>
    </row>
    <row r="38" spans="1:7" ht="19.5" customHeight="1" x14ac:dyDescent="0.25">
      <c r="A38" s="75"/>
      <c r="B38" s="78" t="s">
        <v>196</v>
      </c>
      <c r="C38" s="103">
        <f>C29*3.5</f>
        <v>6128167.5</v>
      </c>
      <c r="D38" s="104">
        <f t="shared" si="1"/>
        <v>4739075</v>
      </c>
      <c r="E38" s="103">
        <f t="shared" si="2"/>
        <v>10867242.5</v>
      </c>
      <c r="F38" s="103">
        <f t="shared" si="3"/>
        <v>204272</v>
      </c>
      <c r="G38" s="103">
        <f t="shared" si="4"/>
        <v>362241</v>
      </c>
    </row>
    <row r="39" spans="1:7" ht="19.5" customHeight="1" x14ac:dyDescent="0.25">
      <c r="A39" s="75"/>
      <c r="B39" s="78" t="s">
        <v>197</v>
      </c>
      <c r="C39" s="103">
        <f>C29*2.8</f>
        <v>4902534</v>
      </c>
      <c r="D39" s="104">
        <f t="shared" si="1"/>
        <v>3791260</v>
      </c>
      <c r="E39" s="103">
        <f t="shared" si="2"/>
        <v>8693794</v>
      </c>
      <c r="F39" s="103">
        <f t="shared" si="3"/>
        <v>163418</v>
      </c>
      <c r="G39" s="103">
        <f t="shared" si="4"/>
        <v>289793</v>
      </c>
    </row>
    <row r="40" spans="1:7" ht="19.5" customHeight="1" x14ac:dyDescent="0.25">
      <c r="A40" s="75"/>
      <c r="B40" s="105" t="s">
        <v>198</v>
      </c>
      <c r="C40" s="106"/>
      <c r="D40" s="107"/>
      <c r="E40" s="106"/>
      <c r="F40" s="103">
        <f t="shared" ref="F40:G40" si="5">F31+F29</f>
        <v>163418</v>
      </c>
      <c r="G40" s="103">
        <f t="shared" si="5"/>
        <v>289794</v>
      </c>
    </row>
    <row r="41" spans="1:7" ht="19.5" customHeight="1" x14ac:dyDescent="0.25">
      <c r="A41" s="75"/>
      <c r="B41" s="105" t="s">
        <v>199</v>
      </c>
      <c r="C41" s="106"/>
      <c r="D41" s="107"/>
      <c r="E41" s="106"/>
      <c r="F41" s="103">
        <f t="shared" ref="F41:G41" si="6">F31+(2*F29)</f>
        <v>221782</v>
      </c>
      <c r="G41" s="103">
        <f t="shared" si="6"/>
        <v>393292</v>
      </c>
    </row>
    <row r="42" spans="1:7" ht="19.5" customHeight="1" x14ac:dyDescent="0.25">
      <c r="A42" s="75"/>
      <c r="B42" s="105" t="s">
        <v>200</v>
      </c>
      <c r="C42" s="106"/>
      <c r="D42" s="107"/>
      <c r="E42" s="106"/>
      <c r="F42" s="103">
        <f t="shared" ref="F42:G42" si="7">F31+(4*F29)</f>
        <v>338510</v>
      </c>
      <c r="G42" s="103">
        <f t="shared" si="7"/>
        <v>600288</v>
      </c>
    </row>
    <row r="43" spans="1:7" ht="30" x14ac:dyDescent="0.25">
      <c r="A43" s="75"/>
      <c r="B43" s="108" t="s">
        <v>201</v>
      </c>
      <c r="C43" s="106"/>
      <c r="D43" s="107"/>
      <c r="E43" s="106"/>
      <c r="F43" s="103">
        <f t="shared" ref="F43:G43" si="8">F38+F32+(2*F33)</f>
        <v>408545</v>
      </c>
      <c r="G43" s="103">
        <f t="shared" si="8"/>
        <v>724483</v>
      </c>
    </row>
    <row r="44" spans="1:7" ht="19.5" customHeight="1" x14ac:dyDescent="0.25">
      <c r="A44" s="75"/>
      <c r="B44" s="105" t="s">
        <v>202</v>
      </c>
      <c r="C44" s="106"/>
      <c r="D44" s="107"/>
      <c r="E44" s="106"/>
      <c r="F44" s="103">
        <f t="shared" ref="F44:G44" si="9">F31+(7*F29)</f>
        <v>513602</v>
      </c>
      <c r="G44" s="103">
        <f t="shared" si="9"/>
        <v>910782</v>
      </c>
    </row>
    <row r="45" spans="1:7" ht="19.5" customHeight="1" x14ac:dyDescent="0.25">
      <c r="A45" s="75"/>
      <c r="B45" s="105" t="s">
        <v>203</v>
      </c>
      <c r="C45" s="106"/>
      <c r="D45" s="107"/>
      <c r="E45" s="106"/>
      <c r="F45" s="103">
        <f t="shared" ref="F45:G45" si="10">(2*F31)+(4*F29)</f>
        <v>443564</v>
      </c>
      <c r="G45" s="103">
        <f t="shared" si="10"/>
        <v>786584</v>
      </c>
    </row>
    <row r="46" spans="1:7" ht="19.5" customHeight="1" x14ac:dyDescent="0.25">
      <c r="A46" s="75"/>
      <c r="B46" s="105" t="s">
        <v>204</v>
      </c>
      <c r="C46" s="106"/>
      <c r="D46" s="107"/>
      <c r="E46" s="106"/>
      <c r="F46" s="103">
        <f t="shared" ref="F46:G46" si="11">(6*F31)+(4*F29)</f>
        <v>863780</v>
      </c>
      <c r="G46" s="103">
        <f t="shared" si="11"/>
        <v>1531768</v>
      </c>
    </row>
    <row r="47" spans="1:7" ht="19.5" customHeight="1" x14ac:dyDescent="0.25">
      <c r="A47" s="75"/>
      <c r="B47" s="105" t="s">
        <v>205</v>
      </c>
      <c r="C47" s="106"/>
      <c r="D47" s="107"/>
      <c r="E47" s="106"/>
      <c r="F47" s="103">
        <f t="shared" ref="F47:G47" si="12">4*F29</f>
        <v>233456</v>
      </c>
      <c r="G47" s="103">
        <f t="shared" si="12"/>
        <v>413992</v>
      </c>
    </row>
    <row r="48" spans="1:7" ht="12.75" x14ac:dyDescent="0.25">
      <c r="A48" s="75"/>
      <c r="B48" s="81"/>
      <c r="C48" s="81"/>
      <c r="D48" s="80"/>
      <c r="E48" s="81"/>
      <c r="F48" s="81"/>
      <c r="G48" s="75"/>
    </row>
    <row r="49" spans="1:7" ht="12.75" x14ac:dyDescent="0.25">
      <c r="A49" s="75"/>
      <c r="B49" s="81"/>
      <c r="C49" s="81"/>
      <c r="D49" s="80"/>
      <c r="E49" s="81"/>
      <c r="F49" s="81"/>
      <c r="G49" s="75"/>
    </row>
    <row r="50" spans="1:7" ht="12.75" x14ac:dyDescent="0.25">
      <c r="A50" s="75"/>
      <c r="B50" s="81"/>
      <c r="C50" s="81"/>
      <c r="D50" s="80"/>
      <c r="E50" s="81"/>
      <c r="F50" s="81"/>
      <c r="G50" s="75"/>
    </row>
    <row r="51" spans="1:7" ht="12.75" x14ac:dyDescent="0.25">
      <c r="A51" s="75"/>
      <c r="B51" s="81"/>
      <c r="C51" s="81"/>
      <c r="D51" s="80"/>
      <c r="E51" s="81"/>
      <c r="F51" s="81"/>
      <c r="G51" s="75"/>
    </row>
    <row r="52" spans="1:7" ht="12.75" x14ac:dyDescent="0.25">
      <c r="A52" s="75"/>
      <c r="B52" s="81"/>
      <c r="C52" s="81"/>
      <c r="D52" s="80"/>
      <c r="E52" s="81"/>
      <c r="F52" s="81"/>
      <c r="G52" s="75"/>
    </row>
    <row r="53" spans="1:7" ht="15.75" x14ac:dyDescent="0.25">
      <c r="A53" s="75"/>
      <c r="B53" s="109"/>
      <c r="C53" s="81"/>
      <c r="D53" s="80"/>
      <c r="E53" s="81"/>
      <c r="F53" s="81"/>
      <c r="G53" s="75"/>
    </row>
    <row r="54" spans="1:7" ht="15.75" x14ac:dyDescent="0.25">
      <c r="A54" s="75"/>
      <c r="B54" s="110"/>
      <c r="C54" s="81"/>
      <c r="D54" s="80"/>
      <c r="E54" s="81"/>
      <c r="F54" s="81"/>
      <c r="G54" s="75"/>
    </row>
    <row r="55" spans="1:7" ht="15.75" x14ac:dyDescent="0.25">
      <c r="A55" s="75"/>
      <c r="B55" s="111"/>
      <c r="C55" s="81"/>
      <c r="D55" s="80"/>
      <c r="E55" s="81"/>
      <c r="F55" s="81"/>
      <c r="G55" s="75"/>
    </row>
  </sheetData>
  <mergeCells count="2">
    <mergeCell ref="B2:D2"/>
    <mergeCell ref="B6:B7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601F2-0BE3-48E0-A54E-AD384876894B}">
  <sheetPr codeName="Hoja2">
    <tabColor theme="9" tint="0.59999389629810485"/>
    <pageSetUpPr fitToPage="1"/>
  </sheetPr>
  <dimension ref="A1:K54"/>
  <sheetViews>
    <sheetView showGridLines="0" view="pageBreakPreview" topLeftCell="A12" zoomScale="75" zoomScaleNormal="100" zoomScaleSheetLayoutView="75" workbookViewId="0">
      <selection activeCell="A2" sqref="A2:F2"/>
    </sheetView>
  </sheetViews>
  <sheetFormatPr baseColWidth="10" defaultColWidth="12.7109375" defaultRowHeight="15" customHeight="1" x14ac:dyDescent="0.25"/>
  <cols>
    <col min="1" max="1" width="11.85546875" style="49" bestFit="1" customWidth="1"/>
    <col min="2" max="2" width="54" style="49" customWidth="1"/>
    <col min="3" max="3" width="7.28515625" style="49" customWidth="1"/>
    <col min="4" max="4" width="6.28515625" style="49" bestFit="1" customWidth="1"/>
    <col min="5" max="5" width="10.42578125" style="49" customWidth="1"/>
    <col min="6" max="6" width="21.28515625" style="49" bestFit="1" customWidth="1"/>
    <col min="7" max="7" width="11.85546875" style="49" bestFit="1" customWidth="1"/>
    <col min="8" max="8" width="16.42578125" style="49" bestFit="1" customWidth="1"/>
    <col min="9" max="9" width="20.140625" style="49" bestFit="1" customWidth="1"/>
    <col min="10" max="10" width="9.7109375" style="49" bestFit="1" customWidth="1"/>
    <col min="11" max="11" width="20.28515625" style="49" customWidth="1"/>
    <col min="12" max="26" width="11.42578125" style="49" customWidth="1"/>
    <col min="27" max="16384" width="12.7109375" style="49"/>
  </cols>
  <sheetData>
    <row r="1" spans="1:11" ht="27.6" customHeight="1" thickBot="1" x14ac:dyDescent="0.3">
      <c r="A1" s="485" t="s">
        <v>243</v>
      </c>
      <c r="B1" s="486"/>
      <c r="C1" s="486"/>
      <c r="D1" s="486"/>
      <c r="E1" s="486"/>
      <c r="F1" s="486"/>
      <c r="G1" s="486"/>
      <c r="H1" s="486"/>
      <c r="I1" s="486"/>
      <c r="J1" s="486"/>
      <c r="K1" s="186"/>
    </row>
    <row r="2" spans="1:11" ht="27.6" customHeight="1" thickBot="1" x14ac:dyDescent="0.3">
      <c r="A2" s="187" t="s">
        <v>244</v>
      </c>
      <c r="B2" s="487" t="s">
        <v>425</v>
      </c>
      <c r="C2" s="488"/>
      <c r="D2" s="488"/>
      <c r="E2" s="488"/>
      <c r="F2" s="488"/>
      <c r="G2" s="488"/>
      <c r="H2" s="488"/>
      <c r="I2" s="488"/>
      <c r="J2" s="489"/>
      <c r="K2" s="186"/>
    </row>
    <row r="3" spans="1:11" ht="13.5" thickBot="1" x14ac:dyDescent="0.3">
      <c r="A3" s="188"/>
      <c r="B3" s="75"/>
      <c r="C3" s="75"/>
      <c r="D3" s="75"/>
      <c r="E3" s="75"/>
      <c r="F3" s="75"/>
      <c r="G3" s="75"/>
      <c r="H3" s="75"/>
      <c r="I3" s="75"/>
      <c r="J3" s="189"/>
      <c r="K3" s="186"/>
    </row>
    <row r="4" spans="1:11" ht="13.5" customHeight="1" x14ac:dyDescent="0.25">
      <c r="A4" s="490" t="s">
        <v>245</v>
      </c>
      <c r="B4" s="491"/>
      <c r="C4" s="491"/>
      <c r="D4" s="492"/>
      <c r="E4" s="190" t="s">
        <v>246</v>
      </c>
      <c r="F4" s="191">
        <f>+'PRESUPUESTO OFICIAL'!F55</f>
        <v>300000000</v>
      </c>
      <c r="G4" s="75"/>
      <c r="H4" s="75"/>
      <c r="I4" s="75"/>
      <c r="J4" s="189"/>
      <c r="K4" s="186"/>
    </row>
    <row r="5" spans="1:11" ht="13.5" customHeight="1" thickBot="1" x14ac:dyDescent="0.3">
      <c r="A5" s="493" t="s">
        <v>247</v>
      </c>
      <c r="B5" s="494"/>
      <c r="C5" s="494"/>
      <c r="D5" s="495"/>
      <c r="E5" s="192" t="s">
        <v>248</v>
      </c>
      <c r="F5" s="193">
        <v>2</v>
      </c>
      <c r="G5" s="75"/>
      <c r="H5" s="75"/>
      <c r="I5" s="75"/>
      <c r="J5" s="189"/>
      <c r="K5" s="186"/>
    </row>
    <row r="6" spans="1:11" ht="13.5" customHeight="1" thickBot="1" x14ac:dyDescent="0.3">
      <c r="A6" s="188"/>
      <c r="B6" s="75"/>
      <c r="C6" s="75"/>
      <c r="D6" s="75"/>
      <c r="E6" s="75"/>
      <c r="F6" s="75"/>
      <c r="G6" s="75"/>
      <c r="H6" s="75"/>
      <c r="I6" s="75"/>
      <c r="J6" s="189"/>
      <c r="K6" s="186"/>
    </row>
    <row r="7" spans="1:11" ht="13.5" customHeight="1" thickBot="1" x14ac:dyDescent="0.3">
      <c r="A7" s="194" t="s">
        <v>249</v>
      </c>
      <c r="B7" s="195" t="s">
        <v>250</v>
      </c>
      <c r="C7" s="195" t="s">
        <v>78</v>
      </c>
      <c r="D7" s="194" t="s">
        <v>251</v>
      </c>
      <c r="E7" s="194" t="s">
        <v>252</v>
      </c>
      <c r="F7" s="196" t="s">
        <v>253</v>
      </c>
      <c r="G7" s="195" t="s">
        <v>254</v>
      </c>
      <c r="H7" s="196" t="s">
        <v>255</v>
      </c>
      <c r="I7" s="196" t="s">
        <v>256</v>
      </c>
      <c r="J7" s="197" t="s">
        <v>257</v>
      </c>
      <c r="K7" s="186"/>
    </row>
    <row r="8" spans="1:11" ht="13.5" customHeight="1" thickBot="1" x14ac:dyDescent="0.3">
      <c r="A8" s="75"/>
      <c r="B8" s="75"/>
      <c r="C8" s="75"/>
      <c r="D8" s="75"/>
      <c r="E8" s="75"/>
      <c r="F8" s="75"/>
      <c r="G8" s="75"/>
      <c r="H8" s="75"/>
      <c r="I8" s="75"/>
      <c r="J8" s="75"/>
      <c r="K8" s="186"/>
    </row>
    <row r="9" spans="1:11" ht="13.5" customHeight="1" x14ac:dyDescent="0.25">
      <c r="A9" s="198">
        <v>1</v>
      </c>
      <c r="B9" s="199" t="s">
        <v>258</v>
      </c>
      <c r="C9" s="200"/>
      <c r="D9" s="201"/>
      <c r="E9" s="201"/>
      <c r="F9" s="202"/>
      <c r="G9" s="203"/>
      <c r="H9" s="202"/>
      <c r="I9" s="202"/>
      <c r="J9" s="204">
        <f>+I10/F4</f>
        <v>0.1149034718566667</v>
      </c>
      <c r="K9" s="186"/>
    </row>
    <row r="10" spans="1:11" ht="13.15" customHeight="1" x14ac:dyDescent="0.25">
      <c r="A10" s="205">
        <v>1.1000000000000001</v>
      </c>
      <c r="B10" s="206" t="s">
        <v>259</v>
      </c>
      <c r="C10" s="207"/>
      <c r="D10" s="208"/>
      <c r="E10" s="208"/>
      <c r="F10" s="209"/>
      <c r="G10" s="58"/>
      <c r="H10" s="209"/>
      <c r="I10" s="210">
        <f>SUM(H11:H14)</f>
        <v>34471041.557000011</v>
      </c>
      <c r="J10" s="211">
        <f>SUM(J11:J14)</f>
        <v>0.1149034718566667</v>
      </c>
      <c r="K10" s="186"/>
    </row>
    <row r="11" spans="1:11" ht="13.5" customHeight="1" x14ac:dyDescent="0.25">
      <c r="A11" s="205"/>
      <c r="B11" s="58" t="s">
        <v>260</v>
      </c>
      <c r="C11" s="207" t="s">
        <v>68</v>
      </c>
      <c r="D11" s="208">
        <v>1</v>
      </c>
      <c r="E11" s="208">
        <v>1</v>
      </c>
      <c r="F11" s="212">
        <v>3700000</v>
      </c>
      <c r="G11" s="213">
        <f>+'ANALISIS M.O'!D26*K11</f>
        <v>1.5633125422675742</v>
      </c>
      <c r="H11" s="212">
        <f t="shared" ref="H11:H14" si="0">+D11*E11*F11*G11*$F$5</f>
        <v>11568512.812780049</v>
      </c>
      <c r="I11" s="209"/>
      <c r="J11" s="214">
        <f>+H11/$F$4</f>
        <v>3.8561709375933492E-2</v>
      </c>
      <c r="K11" s="186">
        <v>0.95376276143467409</v>
      </c>
    </row>
    <row r="12" spans="1:11" ht="12.75" x14ac:dyDescent="0.25">
      <c r="A12" s="205"/>
      <c r="B12" s="58" t="s">
        <v>194</v>
      </c>
      <c r="C12" s="207" t="s">
        <v>68</v>
      </c>
      <c r="D12" s="208">
        <v>1</v>
      </c>
      <c r="E12" s="208">
        <v>1</v>
      </c>
      <c r="F12" s="212">
        <v>3125000</v>
      </c>
      <c r="G12" s="213">
        <f>+G11</f>
        <v>1.5633125422675742</v>
      </c>
      <c r="H12" s="212">
        <f t="shared" si="0"/>
        <v>9770703.3891723379</v>
      </c>
      <c r="I12" s="209"/>
      <c r="J12" s="214">
        <f t="shared" ref="J12:J13" si="1">+H12/$F$4</f>
        <v>3.2569011297241129E-2</v>
      </c>
      <c r="K12" s="186"/>
    </row>
    <row r="13" spans="1:11" customFormat="1" ht="13.5" customHeight="1" x14ac:dyDescent="0.25">
      <c r="A13" s="215"/>
      <c r="B13" s="216" t="s">
        <v>261</v>
      </c>
      <c r="C13" s="217" t="s">
        <v>68</v>
      </c>
      <c r="D13" s="218">
        <v>1</v>
      </c>
      <c r="E13" s="218">
        <v>0.5</v>
      </c>
      <c r="F13" s="219">
        <v>2800000</v>
      </c>
      <c r="G13" s="220">
        <f>+G11</f>
        <v>1.5633125422675742</v>
      </c>
      <c r="H13" s="219">
        <f t="shared" si="0"/>
        <v>4377275.1183492076</v>
      </c>
      <c r="I13" s="221"/>
      <c r="J13" s="214">
        <f t="shared" si="1"/>
        <v>1.4590917061164025E-2</v>
      </c>
      <c r="K13" s="222"/>
    </row>
    <row r="14" spans="1:11" customFormat="1" ht="13.5" customHeight="1" x14ac:dyDescent="0.25">
      <c r="A14" s="215"/>
      <c r="B14" s="216" t="s">
        <v>262</v>
      </c>
      <c r="C14" s="217" t="s">
        <v>68</v>
      </c>
      <c r="D14" s="218">
        <v>1</v>
      </c>
      <c r="E14" s="218">
        <v>1</v>
      </c>
      <c r="F14" s="219">
        <f>+F13</f>
        <v>2800000</v>
      </c>
      <c r="G14" s="220">
        <f>+G12</f>
        <v>1.5633125422675742</v>
      </c>
      <c r="H14" s="219">
        <f t="shared" si="0"/>
        <v>8754550.2366984151</v>
      </c>
      <c r="I14" s="221"/>
      <c r="J14" s="214">
        <f>+H14/$F$4</f>
        <v>2.9181834122328051E-2</v>
      </c>
      <c r="K14" s="222"/>
    </row>
    <row r="15" spans="1:11" ht="16.5" customHeight="1" x14ac:dyDescent="0.25">
      <c r="A15" s="205"/>
      <c r="B15" s="223"/>
      <c r="C15" s="223"/>
      <c r="D15" s="223"/>
      <c r="E15" s="223"/>
      <c r="F15" s="223"/>
      <c r="G15" s="213"/>
      <c r="H15" s="209"/>
      <c r="I15" s="209"/>
      <c r="J15" s="214"/>
      <c r="K15" s="186"/>
    </row>
    <row r="16" spans="1:11" ht="16.5" customHeight="1" x14ac:dyDescent="0.25">
      <c r="A16" s="224">
        <v>2</v>
      </c>
      <c r="B16" s="225" t="s">
        <v>263</v>
      </c>
      <c r="C16" s="207"/>
      <c r="D16" s="208"/>
      <c r="E16" s="208"/>
      <c r="F16" s="209"/>
      <c r="G16" s="58"/>
      <c r="H16" s="209"/>
      <c r="I16" s="209"/>
      <c r="J16" s="211">
        <f>J17</f>
        <v>0.20139000000000001</v>
      </c>
      <c r="K16" s="186"/>
    </row>
    <row r="17" spans="1:11" ht="16.5" customHeight="1" x14ac:dyDescent="0.25">
      <c r="A17" s="205">
        <v>2.2000000000000002</v>
      </c>
      <c r="B17" s="206" t="s">
        <v>264</v>
      </c>
      <c r="C17" s="207"/>
      <c r="D17" s="208"/>
      <c r="E17" s="208"/>
      <c r="F17" s="209"/>
      <c r="G17" s="58"/>
      <c r="H17" s="209"/>
      <c r="I17" s="210">
        <f>SUM(H18:H25)</f>
        <v>60417000</v>
      </c>
      <c r="J17" s="211">
        <f>SUM(J18:J25)</f>
        <v>0.20139000000000001</v>
      </c>
      <c r="K17" s="186"/>
    </row>
    <row r="18" spans="1:11" ht="12.75" x14ac:dyDescent="0.25">
      <c r="A18" s="205"/>
      <c r="B18" s="58" t="s">
        <v>265</v>
      </c>
      <c r="C18" s="207" t="s">
        <v>257</v>
      </c>
      <c r="D18" s="213">
        <v>0.05</v>
      </c>
      <c r="E18" s="208"/>
      <c r="F18" s="212">
        <f>+F4</f>
        <v>300000000</v>
      </c>
      <c r="G18" s="226">
        <v>1.37</v>
      </c>
      <c r="H18" s="212">
        <f>D18*F18*G18</f>
        <v>20550000</v>
      </c>
      <c r="I18" s="209"/>
      <c r="J18" s="214">
        <f t="shared" ref="J18:J25" si="2">+H18/$F$4</f>
        <v>6.8500000000000005E-2</v>
      </c>
      <c r="K18" s="227"/>
    </row>
    <row r="19" spans="1:11" ht="13.5" customHeight="1" x14ac:dyDescent="0.25">
      <c r="A19" s="205"/>
      <c r="B19" s="58" t="s">
        <v>266</v>
      </c>
      <c r="C19" s="207" t="s">
        <v>257</v>
      </c>
      <c r="D19" s="213">
        <v>0.01</v>
      </c>
      <c r="E19" s="208"/>
      <c r="F19" s="212">
        <f>+F18</f>
        <v>300000000</v>
      </c>
      <c r="G19" s="226">
        <f t="shared" ref="G19:G25" si="3">+$G$18</f>
        <v>1.37</v>
      </c>
      <c r="H19" s="212">
        <f t="shared" ref="H19:H25" si="4">D19*F19*G19</f>
        <v>4110000.0000000005</v>
      </c>
      <c r="I19" s="209"/>
      <c r="J19" s="214">
        <f t="shared" si="2"/>
        <v>1.3700000000000002E-2</v>
      </c>
      <c r="K19" s="227"/>
    </row>
    <row r="20" spans="1:11" ht="13.5" customHeight="1" x14ac:dyDescent="0.25">
      <c r="A20" s="205"/>
      <c r="B20" s="58" t="s">
        <v>267</v>
      </c>
      <c r="C20" s="207" t="s">
        <v>257</v>
      </c>
      <c r="D20" s="213">
        <v>0.01</v>
      </c>
      <c r="E20" s="208"/>
      <c r="F20" s="212">
        <f>+F18</f>
        <v>300000000</v>
      </c>
      <c r="G20" s="226">
        <f t="shared" si="3"/>
        <v>1.37</v>
      </c>
      <c r="H20" s="212">
        <f t="shared" si="4"/>
        <v>4110000.0000000005</v>
      </c>
      <c r="I20" s="209"/>
      <c r="J20" s="214">
        <f t="shared" si="2"/>
        <v>1.3700000000000002E-2</v>
      </c>
      <c r="K20" s="186"/>
    </row>
    <row r="21" spans="1:11" ht="13.5" customHeight="1" x14ac:dyDescent="0.25">
      <c r="A21" s="228"/>
      <c r="B21" s="229" t="s">
        <v>268</v>
      </c>
      <c r="C21" s="207" t="s">
        <v>257</v>
      </c>
      <c r="D21" s="213">
        <v>0.01</v>
      </c>
      <c r="E21" s="230"/>
      <c r="F21" s="212">
        <f>+F19</f>
        <v>300000000</v>
      </c>
      <c r="G21" s="226">
        <f t="shared" si="3"/>
        <v>1.37</v>
      </c>
      <c r="H21" s="212">
        <f t="shared" si="4"/>
        <v>4110000.0000000005</v>
      </c>
      <c r="I21" s="209"/>
      <c r="J21" s="214">
        <f t="shared" si="2"/>
        <v>1.3700000000000002E-2</v>
      </c>
      <c r="K21" s="186"/>
    </row>
    <row r="22" spans="1:11" ht="13.5" customHeight="1" x14ac:dyDescent="0.25">
      <c r="A22" s="228"/>
      <c r="B22" s="229" t="s">
        <v>269</v>
      </c>
      <c r="C22" s="207" t="s">
        <v>257</v>
      </c>
      <c r="D22" s="213">
        <v>0.04</v>
      </c>
      <c r="E22" s="230"/>
      <c r="F22" s="212">
        <f>+F19</f>
        <v>300000000</v>
      </c>
      <c r="G22" s="226">
        <f t="shared" si="3"/>
        <v>1.37</v>
      </c>
      <c r="H22" s="212">
        <f t="shared" si="4"/>
        <v>16440000.000000002</v>
      </c>
      <c r="I22" s="209"/>
      <c r="J22" s="214">
        <f t="shared" si="2"/>
        <v>5.4800000000000008E-2</v>
      </c>
      <c r="K22" s="186"/>
    </row>
    <row r="23" spans="1:11" ht="13.5" customHeight="1" x14ac:dyDescent="0.25">
      <c r="A23" s="228"/>
      <c r="B23" s="229" t="s">
        <v>270</v>
      </c>
      <c r="C23" s="207" t="s">
        <v>257</v>
      </c>
      <c r="D23" s="213">
        <v>1.4999999999999999E-2</v>
      </c>
      <c r="E23" s="230"/>
      <c r="F23" s="212">
        <f>+F20</f>
        <v>300000000</v>
      </c>
      <c r="G23" s="226">
        <f t="shared" si="3"/>
        <v>1.37</v>
      </c>
      <c r="H23" s="212">
        <f t="shared" si="4"/>
        <v>6165000.0000000009</v>
      </c>
      <c r="I23" s="209"/>
      <c r="J23" s="214">
        <f t="shared" si="2"/>
        <v>2.0550000000000002E-2</v>
      </c>
      <c r="K23" s="186"/>
    </row>
    <row r="24" spans="1:11" ht="13.5" customHeight="1" x14ac:dyDescent="0.25">
      <c r="A24" s="231"/>
      <c r="B24" s="58" t="s">
        <v>271</v>
      </c>
      <c r="C24" s="207" t="s">
        <v>257</v>
      </c>
      <c r="D24" s="213">
        <v>7.0000000000000001E-3</v>
      </c>
      <c r="E24" s="208"/>
      <c r="F24" s="212">
        <f>+F18</f>
        <v>300000000</v>
      </c>
      <c r="G24" s="226">
        <f t="shared" si="3"/>
        <v>1.37</v>
      </c>
      <c r="H24" s="212">
        <f t="shared" si="4"/>
        <v>2877000</v>
      </c>
      <c r="I24" s="209"/>
      <c r="J24" s="213">
        <f>+H24/$F$4</f>
        <v>9.5899999999999996E-3</v>
      </c>
      <c r="K24" s="186"/>
    </row>
    <row r="25" spans="1:11" ht="13.5" customHeight="1" thickBot="1" x14ac:dyDescent="0.3">
      <c r="A25" s="232"/>
      <c r="B25" s="54" t="s">
        <v>272</v>
      </c>
      <c r="C25" s="233" t="s">
        <v>257</v>
      </c>
      <c r="D25" s="234">
        <v>5.0000000000000001E-3</v>
      </c>
      <c r="E25" s="235"/>
      <c r="F25" s="236">
        <f>+F20</f>
        <v>300000000</v>
      </c>
      <c r="G25" s="237">
        <f t="shared" si="3"/>
        <v>1.37</v>
      </c>
      <c r="H25" s="212">
        <f t="shared" si="4"/>
        <v>2055000.0000000002</v>
      </c>
      <c r="I25" s="238"/>
      <c r="J25" s="239">
        <f t="shared" si="2"/>
        <v>6.8500000000000011E-3</v>
      </c>
      <c r="K25" s="240">
        <f>+'PRESUPUESTO OFICIAL'!F55</f>
        <v>300000000</v>
      </c>
    </row>
    <row r="26" spans="1:11" ht="13.5" customHeight="1" thickBot="1" x14ac:dyDescent="0.3">
      <c r="A26" s="241"/>
      <c r="B26" s="242" t="s">
        <v>273</v>
      </c>
      <c r="C26" s="243"/>
      <c r="D26" s="244"/>
      <c r="E26" s="245"/>
      <c r="F26" s="246"/>
      <c r="G26" s="247"/>
      <c r="H26" s="248"/>
      <c r="I26" s="249">
        <f>+I10+I17</f>
        <v>94888041.557000011</v>
      </c>
      <c r="J26" s="250">
        <f>+ROUND((I26/F4),2)</f>
        <v>0.32</v>
      </c>
      <c r="K26" s="251">
        <f>K25*32%</f>
        <v>96000000</v>
      </c>
    </row>
    <row r="27" spans="1:11" ht="13.5" customHeight="1" thickBot="1" x14ac:dyDescent="0.3">
      <c r="A27" s="252"/>
      <c r="B27" s="253" t="s">
        <v>18</v>
      </c>
      <c r="C27" s="254"/>
      <c r="D27" s="255"/>
      <c r="E27" s="255"/>
      <c r="F27" s="256"/>
      <c r="G27" s="257"/>
      <c r="H27" s="256"/>
      <c r="I27" s="258"/>
      <c r="J27" s="259">
        <v>0</v>
      </c>
      <c r="K27" s="186"/>
    </row>
    <row r="28" spans="1:11" ht="13.5" customHeight="1" thickBot="1" x14ac:dyDescent="0.3">
      <c r="A28" s="252"/>
      <c r="B28" s="253" t="s">
        <v>19</v>
      </c>
      <c r="C28" s="254"/>
      <c r="D28" s="255"/>
      <c r="E28" s="255"/>
      <c r="F28" s="256"/>
      <c r="G28" s="257"/>
      <c r="H28" s="256"/>
      <c r="I28" s="258"/>
      <c r="J28" s="259">
        <v>0.05</v>
      </c>
      <c r="K28" s="186"/>
    </row>
    <row r="29" spans="1:11" ht="13.5" customHeight="1" thickBot="1" x14ac:dyDescent="0.3">
      <c r="A29" s="260"/>
      <c r="B29" s="261" t="s">
        <v>274</v>
      </c>
      <c r="C29" s="262"/>
      <c r="D29" s="263"/>
      <c r="E29" s="263"/>
      <c r="F29" s="264"/>
      <c r="G29" s="265"/>
      <c r="H29" s="264"/>
      <c r="I29" s="266"/>
      <c r="J29" s="267">
        <f>SUM(J26:J28)</f>
        <v>0.37</v>
      </c>
      <c r="K29" s="186"/>
    </row>
    <row r="30" spans="1:11" ht="13.5" customHeight="1" x14ac:dyDescent="0.25">
      <c r="A30" s="268"/>
      <c r="B30" s="269"/>
      <c r="C30" s="268"/>
      <c r="D30" s="268"/>
      <c r="E30" s="268"/>
      <c r="F30" s="270"/>
      <c r="G30" s="186"/>
      <c r="H30" s="186"/>
      <c r="I30" s="271"/>
      <c r="J30" s="186"/>
      <c r="K30" s="186"/>
    </row>
    <row r="31" spans="1:11" ht="13.5" customHeight="1" x14ac:dyDescent="0.25">
      <c r="A31" s="268"/>
      <c r="B31" s="269"/>
      <c r="C31" s="268"/>
      <c r="D31" s="268"/>
      <c r="E31" s="268"/>
      <c r="F31" s="270"/>
      <c r="G31" s="186"/>
      <c r="H31" s="186"/>
      <c r="I31" s="272"/>
      <c r="J31" s="186"/>
      <c r="K31" s="186"/>
    </row>
    <row r="32" spans="1:11" ht="13.5" customHeight="1" x14ac:dyDescent="0.25">
      <c r="A32" s="268"/>
      <c r="B32" s="269"/>
      <c r="C32" s="268"/>
      <c r="D32" s="268"/>
      <c r="E32" s="268"/>
      <c r="F32" s="270"/>
      <c r="G32" s="186"/>
      <c r="H32" s="186"/>
      <c r="I32" s="186"/>
      <c r="J32" s="186"/>
      <c r="K32" s="186"/>
    </row>
    <row r="33" spans="1:11" ht="13.5" customHeight="1" x14ac:dyDescent="0.25">
      <c r="A33" s="268"/>
      <c r="B33" s="269"/>
      <c r="C33" s="268"/>
      <c r="D33" s="268"/>
      <c r="E33" s="268"/>
      <c r="F33" s="270"/>
      <c r="G33" s="186"/>
      <c r="H33" s="186"/>
      <c r="I33" s="186"/>
      <c r="J33" s="186"/>
      <c r="K33" s="186"/>
    </row>
    <row r="34" spans="1:11" ht="13.5" customHeight="1" x14ac:dyDescent="0.25">
      <c r="A34" s="268"/>
      <c r="B34" s="269"/>
      <c r="C34" s="268"/>
      <c r="D34" s="268"/>
      <c r="E34" s="268"/>
      <c r="F34" s="273"/>
      <c r="G34" s="186"/>
      <c r="H34" s="186"/>
      <c r="I34" s="186"/>
      <c r="J34" s="186"/>
      <c r="K34" s="186"/>
    </row>
    <row r="35" spans="1:11" ht="13.5" customHeight="1" x14ac:dyDescent="0.25">
      <c r="A35" s="274"/>
      <c r="B35" s="70"/>
      <c r="C35" s="72"/>
      <c r="D35" s="73"/>
      <c r="E35" s="73"/>
      <c r="F35" s="274"/>
      <c r="G35" s="275"/>
      <c r="H35" s="276"/>
      <c r="I35" s="277"/>
      <c r="J35" s="277"/>
      <c r="K35" s="277"/>
    </row>
    <row r="36" spans="1:11" ht="14.25" x14ac:dyDescent="0.25">
      <c r="A36" s="274"/>
      <c r="B36" s="63"/>
      <c r="F36" s="274"/>
      <c r="G36" s="274"/>
      <c r="H36" s="277"/>
      <c r="I36" s="277"/>
      <c r="J36" s="277"/>
      <c r="K36" s="277"/>
    </row>
    <row r="37" spans="1:11" ht="14.25" x14ac:dyDescent="0.25">
      <c r="A37" s="274"/>
      <c r="B37" s="63"/>
      <c r="F37" s="274"/>
      <c r="G37" s="274"/>
      <c r="H37" s="277"/>
      <c r="I37" s="277"/>
      <c r="J37" s="277"/>
      <c r="K37" s="277"/>
    </row>
    <row r="38" spans="1:11" ht="13.5" customHeight="1" x14ac:dyDescent="0.25">
      <c r="A38" s="274"/>
      <c r="B38" s="278"/>
      <c r="F38" s="274"/>
      <c r="G38" s="274"/>
      <c r="H38" s="277"/>
      <c r="I38" s="277"/>
      <c r="J38" s="277"/>
      <c r="K38" s="277"/>
    </row>
    <row r="39" spans="1:11" ht="13.5" customHeight="1" x14ac:dyDescent="0.25">
      <c r="A39" s="268"/>
      <c r="B39" s="269"/>
      <c r="C39" s="268"/>
      <c r="D39" s="268"/>
      <c r="E39" s="268"/>
      <c r="F39" s="270"/>
      <c r="G39" s="186"/>
      <c r="H39" s="186"/>
      <c r="I39" s="186"/>
      <c r="J39" s="186"/>
      <c r="K39" s="186"/>
    </row>
    <row r="40" spans="1:11" ht="13.5" customHeight="1" x14ac:dyDescent="0.25">
      <c r="A40" s="268"/>
      <c r="B40" s="269"/>
      <c r="C40" s="268"/>
      <c r="D40" s="268"/>
      <c r="E40" s="268"/>
      <c r="F40" s="270"/>
      <c r="G40" s="186"/>
      <c r="H40" s="186"/>
      <c r="I40" s="186"/>
      <c r="J40" s="186"/>
      <c r="K40" s="186"/>
    </row>
    <row r="41" spans="1:11" ht="13.5" customHeight="1" x14ac:dyDescent="0.25">
      <c r="A41" s="268"/>
      <c r="B41" s="269"/>
      <c r="C41" s="268"/>
      <c r="D41" s="268"/>
      <c r="E41" s="268"/>
      <c r="F41" s="270"/>
      <c r="G41" s="186"/>
      <c r="H41" s="186"/>
      <c r="I41" s="186"/>
      <c r="J41" s="186"/>
      <c r="K41" s="186"/>
    </row>
    <row r="42" spans="1:11" ht="13.5" customHeight="1" x14ac:dyDescent="0.25">
      <c r="A42" s="268"/>
      <c r="B42" s="269"/>
      <c r="C42" s="268"/>
      <c r="D42" s="268"/>
      <c r="E42" s="268"/>
      <c r="F42" s="270"/>
      <c r="G42" s="186"/>
      <c r="H42" s="186"/>
      <c r="I42" s="279"/>
      <c r="J42" s="186"/>
      <c r="K42" s="186"/>
    </row>
    <row r="43" spans="1:11" ht="13.5" customHeight="1" x14ac:dyDescent="0.25">
      <c r="A43" s="268"/>
      <c r="B43" s="269"/>
      <c r="C43" s="268"/>
      <c r="D43" s="268"/>
      <c r="E43" s="268"/>
      <c r="F43" s="270"/>
      <c r="G43" s="186"/>
      <c r="H43" s="186"/>
      <c r="I43" s="186"/>
      <c r="J43" s="186"/>
      <c r="K43" s="186"/>
    </row>
    <row r="44" spans="1:11" ht="13.5" customHeight="1" x14ac:dyDescent="0.25">
      <c r="A44" s="268"/>
      <c r="B44" s="269"/>
      <c r="C44" s="268"/>
      <c r="D44" s="268"/>
      <c r="F44" s="270"/>
      <c r="G44" s="186"/>
      <c r="H44" s="186"/>
      <c r="I44" s="280"/>
      <c r="J44" s="186"/>
      <c r="K44" s="186"/>
    </row>
    <row r="45" spans="1:11" ht="13.5" customHeight="1" x14ac:dyDescent="0.25">
      <c r="A45" s="268"/>
      <c r="B45" s="269"/>
      <c r="C45" s="268"/>
      <c r="D45" s="268"/>
      <c r="E45" s="268"/>
      <c r="F45" s="270"/>
      <c r="G45" s="186"/>
      <c r="H45" s="186"/>
      <c r="I45" s="281"/>
      <c r="J45" s="186"/>
      <c r="K45" s="186"/>
    </row>
    <row r="46" spans="1:11" ht="13.5" customHeight="1" x14ac:dyDescent="0.25">
      <c r="A46" s="268"/>
      <c r="B46" s="269"/>
      <c r="C46" s="268"/>
      <c r="D46" s="268"/>
      <c r="E46" s="268"/>
      <c r="F46" s="270"/>
      <c r="G46" s="186"/>
      <c r="H46" s="186"/>
      <c r="I46" s="186"/>
      <c r="J46" s="186"/>
      <c r="K46" s="186"/>
    </row>
    <row r="47" spans="1:11" ht="13.5" customHeight="1" x14ac:dyDescent="0.25">
      <c r="A47" s="268"/>
      <c r="B47" s="269"/>
      <c r="C47" s="268"/>
      <c r="D47" s="268"/>
      <c r="E47" s="268"/>
      <c r="F47" s="270"/>
      <c r="G47" s="186"/>
      <c r="H47" s="186"/>
      <c r="I47" s="281"/>
      <c r="J47" s="282"/>
      <c r="K47" s="186"/>
    </row>
    <row r="48" spans="1:11" ht="13.5" customHeight="1" x14ac:dyDescent="0.25">
      <c r="A48" s="268"/>
      <c r="B48" s="269"/>
      <c r="C48" s="268"/>
      <c r="D48" s="268"/>
      <c r="E48" s="268"/>
      <c r="F48" s="270"/>
      <c r="G48" s="186"/>
      <c r="H48" s="186"/>
      <c r="I48" s="281"/>
      <c r="J48" s="282"/>
      <c r="K48" s="186"/>
    </row>
    <row r="49" spans="9:11" ht="13.5" customHeight="1" x14ac:dyDescent="0.25">
      <c r="I49" s="281"/>
      <c r="J49" s="282"/>
      <c r="K49" s="186"/>
    </row>
    <row r="50" spans="9:11" ht="13.5" customHeight="1" x14ac:dyDescent="0.25">
      <c r="I50" s="281"/>
      <c r="J50" s="282"/>
      <c r="K50" s="186"/>
    </row>
    <row r="51" spans="9:11" ht="13.5" customHeight="1" x14ac:dyDescent="0.25">
      <c r="I51" s="281"/>
      <c r="J51" s="282"/>
      <c r="K51" s="186"/>
    </row>
    <row r="52" spans="9:11" ht="13.5" customHeight="1" x14ac:dyDescent="0.25">
      <c r="I52" s="281"/>
      <c r="J52" s="282"/>
      <c r="K52" s="186"/>
    </row>
    <row r="53" spans="9:11" ht="13.5" customHeight="1" x14ac:dyDescent="0.25">
      <c r="I53" s="281"/>
      <c r="J53" s="282"/>
      <c r="K53" s="186"/>
    </row>
    <row r="54" spans="9:11" ht="13.5" customHeight="1" x14ac:dyDescent="0.25">
      <c r="I54" s="281"/>
      <c r="J54" s="282"/>
      <c r="K54" s="186"/>
    </row>
  </sheetData>
  <mergeCells count="4">
    <mergeCell ref="A1:J1"/>
    <mergeCell ref="B2:J2"/>
    <mergeCell ref="A4:D4"/>
    <mergeCell ref="A5:D5"/>
  </mergeCells>
  <pageMargins left="0.51181102362204722" right="0.51181102362204722" top="0.55118110236220474" bottom="0.55118110236220474" header="0" footer="0"/>
  <pageSetup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1363D-9711-42C5-BA16-6204788035C2}">
  <sheetPr codeName="Hoja3">
    <pageSetUpPr fitToPage="1"/>
  </sheetPr>
  <dimension ref="A1:I41"/>
  <sheetViews>
    <sheetView view="pageBreakPreview" topLeftCell="A31" zoomScale="85" zoomScaleNormal="100" zoomScaleSheetLayoutView="85" workbookViewId="0">
      <selection activeCell="C54" sqref="C54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8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1.1000000000000001</v>
      </c>
    </row>
    <row r="5" spans="1:8" ht="14.45" customHeight="1" x14ac:dyDescent="0.25">
      <c r="A5" s="114" t="s">
        <v>211</v>
      </c>
      <c r="B5" s="524" t="str">
        <f>VLOOKUP(H4,'PRESUPUESTO OFICIAL'!A:F,2,0)</f>
        <v>LOCALIZACIÓN Y REPLANTEO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6.5" thickTop="1" x14ac:dyDescent="0.25">
      <c r="A8" s="506" t="s">
        <v>345</v>
      </c>
      <c r="B8" s="507"/>
      <c r="C8" s="508"/>
      <c r="D8" s="120"/>
      <c r="E8" s="121"/>
      <c r="F8" s="122"/>
      <c r="G8" s="123">
        <f>+H29*0.05</f>
        <v>163.86917525000001</v>
      </c>
      <c r="H8" s="504"/>
    </row>
    <row r="9" spans="1:8" ht="15.75" x14ac:dyDescent="0.25">
      <c r="A9" s="509"/>
      <c r="B9" s="510"/>
      <c r="C9" s="511"/>
      <c r="D9" s="124"/>
      <c r="E9" s="121"/>
      <c r="F9" s="122"/>
      <c r="G9" s="123"/>
      <c r="H9" s="504"/>
    </row>
    <row r="10" spans="1:8" ht="13.5" thickBot="1" x14ac:dyDescent="0.3">
      <c r="A10" s="512"/>
      <c r="B10" s="513"/>
      <c r="C10" s="514"/>
      <c r="D10" s="125"/>
      <c r="E10" s="126"/>
      <c r="F10" s="126"/>
      <c r="G10" s="12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163.86917525000001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3.5" thickTop="1" x14ac:dyDescent="0.25">
      <c r="A14" s="500" t="s">
        <v>346</v>
      </c>
      <c r="B14" s="501"/>
      <c r="C14" s="502"/>
      <c r="D14" s="133" t="s">
        <v>347</v>
      </c>
      <c r="E14" s="297">
        <f>+'BASE DE DATOS'!D38</f>
        <v>12151</v>
      </c>
      <c r="F14" s="134">
        <v>0.02</v>
      </c>
      <c r="G14" s="300">
        <f t="shared" ref="G14:G15" si="0">+F14*E14</f>
        <v>243.02</v>
      </c>
      <c r="H14" s="135"/>
    </row>
    <row r="15" spans="1:8" ht="12.75" x14ac:dyDescent="0.25">
      <c r="A15" s="525" t="s">
        <v>348</v>
      </c>
      <c r="B15" s="526"/>
      <c r="C15" s="527"/>
      <c r="D15" s="136" t="s">
        <v>15</v>
      </c>
      <c r="E15" s="298">
        <f>+'BASE DE DATOS'!D36</f>
        <v>4760</v>
      </c>
      <c r="F15" s="137">
        <v>0.4</v>
      </c>
      <c r="G15" s="301">
        <f t="shared" si="0"/>
        <v>1904</v>
      </c>
      <c r="H15" s="135"/>
    </row>
    <row r="16" spans="1:8" ht="13.5" thickBot="1" x14ac:dyDescent="0.3">
      <c r="A16" s="512"/>
      <c r="B16" s="513"/>
      <c r="C16" s="514"/>
      <c r="D16" s="138"/>
      <c r="E16" s="299"/>
      <c r="F16" s="126"/>
      <c r="G16" s="302"/>
      <c r="H16" s="139"/>
    </row>
    <row r="17" spans="1:9" ht="14.25" thickTop="1" thickBot="1" x14ac:dyDescent="0.3">
      <c r="A17" s="496"/>
      <c r="B17" s="486"/>
      <c r="C17" s="486"/>
      <c r="D17" s="129"/>
      <c r="E17" s="129"/>
      <c r="F17" s="130"/>
      <c r="G17" s="130" t="s">
        <v>218</v>
      </c>
      <c r="H17" s="131">
        <f>SUM(G14:G16)</f>
        <v>2147.02</v>
      </c>
    </row>
    <row r="18" spans="1:9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9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9" ht="15.75" x14ac:dyDescent="0.25">
      <c r="A20" s="531"/>
      <c r="B20" s="511"/>
      <c r="C20" s="142"/>
      <c r="D20" s="122"/>
      <c r="E20" s="142"/>
      <c r="F20" s="143"/>
      <c r="G20" s="144"/>
      <c r="H20" s="529"/>
    </row>
    <row r="21" spans="1:9" ht="12.75" x14ac:dyDescent="0.25">
      <c r="A21" s="532"/>
      <c r="B21" s="510"/>
      <c r="C21" s="145"/>
      <c r="D21" s="146"/>
      <c r="E21" s="146"/>
      <c r="F21" s="120"/>
      <c r="G21" s="147"/>
      <c r="H21" s="529"/>
    </row>
    <row r="22" spans="1:9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9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0</v>
      </c>
    </row>
    <row r="24" spans="1:9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9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9" ht="13.5" thickTop="1" x14ac:dyDescent="0.25">
      <c r="A26" s="506" t="s">
        <v>241</v>
      </c>
      <c r="B26" s="538"/>
      <c r="C26" s="154">
        <f>+'ANALISIS M.O'!$F$29*2</f>
        <v>116728</v>
      </c>
      <c r="D26" s="153">
        <f>+'ANALISIS M.O'!$C$26</f>
        <v>1.7733000000000001</v>
      </c>
      <c r="E26" s="143">
        <f t="shared" ref="E26:E27" si="1">+D26*C26</f>
        <v>206993.76240000001</v>
      </c>
      <c r="F26" s="155">
        <v>120</v>
      </c>
      <c r="G26" s="144">
        <f t="shared" ref="G26:G27" si="2">+E26/F26</f>
        <v>1724.94802</v>
      </c>
      <c r="H26" s="504"/>
    </row>
    <row r="27" spans="1:9" ht="12.75" x14ac:dyDescent="0.25">
      <c r="A27" s="531" t="s">
        <v>242</v>
      </c>
      <c r="B27" s="537"/>
      <c r="C27" s="143">
        <f>+'ANALISIS M.O'!$F$31</f>
        <v>105054</v>
      </c>
      <c r="D27" s="153">
        <f>+'ANALISIS M.O'!$C$26</f>
        <v>1.7733000000000001</v>
      </c>
      <c r="E27" s="143">
        <f t="shared" si="1"/>
        <v>186292.25820000001</v>
      </c>
      <c r="F27" s="155">
        <v>120</v>
      </c>
      <c r="G27" s="144">
        <f t="shared" si="2"/>
        <v>1552.4354850000002</v>
      </c>
      <c r="H27" s="504"/>
    </row>
    <row r="28" spans="1:9" ht="13.5" thickBot="1" x14ac:dyDescent="0.3">
      <c r="A28" s="512"/>
      <c r="B28" s="514"/>
      <c r="C28" s="156"/>
      <c r="D28" s="157"/>
      <c r="E28" s="149"/>
      <c r="F28" s="126"/>
      <c r="G28" s="158"/>
      <c r="H28" s="505"/>
    </row>
    <row r="29" spans="1:9" ht="14.25" thickTop="1" thickBot="1" x14ac:dyDescent="0.3">
      <c r="A29" s="496"/>
      <c r="B29" s="486"/>
      <c r="C29" s="150"/>
      <c r="D29" s="129"/>
      <c r="E29" s="159"/>
      <c r="F29" s="130"/>
      <c r="G29" s="130" t="s">
        <v>218</v>
      </c>
      <c r="H29" s="131">
        <f>SUM(G26:G28)</f>
        <v>3277.3835050000002</v>
      </c>
    </row>
    <row r="30" spans="1:9" ht="14.25" thickTop="1" thickBot="1" x14ac:dyDescent="0.3">
      <c r="A30" s="160"/>
      <c r="B30" s="160"/>
      <c r="C30" s="150"/>
      <c r="D30" s="129"/>
      <c r="E30" s="159"/>
      <c r="F30" s="161"/>
      <c r="G30" s="150"/>
      <c r="H30" s="162"/>
    </row>
    <row r="31" spans="1:9" ht="14.25" thickTop="1" thickBot="1" x14ac:dyDescent="0.3">
      <c r="A31" s="160"/>
      <c r="B31" s="112"/>
      <c r="C31" s="112"/>
      <c r="D31" s="112"/>
      <c r="E31" s="539" t="s">
        <v>233</v>
      </c>
      <c r="F31" s="486"/>
      <c r="G31" s="486"/>
      <c r="H31" s="131">
        <f>ROUND((+H11+H17+H23+H29),4)</f>
        <v>5588.2727000000004</v>
      </c>
      <c r="I31" s="163"/>
    </row>
    <row r="32" spans="1:9" ht="13.5" thickTop="1" x14ac:dyDescent="0.25">
      <c r="A32" s="160"/>
      <c r="B32" s="160"/>
      <c r="C32" s="160"/>
      <c r="D32" s="113"/>
      <c r="E32" s="113"/>
      <c r="F32" s="113"/>
      <c r="G32" s="113"/>
      <c r="H32" s="164"/>
    </row>
    <row r="33" spans="1:8" ht="13.5" thickBot="1" x14ac:dyDescent="0.3">
      <c r="A33" s="112" t="s">
        <v>234</v>
      </c>
      <c r="B33" s="112"/>
      <c r="C33" s="112"/>
      <c r="D33" s="112"/>
      <c r="E33" s="112"/>
      <c r="F33" s="113"/>
      <c r="G33" s="113"/>
      <c r="H33" s="112"/>
    </row>
    <row r="34" spans="1:8" ht="13.5" thickTop="1" x14ac:dyDescent="0.25">
      <c r="A34" s="540" t="s">
        <v>26</v>
      </c>
      <c r="B34" s="541"/>
      <c r="C34" s="542"/>
      <c r="D34" s="165" t="s">
        <v>235</v>
      </c>
      <c r="E34" s="165" t="s">
        <v>215</v>
      </c>
      <c r="F34" s="165" t="s">
        <v>216</v>
      </c>
      <c r="G34" s="166" t="s">
        <v>217</v>
      </c>
      <c r="H34" s="528"/>
    </row>
    <row r="35" spans="1:8" ht="15.75" x14ac:dyDescent="0.25">
      <c r="A35" s="534" t="s">
        <v>236</v>
      </c>
      <c r="B35" s="535"/>
      <c r="C35" s="535"/>
      <c r="D35" s="167">
        <f>+'PRESUPUESTO OFICIAL'!E57</f>
        <v>0.32</v>
      </c>
      <c r="E35" s="168"/>
      <c r="F35" s="169"/>
      <c r="G35" s="170">
        <f>$H$31*D35</f>
        <v>1788.2472640000001</v>
      </c>
      <c r="H35" s="529"/>
    </row>
    <row r="36" spans="1:8" ht="13.5" thickBot="1" x14ac:dyDescent="0.3">
      <c r="A36" s="534" t="s">
        <v>237</v>
      </c>
      <c r="B36" s="536"/>
      <c r="C36" s="536"/>
      <c r="D36" s="167">
        <v>0.05</v>
      </c>
      <c r="E36" s="171"/>
      <c r="F36" s="171"/>
      <c r="G36" s="170">
        <f t="shared" ref="G36" si="3">$H$31*D36</f>
        <v>279.41363500000006</v>
      </c>
      <c r="H36" s="529"/>
    </row>
    <row r="37" spans="1:8" ht="14.25" thickTop="1" thickBot="1" x14ac:dyDescent="0.3">
      <c r="A37" s="496"/>
      <c r="B37" s="486"/>
      <c r="C37" s="486"/>
      <c r="D37" s="128"/>
      <c r="E37" s="129"/>
      <c r="F37" s="130"/>
      <c r="G37" s="130" t="s">
        <v>218</v>
      </c>
      <c r="H37" s="131">
        <f>SUM(G35:G36)</f>
        <v>2067.660899</v>
      </c>
    </row>
    <row r="38" spans="1:8" ht="9.75" customHeight="1" thickTop="1" x14ac:dyDescent="0.25">
      <c r="A38" s="160"/>
      <c r="B38" s="160"/>
      <c r="C38" s="160"/>
      <c r="D38" s="160"/>
      <c r="E38" s="160"/>
      <c r="F38" s="172"/>
      <c r="G38" s="172"/>
      <c r="H38" s="160"/>
    </row>
    <row r="39" spans="1:8" ht="9.75" customHeight="1" thickBot="1" x14ac:dyDescent="0.3">
      <c r="A39" s="160"/>
      <c r="B39" s="160"/>
      <c r="C39" s="160"/>
      <c r="D39" s="160"/>
      <c r="E39" s="160"/>
      <c r="F39" s="172"/>
      <c r="G39" s="172"/>
      <c r="H39" s="160"/>
    </row>
    <row r="40" spans="1:8" ht="14.25" thickTop="1" thickBot="1" x14ac:dyDescent="0.3">
      <c r="A40" s="160"/>
      <c r="B40" s="112"/>
      <c r="C40" s="112"/>
      <c r="D40" s="112"/>
      <c r="E40" s="539" t="s">
        <v>238</v>
      </c>
      <c r="F40" s="486"/>
      <c r="G40" s="486"/>
      <c r="H40" s="131">
        <f>ROUND(H37+H31,0)</f>
        <v>7656</v>
      </c>
    </row>
    <row r="41" spans="1:8" ht="9.75" customHeight="1" thickTop="1" x14ac:dyDescent="0.25">
      <c r="A41" s="160"/>
      <c r="B41" s="160"/>
      <c r="C41" s="160"/>
      <c r="D41" s="160"/>
      <c r="E41" s="160"/>
      <c r="F41" s="172"/>
      <c r="G41" s="172"/>
      <c r="H41" s="160"/>
    </row>
  </sheetData>
  <mergeCells count="35">
    <mergeCell ref="A23:B23"/>
    <mergeCell ref="A37:C37"/>
    <mergeCell ref="E40:G40"/>
    <mergeCell ref="A29:B29"/>
    <mergeCell ref="E31:G31"/>
    <mergeCell ref="A34:C34"/>
    <mergeCell ref="H34:H36"/>
    <mergeCell ref="A35:C35"/>
    <mergeCell ref="A36:C36"/>
    <mergeCell ref="A25:B25"/>
    <mergeCell ref="H25:H28"/>
    <mergeCell ref="A27:B27"/>
    <mergeCell ref="A28:B28"/>
    <mergeCell ref="A26:B26"/>
    <mergeCell ref="A15:C15"/>
    <mergeCell ref="A16:C16"/>
    <mergeCell ref="H19:H22"/>
    <mergeCell ref="A20:B20"/>
    <mergeCell ref="A21:B21"/>
    <mergeCell ref="A22:B22"/>
    <mergeCell ref="A17:C17"/>
    <mergeCell ref="A19:B19"/>
    <mergeCell ref="A1:H1"/>
    <mergeCell ref="A2:D2"/>
    <mergeCell ref="E2:H2"/>
    <mergeCell ref="B4:F4"/>
    <mergeCell ref="B5:F5"/>
    <mergeCell ref="A11:C11"/>
    <mergeCell ref="A13:C13"/>
    <mergeCell ref="A14:C14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39B97-BA02-4C47-8A89-51E4A1489B18}">
  <sheetPr codeName="Hoja4">
    <pageSetUpPr fitToPage="1"/>
  </sheetPr>
  <dimension ref="A1:H43"/>
  <sheetViews>
    <sheetView view="pageBreakPreview" zoomScale="85" zoomScaleNormal="100" zoomScaleSheetLayoutView="85" workbookViewId="0">
      <selection activeCell="E15" sqref="E15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8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10.85546875" style="49" bestFit="1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1.2</v>
      </c>
    </row>
    <row r="5" spans="1:8" ht="29.45" customHeight="1" x14ac:dyDescent="0.25">
      <c r="A5" s="114" t="s">
        <v>211</v>
      </c>
      <c r="B5" s="524" t="str">
        <f>VLOOKUP(H4,'PRESUPUESTO OFICIAL'!A:F,2,0)</f>
        <v>SUMINISTRO, TRANSPORTE E INSTALACIÓN DE VALLA INFORMATIVA GENERAL DEL PROYECTO  2x4MTS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UND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173">
        <f>+H31*0.05</f>
        <v>11398.918364820582</v>
      </c>
      <c r="H8" s="504"/>
    </row>
    <row r="9" spans="1:8" ht="15.75" x14ac:dyDescent="0.25">
      <c r="A9" s="509"/>
      <c r="B9" s="510"/>
      <c r="C9" s="511"/>
      <c r="D9" s="124"/>
      <c r="E9" s="121"/>
      <c r="F9" s="122"/>
      <c r="G9" s="123"/>
      <c r="H9" s="504"/>
    </row>
    <row r="10" spans="1:8" ht="13.5" thickBot="1" x14ac:dyDescent="0.3">
      <c r="A10" s="512"/>
      <c r="B10" s="513"/>
      <c r="C10" s="514"/>
      <c r="D10" s="125"/>
      <c r="E10" s="126"/>
      <c r="F10" s="126"/>
      <c r="G10" s="12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11398.918364820582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3.5" thickTop="1" x14ac:dyDescent="0.25">
      <c r="A14" s="506" t="str">
        <f>+'BASE DE DATOS'!A134</f>
        <v>VALLA INSTITUCIONAL 2x4</v>
      </c>
      <c r="B14" s="507"/>
      <c r="C14" s="508"/>
      <c r="D14" s="174" t="str">
        <f>+'BASE DE DATOS'!B134</f>
        <v>UN</v>
      </c>
      <c r="E14" s="175">
        <v>580000</v>
      </c>
      <c r="F14" s="176">
        <v>1</v>
      </c>
      <c r="G14" s="177">
        <f t="shared" ref="G14:G15" si="0">+F14*E14</f>
        <v>580000</v>
      </c>
      <c r="H14" s="135"/>
    </row>
    <row r="15" spans="1:8" ht="12.75" x14ac:dyDescent="0.25">
      <c r="A15" s="543" t="str">
        <f>+'BASE DE DATOS'!A127</f>
        <v>CEPA DE GUADUA</v>
      </c>
      <c r="B15" s="510"/>
      <c r="C15" s="511"/>
      <c r="D15" s="178" t="str">
        <f>+'BASE DE DATOS'!B127</f>
        <v>UN</v>
      </c>
      <c r="E15" s="175">
        <f>+'BASE DE DATOS'!D127</f>
        <v>15765</v>
      </c>
      <c r="F15" s="179">
        <v>2</v>
      </c>
      <c r="G15" s="177">
        <f t="shared" si="0"/>
        <v>31530</v>
      </c>
      <c r="H15" s="135"/>
    </row>
    <row r="16" spans="1:8" ht="13.5" thickBot="1" x14ac:dyDescent="0.3">
      <c r="A16" s="512"/>
      <c r="B16" s="513"/>
      <c r="C16" s="514"/>
      <c r="D16" s="138"/>
      <c r="E16" s="125"/>
      <c r="F16" s="126"/>
      <c r="G16" s="127"/>
      <c r="H16" s="139"/>
    </row>
    <row r="17" spans="1:8" ht="14.25" thickTop="1" thickBot="1" x14ac:dyDescent="0.3">
      <c r="A17" s="496"/>
      <c r="B17" s="486"/>
      <c r="C17" s="486"/>
      <c r="D17" s="129"/>
      <c r="E17" s="129"/>
      <c r="F17" s="130"/>
      <c r="G17" s="130" t="s">
        <v>218</v>
      </c>
      <c r="H17" s="131">
        <f>SUM(G14:G16)</f>
        <v>611530</v>
      </c>
    </row>
    <row r="18" spans="1:8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8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8" ht="15.75" x14ac:dyDescent="0.25">
      <c r="A20" s="531"/>
      <c r="B20" s="511"/>
      <c r="C20" s="142"/>
      <c r="D20" s="122"/>
      <c r="E20" s="142"/>
      <c r="F20" s="143"/>
      <c r="G20" s="144"/>
      <c r="H20" s="529"/>
    </row>
    <row r="21" spans="1:8" ht="12.75" x14ac:dyDescent="0.25">
      <c r="A21" s="532"/>
      <c r="B21" s="510"/>
      <c r="C21" s="145"/>
      <c r="D21" s="146"/>
      <c r="E21" s="146"/>
      <c r="F21" s="120"/>
      <c r="G21" s="147"/>
      <c r="H21" s="529"/>
    </row>
    <row r="22" spans="1:8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8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0</v>
      </c>
    </row>
    <row r="24" spans="1:8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8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8" ht="13.5" thickTop="1" x14ac:dyDescent="0.25">
      <c r="A26" s="531" t="s">
        <v>241</v>
      </c>
      <c r="B26" s="511"/>
      <c r="C26" s="154">
        <f>+'ANALISIS M.O'!$F$29*2</f>
        <v>116728</v>
      </c>
      <c r="D26" s="153">
        <f>+'ANALISIS M.O'!$C$26</f>
        <v>1.7733000000000001</v>
      </c>
      <c r="E26" s="143">
        <f t="shared" ref="E26:E27" si="1">+D26*C26</f>
        <v>206993.76240000001</v>
      </c>
      <c r="F26" s="180">
        <v>1.7251023650356248</v>
      </c>
      <c r="G26" s="181">
        <f t="shared" ref="G26:G27" si="2">+E26/F26</f>
        <v>119989.26359116401</v>
      </c>
      <c r="H26" s="504"/>
    </row>
    <row r="27" spans="1:8" ht="12.75" x14ac:dyDescent="0.25">
      <c r="A27" s="531" t="s">
        <v>242</v>
      </c>
      <c r="B27" s="511"/>
      <c r="C27" s="143">
        <f>+'ANALISIS M.O'!$F$31</f>
        <v>105054</v>
      </c>
      <c r="D27" s="153">
        <f>+'ANALISIS M.O'!$C$26</f>
        <v>1.7733000000000001</v>
      </c>
      <c r="E27" s="182">
        <f t="shared" si="1"/>
        <v>186292.25820000001</v>
      </c>
      <c r="F27" s="183">
        <f>+F26</f>
        <v>1.7251023650356248</v>
      </c>
      <c r="G27" s="181">
        <f t="shared" si="2"/>
        <v>107989.10370524762</v>
      </c>
      <c r="H27" s="504"/>
    </row>
    <row r="28" spans="1:8" ht="12.75" x14ac:dyDescent="0.25">
      <c r="A28" s="544"/>
      <c r="B28" s="511"/>
      <c r="C28" s="154"/>
      <c r="D28" s="153"/>
      <c r="E28" s="143"/>
      <c r="F28" s="155"/>
      <c r="G28" s="144"/>
      <c r="H28" s="504"/>
    </row>
    <row r="29" spans="1:8" ht="12.75" x14ac:dyDescent="0.25">
      <c r="A29" s="531"/>
      <c r="B29" s="511"/>
      <c r="C29" s="154"/>
      <c r="D29" s="153"/>
      <c r="E29" s="143"/>
      <c r="F29" s="155"/>
      <c r="G29" s="144"/>
      <c r="H29" s="504"/>
    </row>
    <row r="30" spans="1:8" ht="13.5" thickBot="1" x14ac:dyDescent="0.3">
      <c r="A30" s="512"/>
      <c r="B30" s="514"/>
      <c r="C30" s="156"/>
      <c r="D30" s="157"/>
      <c r="E30" s="149"/>
      <c r="F30" s="126"/>
      <c r="G30" s="158"/>
      <c r="H30" s="505"/>
    </row>
    <row r="31" spans="1:8" ht="14.25" thickTop="1" thickBot="1" x14ac:dyDescent="0.3">
      <c r="A31" s="496"/>
      <c r="B31" s="486"/>
      <c r="C31" s="150"/>
      <c r="D31" s="129"/>
      <c r="E31" s="159"/>
      <c r="F31" s="130"/>
      <c r="G31" s="130" t="s">
        <v>218</v>
      </c>
      <c r="H31" s="131">
        <f>SUM(G26:G30)</f>
        <v>227978.36729641163</v>
      </c>
    </row>
    <row r="32" spans="1:8" ht="14.25" thickTop="1" thickBot="1" x14ac:dyDescent="0.3">
      <c r="A32" s="160"/>
      <c r="B32" s="160"/>
      <c r="C32" s="150"/>
      <c r="D32" s="129"/>
      <c r="E32" s="159"/>
      <c r="F32" s="161"/>
      <c r="G32" s="150"/>
      <c r="H32" s="162"/>
    </row>
    <row r="33" spans="1:8" ht="14.25" thickTop="1" thickBot="1" x14ac:dyDescent="0.3">
      <c r="A33" s="160"/>
      <c r="B33" s="112"/>
      <c r="C33" s="112"/>
      <c r="D33" s="112"/>
      <c r="E33" s="539" t="s">
        <v>233</v>
      </c>
      <c r="F33" s="486"/>
      <c r="G33" s="486"/>
      <c r="H33" s="131">
        <f>ROUND((+H11+H17+H23+H31),4)</f>
        <v>850907.28570000001</v>
      </c>
    </row>
    <row r="34" spans="1:8" ht="13.5" thickTop="1" x14ac:dyDescent="0.25">
      <c r="A34" s="160"/>
      <c r="B34" s="160"/>
      <c r="C34" s="160"/>
      <c r="D34" s="113"/>
      <c r="E34" s="113"/>
      <c r="F34" s="113"/>
      <c r="G34" s="113"/>
      <c r="H34" s="164"/>
    </row>
    <row r="35" spans="1:8" ht="13.5" thickBot="1" x14ac:dyDescent="0.3">
      <c r="A35" s="112" t="s">
        <v>234</v>
      </c>
      <c r="B35" s="112"/>
      <c r="C35" s="112"/>
      <c r="D35" s="112"/>
      <c r="E35" s="112"/>
      <c r="F35" s="113"/>
      <c r="G35" s="113"/>
      <c r="H35" s="112"/>
    </row>
    <row r="36" spans="1:8" ht="13.5" thickTop="1" x14ac:dyDescent="0.25">
      <c r="A36" s="540" t="s">
        <v>26</v>
      </c>
      <c r="B36" s="541"/>
      <c r="C36" s="542"/>
      <c r="D36" s="165" t="s">
        <v>235</v>
      </c>
      <c r="E36" s="165" t="s">
        <v>215</v>
      </c>
      <c r="F36" s="165" t="s">
        <v>216</v>
      </c>
      <c r="G36" s="184" t="s">
        <v>217</v>
      </c>
      <c r="H36" s="503"/>
    </row>
    <row r="37" spans="1:8" ht="15.75" x14ac:dyDescent="0.25">
      <c r="A37" s="534" t="s">
        <v>236</v>
      </c>
      <c r="B37" s="535"/>
      <c r="C37" s="535"/>
      <c r="D37" s="167">
        <f>+'1.1 localizacion'!$D$35</f>
        <v>0.32</v>
      </c>
      <c r="E37" s="168"/>
      <c r="F37" s="169"/>
      <c r="G37" s="185">
        <f>$H$33*D37</f>
        <v>272290.33142400003</v>
      </c>
      <c r="H37" s="504"/>
    </row>
    <row r="38" spans="1:8" ht="13.5" thickBot="1" x14ac:dyDescent="0.3">
      <c r="A38" s="534" t="s">
        <v>237</v>
      </c>
      <c r="B38" s="536"/>
      <c r="C38" s="536"/>
      <c r="D38" s="167">
        <f>+'1.1 localizacion'!$D$36</f>
        <v>0.05</v>
      </c>
      <c r="E38" s="171"/>
      <c r="F38" s="171"/>
      <c r="G38" s="185">
        <f t="shared" ref="G38" si="3">$H$33*D38</f>
        <v>42545.364285000003</v>
      </c>
      <c r="H38" s="504"/>
    </row>
    <row r="39" spans="1:8" ht="14.25" thickTop="1" thickBot="1" x14ac:dyDescent="0.3">
      <c r="A39" s="496"/>
      <c r="B39" s="486"/>
      <c r="C39" s="486"/>
      <c r="D39" s="128"/>
      <c r="E39" s="129"/>
      <c r="F39" s="130"/>
      <c r="G39" s="130" t="s">
        <v>218</v>
      </c>
      <c r="H39" s="131">
        <f>SUM(G37:G38)</f>
        <v>314835.69570900005</v>
      </c>
    </row>
    <row r="40" spans="1:8" ht="9.75" customHeight="1" thickTop="1" x14ac:dyDescent="0.25">
      <c r="A40" s="160"/>
      <c r="B40" s="160"/>
      <c r="C40" s="160"/>
      <c r="D40" s="160"/>
      <c r="E40" s="160"/>
      <c r="F40" s="172"/>
      <c r="G40" s="172"/>
      <c r="H40" s="160"/>
    </row>
    <row r="41" spans="1:8" ht="9.75" customHeight="1" thickBot="1" x14ac:dyDescent="0.3">
      <c r="A41" s="160"/>
      <c r="B41" s="160"/>
      <c r="C41" s="160"/>
      <c r="D41" s="160"/>
      <c r="E41" s="160"/>
      <c r="F41" s="172"/>
      <c r="G41" s="172"/>
      <c r="H41" s="160"/>
    </row>
    <row r="42" spans="1:8" ht="14.25" thickTop="1" thickBot="1" x14ac:dyDescent="0.3">
      <c r="A42" s="160"/>
      <c r="B42" s="112"/>
      <c r="C42" s="112"/>
      <c r="D42" s="112"/>
      <c r="E42" s="539" t="s">
        <v>238</v>
      </c>
      <c r="F42" s="486"/>
      <c r="G42" s="486"/>
      <c r="H42" s="131">
        <f>ROUND(H39+H33,0)</f>
        <v>1165743</v>
      </c>
    </row>
    <row r="43" spans="1:8" ht="9.75" customHeight="1" thickTop="1" x14ac:dyDescent="0.25">
      <c r="A43" s="160"/>
      <c r="B43" s="160"/>
      <c r="C43" s="160"/>
      <c r="D43" s="160"/>
      <c r="E43" s="160"/>
      <c r="F43" s="172"/>
      <c r="G43" s="172"/>
      <c r="H43" s="160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CF31C-DC1B-4C08-B9D5-EA46E48DA276}">
  <sheetPr codeName="Hoja5">
    <pageSetUpPr fitToPage="1"/>
  </sheetPr>
  <dimension ref="A1:H43"/>
  <sheetViews>
    <sheetView view="pageBreakPreview" topLeftCell="A32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8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1.3</v>
      </c>
    </row>
    <row r="5" spans="1:8" ht="20.45" customHeight="1" x14ac:dyDescent="0.25">
      <c r="A5" s="114" t="s">
        <v>211</v>
      </c>
      <c r="B5" s="524" t="str">
        <f>VLOOKUP(H4,'PRESUPUESTO OFICIAL'!A:F,2,0)</f>
        <v>SUMINISTRO, TRANSPORTE E INSTALACIÓN DE SEÑAL PREVENTIVA, REGLAMENTARIA E INFORMATIVA</v>
      </c>
      <c r="C5" s="545"/>
      <c r="D5" s="545"/>
      <c r="E5" s="545"/>
      <c r="F5" s="545"/>
      <c r="G5" s="113" t="s">
        <v>212</v>
      </c>
      <c r="H5" s="117" t="str">
        <f>VLOOKUP(H4,'PRESUPUESTO OFICIAL'!A:F,3,0)</f>
        <v>UND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173">
        <f>+H31*0.05</f>
        <v>1573.1853971148769</v>
      </c>
      <c r="H8" s="504"/>
    </row>
    <row r="9" spans="1:8" ht="15.75" x14ac:dyDescent="0.25">
      <c r="A9" s="509"/>
      <c r="B9" s="510"/>
      <c r="C9" s="511"/>
      <c r="D9" s="124"/>
      <c r="E9" s="121"/>
      <c r="F9" s="122"/>
      <c r="G9" s="123"/>
      <c r="H9" s="504"/>
    </row>
    <row r="10" spans="1:8" ht="13.5" thickBot="1" x14ac:dyDescent="0.3">
      <c r="A10" s="512"/>
      <c r="B10" s="513"/>
      <c r="C10" s="514"/>
      <c r="D10" s="125"/>
      <c r="E10" s="126"/>
      <c r="F10" s="126"/>
      <c r="G10" s="12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1573.1853971148769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3.5" thickTop="1" x14ac:dyDescent="0.25">
      <c r="A14" s="506" t="str">
        <f>+'BASE DE DATOS'!A133</f>
        <v>SEÑAL PREVENTIVA</v>
      </c>
      <c r="B14" s="507"/>
      <c r="C14" s="508"/>
      <c r="D14" s="174" t="s">
        <v>25</v>
      </c>
      <c r="E14" s="175">
        <f>+'BASE DE DATOS'!D133</f>
        <v>169830</v>
      </c>
      <c r="F14" s="176">
        <v>1</v>
      </c>
      <c r="G14" s="177">
        <f t="shared" ref="G14" si="0">+F14*E14</f>
        <v>169830</v>
      </c>
      <c r="H14" s="135"/>
    </row>
    <row r="15" spans="1:8" ht="12.75" x14ac:dyDescent="0.25">
      <c r="A15" s="543"/>
      <c r="B15" s="510"/>
      <c r="C15" s="511"/>
      <c r="D15" s="178"/>
      <c r="E15" s="175"/>
      <c r="F15" s="179"/>
      <c r="G15" s="177"/>
      <c r="H15" s="135"/>
    </row>
    <row r="16" spans="1:8" ht="13.5" thickBot="1" x14ac:dyDescent="0.3">
      <c r="A16" s="512"/>
      <c r="B16" s="513"/>
      <c r="C16" s="514"/>
      <c r="D16" s="138"/>
      <c r="E16" s="125"/>
      <c r="F16" s="126"/>
      <c r="G16" s="127"/>
      <c r="H16" s="139"/>
    </row>
    <row r="17" spans="1:8" ht="14.25" thickTop="1" thickBot="1" x14ac:dyDescent="0.3">
      <c r="A17" s="496"/>
      <c r="B17" s="486"/>
      <c r="C17" s="486"/>
      <c r="D17" s="129"/>
      <c r="E17" s="129"/>
      <c r="F17" s="130"/>
      <c r="G17" s="130" t="s">
        <v>218</v>
      </c>
      <c r="H17" s="131">
        <f>SUM(G14:G16)</f>
        <v>169830</v>
      </c>
    </row>
    <row r="18" spans="1:8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8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8" ht="15.75" x14ac:dyDescent="0.25">
      <c r="A20" s="531"/>
      <c r="B20" s="511"/>
      <c r="C20" s="142"/>
      <c r="D20" s="122"/>
      <c r="E20" s="142"/>
      <c r="F20" s="143"/>
      <c r="G20" s="144"/>
      <c r="H20" s="529"/>
    </row>
    <row r="21" spans="1:8" ht="12.75" x14ac:dyDescent="0.25">
      <c r="A21" s="532"/>
      <c r="B21" s="510"/>
      <c r="C21" s="145"/>
      <c r="D21" s="146"/>
      <c r="E21" s="146"/>
      <c r="F21" s="120"/>
      <c r="G21" s="147"/>
      <c r="H21" s="529"/>
    </row>
    <row r="22" spans="1:8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8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0</v>
      </c>
    </row>
    <row r="24" spans="1:8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8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8" ht="13.5" thickTop="1" x14ac:dyDescent="0.25">
      <c r="A26" s="531" t="s">
        <v>241</v>
      </c>
      <c r="B26" s="511"/>
      <c r="C26" s="154">
        <f>+'ANALISIS M.O'!$F$29*2</f>
        <v>116728</v>
      </c>
      <c r="D26" s="153">
        <f>+'ANALISIS M.O'!$C$26</f>
        <v>1.7733000000000001</v>
      </c>
      <c r="E26" s="143">
        <f t="shared" ref="E26:E27" si="1">+D26*C26</f>
        <v>206993.76240000001</v>
      </c>
      <c r="F26" s="180">
        <v>12.499671727224962</v>
      </c>
      <c r="G26" s="181">
        <f t="shared" ref="G26:G27" si="2">+E26/F26</f>
        <v>16559.935886088624</v>
      </c>
      <c r="H26" s="504"/>
    </row>
    <row r="27" spans="1:8" ht="12.75" x14ac:dyDescent="0.25">
      <c r="A27" s="531" t="s">
        <v>242</v>
      </c>
      <c r="B27" s="511"/>
      <c r="C27" s="143">
        <f>+'ANALISIS M.O'!$F$31</f>
        <v>105054</v>
      </c>
      <c r="D27" s="153">
        <f>+'ANALISIS M.O'!$C$26</f>
        <v>1.7733000000000001</v>
      </c>
      <c r="E27" s="182">
        <f t="shared" si="1"/>
        <v>186292.25820000001</v>
      </c>
      <c r="F27" s="183">
        <f>+F26</f>
        <v>12.499671727224962</v>
      </c>
      <c r="G27" s="181">
        <f t="shared" si="2"/>
        <v>14903.772056208914</v>
      </c>
      <c r="H27" s="504"/>
    </row>
    <row r="28" spans="1:8" ht="12.75" x14ac:dyDescent="0.25">
      <c r="A28" s="544"/>
      <c r="B28" s="511"/>
      <c r="C28" s="154"/>
      <c r="D28" s="153"/>
      <c r="E28" s="143"/>
      <c r="F28" s="155"/>
      <c r="G28" s="144"/>
      <c r="H28" s="504"/>
    </row>
    <row r="29" spans="1:8" ht="12.75" x14ac:dyDescent="0.25">
      <c r="A29" s="531"/>
      <c r="B29" s="511"/>
      <c r="C29" s="154"/>
      <c r="D29" s="153"/>
      <c r="E29" s="143"/>
      <c r="F29" s="155"/>
      <c r="G29" s="144"/>
      <c r="H29" s="504"/>
    </row>
    <row r="30" spans="1:8" ht="13.5" thickBot="1" x14ac:dyDescent="0.3">
      <c r="A30" s="512"/>
      <c r="B30" s="514"/>
      <c r="C30" s="156"/>
      <c r="D30" s="157"/>
      <c r="E30" s="149"/>
      <c r="F30" s="126"/>
      <c r="G30" s="158"/>
      <c r="H30" s="505"/>
    </row>
    <row r="31" spans="1:8" ht="14.25" thickTop="1" thickBot="1" x14ac:dyDescent="0.3">
      <c r="A31" s="496"/>
      <c r="B31" s="486"/>
      <c r="C31" s="150"/>
      <c r="D31" s="129"/>
      <c r="E31" s="159"/>
      <c r="F31" s="130"/>
      <c r="G31" s="130" t="s">
        <v>218</v>
      </c>
      <c r="H31" s="131">
        <f>SUM(G26:G30)</f>
        <v>31463.707942297537</v>
      </c>
    </row>
    <row r="32" spans="1:8" ht="14.25" thickTop="1" thickBot="1" x14ac:dyDescent="0.3">
      <c r="A32" s="160"/>
      <c r="B32" s="160"/>
      <c r="C32" s="150"/>
      <c r="D32" s="129"/>
      <c r="E32" s="159"/>
      <c r="F32" s="161"/>
      <c r="G32" s="150"/>
      <c r="H32" s="162"/>
    </row>
    <row r="33" spans="1:8" ht="14.25" thickTop="1" thickBot="1" x14ac:dyDescent="0.3">
      <c r="A33" s="160"/>
      <c r="B33" s="112"/>
      <c r="C33" s="112"/>
      <c r="D33" s="112"/>
      <c r="E33" s="539" t="s">
        <v>233</v>
      </c>
      <c r="F33" s="486"/>
      <c r="G33" s="486"/>
      <c r="H33" s="131">
        <f>ROUND((+H11+H17+H23+H31),4)</f>
        <v>202866.8933</v>
      </c>
    </row>
    <row r="34" spans="1:8" ht="13.5" thickTop="1" x14ac:dyDescent="0.25">
      <c r="A34" s="160"/>
      <c r="B34" s="160"/>
      <c r="C34" s="160"/>
      <c r="D34" s="113"/>
      <c r="E34" s="113"/>
      <c r="F34" s="113"/>
      <c r="G34" s="113"/>
      <c r="H34" s="164"/>
    </row>
    <row r="35" spans="1:8" ht="13.5" thickBot="1" x14ac:dyDescent="0.3">
      <c r="A35" s="112" t="s">
        <v>234</v>
      </c>
      <c r="B35" s="112"/>
      <c r="C35" s="112"/>
      <c r="D35" s="112"/>
      <c r="E35" s="112"/>
      <c r="F35" s="113"/>
      <c r="G35" s="113"/>
      <c r="H35" s="112"/>
    </row>
    <row r="36" spans="1:8" ht="13.5" thickTop="1" x14ac:dyDescent="0.25">
      <c r="A36" s="540" t="s">
        <v>26</v>
      </c>
      <c r="B36" s="541"/>
      <c r="C36" s="542"/>
      <c r="D36" s="165" t="s">
        <v>235</v>
      </c>
      <c r="E36" s="165" t="s">
        <v>215</v>
      </c>
      <c r="F36" s="165" t="s">
        <v>216</v>
      </c>
      <c r="G36" s="184" t="s">
        <v>217</v>
      </c>
      <c r="H36" s="503"/>
    </row>
    <row r="37" spans="1:8" ht="15.75" x14ac:dyDescent="0.25">
      <c r="A37" s="534" t="s">
        <v>236</v>
      </c>
      <c r="B37" s="535"/>
      <c r="C37" s="535"/>
      <c r="D37" s="167">
        <f>+'1.1 localizacion'!$D$35</f>
        <v>0.32</v>
      </c>
      <c r="E37" s="168"/>
      <c r="F37" s="169"/>
      <c r="G37" s="185">
        <f>$H$33*D37</f>
        <v>64917.405855999998</v>
      </c>
      <c r="H37" s="504"/>
    </row>
    <row r="38" spans="1:8" ht="13.5" thickBot="1" x14ac:dyDescent="0.3">
      <c r="A38" s="534" t="s">
        <v>237</v>
      </c>
      <c r="B38" s="536"/>
      <c r="C38" s="536"/>
      <c r="D38" s="167">
        <f>+'1.1 localizacion'!$D$36</f>
        <v>0.05</v>
      </c>
      <c r="E38" s="171"/>
      <c r="F38" s="171"/>
      <c r="G38" s="185">
        <f t="shared" ref="G38" si="3">$H$33*D38</f>
        <v>10143.344665000001</v>
      </c>
      <c r="H38" s="504"/>
    </row>
    <row r="39" spans="1:8" ht="14.25" thickTop="1" thickBot="1" x14ac:dyDescent="0.3">
      <c r="A39" s="496"/>
      <c r="B39" s="486"/>
      <c r="C39" s="486"/>
      <c r="D39" s="128"/>
      <c r="E39" s="129"/>
      <c r="F39" s="130"/>
      <c r="G39" s="130" t="s">
        <v>218</v>
      </c>
      <c r="H39" s="131">
        <f>SUM(G37:G38)</f>
        <v>75060.750520999994</v>
      </c>
    </row>
    <row r="40" spans="1:8" ht="9.75" customHeight="1" thickTop="1" x14ac:dyDescent="0.25">
      <c r="A40" s="160"/>
      <c r="B40" s="160"/>
      <c r="C40" s="160"/>
      <c r="D40" s="160"/>
      <c r="E40" s="160"/>
      <c r="F40" s="172"/>
      <c r="G40" s="172"/>
      <c r="H40" s="160"/>
    </row>
    <row r="41" spans="1:8" ht="9.75" customHeight="1" thickBot="1" x14ac:dyDescent="0.3">
      <c r="A41" s="160"/>
      <c r="B41" s="160"/>
      <c r="C41" s="160"/>
      <c r="D41" s="160"/>
      <c r="E41" s="160"/>
      <c r="F41" s="172"/>
      <c r="G41" s="172"/>
      <c r="H41" s="160"/>
    </row>
    <row r="42" spans="1:8" ht="14.25" thickTop="1" thickBot="1" x14ac:dyDescent="0.3">
      <c r="A42" s="160"/>
      <c r="B42" s="112"/>
      <c r="C42" s="112"/>
      <c r="D42" s="112"/>
      <c r="E42" s="539" t="s">
        <v>238</v>
      </c>
      <c r="F42" s="486"/>
      <c r="G42" s="486"/>
      <c r="H42" s="131">
        <f>ROUND(H39+H33,0)</f>
        <v>277928</v>
      </c>
    </row>
    <row r="43" spans="1:8" ht="9.75" customHeight="1" thickTop="1" x14ac:dyDescent="0.25">
      <c r="A43" s="160"/>
      <c r="B43" s="160"/>
      <c r="C43" s="160"/>
      <c r="D43" s="160"/>
      <c r="E43" s="160"/>
      <c r="F43" s="172"/>
      <c r="G43" s="172"/>
      <c r="H43" s="160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BA12A-8896-4DB2-B62F-B826BFC33CB0}">
  <sheetPr codeName="Hoja6">
    <pageSetUpPr fitToPage="1"/>
  </sheetPr>
  <dimension ref="A1:H44"/>
  <sheetViews>
    <sheetView view="pageBreakPreview" topLeftCell="A28" zoomScale="85" zoomScaleNormal="100" zoomScaleSheetLayoutView="100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1.4</v>
      </c>
    </row>
    <row r="5" spans="1:8" ht="30.6" customHeight="1" x14ac:dyDescent="0.25">
      <c r="A5" s="114" t="s">
        <v>211</v>
      </c>
      <c r="B5" s="524" t="str">
        <f>VLOOKUP(H4,'PRESUPUESTO OFICIAL'!A:F,2,0)</f>
        <v xml:space="preserve">SUMINISTRO, TRANSPORTE E INSTALACION BARRERA CON BOMBONES PLÁSTICOS, CINTA DE SEGURIDAD Y YUTE PARA CERRAMIENTO 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ML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173">
        <f>+H32*0.05</f>
        <v>227.70367419565301</v>
      </c>
      <c r="H8" s="504"/>
    </row>
    <row r="9" spans="1:8" ht="15.75" x14ac:dyDescent="0.25">
      <c r="A9" s="509"/>
      <c r="B9" s="510"/>
      <c r="C9" s="511"/>
      <c r="D9" s="124"/>
      <c r="E9" s="121"/>
      <c r="F9" s="122"/>
      <c r="G9" s="123"/>
      <c r="H9" s="504"/>
    </row>
    <row r="10" spans="1:8" ht="13.5" thickBot="1" x14ac:dyDescent="0.3">
      <c r="A10" s="512"/>
      <c r="B10" s="513"/>
      <c r="C10" s="514"/>
      <c r="D10" s="125"/>
      <c r="E10" s="126"/>
      <c r="F10" s="126"/>
      <c r="G10" s="12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227.70367419565301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3.5" thickTop="1" x14ac:dyDescent="0.25">
      <c r="A14" s="506" t="s">
        <v>240</v>
      </c>
      <c r="B14" s="507"/>
      <c r="C14" s="508"/>
      <c r="D14" s="174" t="str">
        <f>'BASE DE DATOS'!B25</f>
        <v>ml</v>
      </c>
      <c r="E14" s="175">
        <f>+'BASE DE DATOS'!$D$28</f>
        <v>3870</v>
      </c>
      <c r="F14" s="176">
        <v>1</v>
      </c>
      <c r="G14" s="177">
        <f t="shared" ref="G14:G17" si="0">+F14*E14</f>
        <v>3870</v>
      </c>
      <c r="H14" s="135"/>
    </row>
    <row r="15" spans="1:8" ht="15.6" customHeight="1" x14ac:dyDescent="0.25">
      <c r="A15" s="543" t="s">
        <v>134</v>
      </c>
      <c r="B15" s="510"/>
      <c r="C15" s="511"/>
      <c r="D15" s="178" t="s">
        <v>78</v>
      </c>
      <c r="E15" s="175">
        <f>+'BASE DE DATOS'!D127</f>
        <v>15765</v>
      </c>
      <c r="F15" s="179">
        <v>0.2</v>
      </c>
      <c r="G15" s="177">
        <f t="shared" si="0"/>
        <v>3153</v>
      </c>
      <c r="H15" s="135"/>
    </row>
    <row r="16" spans="1:8" ht="15.6" customHeight="1" x14ac:dyDescent="0.25">
      <c r="A16" s="543" t="s">
        <v>77</v>
      </c>
      <c r="B16" s="510"/>
      <c r="C16" s="511"/>
      <c r="D16" s="178" t="s">
        <v>78</v>
      </c>
      <c r="E16" s="175">
        <f>+'BASE DE DATOS'!D29</f>
        <v>4423</v>
      </c>
      <c r="F16" s="179">
        <v>0.13</v>
      </c>
      <c r="G16" s="177">
        <f t="shared" si="0"/>
        <v>574.99</v>
      </c>
      <c r="H16" s="135"/>
    </row>
    <row r="17" spans="1:8" ht="13.5" thickBot="1" x14ac:dyDescent="0.3">
      <c r="A17" s="546" t="s">
        <v>278</v>
      </c>
      <c r="B17" s="547"/>
      <c r="C17" s="548"/>
      <c r="D17" s="138" t="s">
        <v>15</v>
      </c>
      <c r="E17" s="284">
        <f>+'BASE DE DATOS'!D25</f>
        <v>221</v>
      </c>
      <c r="F17" s="283">
        <v>2.2999999999999998</v>
      </c>
      <c r="G17" s="284">
        <f t="shared" si="0"/>
        <v>508.29999999999995</v>
      </c>
      <c r="H17" s="139"/>
    </row>
    <row r="18" spans="1:8" ht="14.25" thickTop="1" thickBot="1" x14ac:dyDescent="0.3">
      <c r="A18" s="496"/>
      <c r="B18" s="486"/>
      <c r="C18" s="486"/>
      <c r="D18" s="129"/>
      <c r="E18" s="129"/>
      <c r="F18" s="130"/>
      <c r="G18" s="130" t="s">
        <v>218</v>
      </c>
      <c r="H18" s="131">
        <f>SUM(G14:G17)</f>
        <v>8106.29</v>
      </c>
    </row>
    <row r="19" spans="1:8" ht="14.25" thickTop="1" thickBot="1" x14ac:dyDescent="0.3">
      <c r="A19" s="112" t="s">
        <v>222</v>
      </c>
      <c r="B19" s="112"/>
      <c r="C19" s="112"/>
      <c r="D19" s="112"/>
      <c r="E19" s="112"/>
      <c r="F19" s="113"/>
      <c r="G19" s="113"/>
      <c r="H19" s="112"/>
    </row>
    <row r="20" spans="1:8" ht="23.25" thickTop="1" x14ac:dyDescent="0.25">
      <c r="A20" s="533" t="s">
        <v>223</v>
      </c>
      <c r="B20" s="507"/>
      <c r="C20" s="140" t="s">
        <v>224</v>
      </c>
      <c r="D20" s="140" t="s">
        <v>225</v>
      </c>
      <c r="E20" s="140" t="s">
        <v>226</v>
      </c>
      <c r="F20" s="140" t="s">
        <v>227</v>
      </c>
      <c r="G20" s="141" t="s">
        <v>217</v>
      </c>
      <c r="H20" s="528"/>
    </row>
    <row r="21" spans="1:8" ht="15.75" x14ac:dyDescent="0.25">
      <c r="A21" s="531"/>
      <c r="B21" s="511"/>
      <c r="C21" s="142"/>
      <c r="D21" s="122"/>
      <c r="E21" s="142"/>
      <c r="F21" s="143"/>
      <c r="G21" s="144"/>
      <c r="H21" s="529"/>
    </row>
    <row r="22" spans="1:8" ht="12.75" x14ac:dyDescent="0.25">
      <c r="A22" s="532"/>
      <c r="B22" s="510"/>
      <c r="C22" s="145"/>
      <c r="D22" s="146"/>
      <c r="E22" s="146"/>
      <c r="F22" s="120"/>
      <c r="G22" s="147"/>
      <c r="H22" s="529"/>
    </row>
    <row r="23" spans="1:8" ht="13.5" thickBot="1" x14ac:dyDescent="0.3">
      <c r="A23" s="512"/>
      <c r="B23" s="513"/>
      <c r="C23" s="148"/>
      <c r="D23" s="149"/>
      <c r="E23" s="149"/>
      <c r="F23" s="125"/>
      <c r="G23" s="127"/>
      <c r="H23" s="530"/>
    </row>
    <row r="24" spans="1:8" ht="14.25" thickTop="1" thickBot="1" x14ac:dyDescent="0.3">
      <c r="A24" s="496"/>
      <c r="B24" s="486"/>
      <c r="C24" s="150"/>
      <c r="D24" s="151"/>
      <c r="E24" s="129"/>
      <c r="F24" s="130"/>
      <c r="G24" s="130" t="s">
        <v>218</v>
      </c>
      <c r="H24" s="152">
        <f>SUM(G21:G23)</f>
        <v>0</v>
      </c>
    </row>
    <row r="25" spans="1:8" ht="14.25" thickTop="1" thickBot="1" x14ac:dyDescent="0.3">
      <c r="A25" s="112" t="s">
        <v>228</v>
      </c>
      <c r="B25" s="112"/>
      <c r="C25" s="112"/>
      <c r="D25" s="112"/>
      <c r="E25" s="112"/>
      <c r="F25" s="113"/>
      <c r="G25" s="113"/>
      <c r="H25" s="112"/>
    </row>
    <row r="26" spans="1:8" ht="14.25" thickTop="1" thickBot="1" x14ac:dyDescent="0.3">
      <c r="A26" s="497" t="s">
        <v>229</v>
      </c>
      <c r="B26" s="499"/>
      <c r="C26" s="118" t="s">
        <v>230</v>
      </c>
      <c r="D26" s="118" t="s">
        <v>231</v>
      </c>
      <c r="E26" s="118" t="s">
        <v>232</v>
      </c>
      <c r="F26" s="118" t="s">
        <v>216</v>
      </c>
      <c r="G26" s="119" t="s">
        <v>217</v>
      </c>
      <c r="H26" s="503"/>
    </row>
    <row r="27" spans="1:8" ht="13.5" thickTop="1" x14ac:dyDescent="0.25">
      <c r="A27" s="531" t="s">
        <v>279</v>
      </c>
      <c r="B27" s="511"/>
      <c r="C27" s="154">
        <f>+'ANALISIS M.O'!$F$29</f>
        <v>58364</v>
      </c>
      <c r="D27" s="153">
        <f>+'ANALISIS M.O'!$C$26</f>
        <v>1.7733000000000001</v>
      </c>
      <c r="E27" s="143">
        <f t="shared" ref="E27:E28" si="1">+D27*C27</f>
        <v>103496.8812</v>
      </c>
      <c r="F27" s="180">
        <v>63.632951998613876</v>
      </c>
      <c r="G27" s="181">
        <f t="shared" ref="G27:G28" si="2">+E27/F27</f>
        <v>1626.466758956185</v>
      </c>
      <c r="H27" s="504"/>
    </row>
    <row r="28" spans="1:8" ht="12.75" x14ac:dyDescent="0.25">
      <c r="A28" s="531" t="s">
        <v>242</v>
      </c>
      <c r="B28" s="511"/>
      <c r="C28" s="143">
        <f>+'ANALISIS M.O'!$F$31</f>
        <v>105054</v>
      </c>
      <c r="D28" s="153">
        <f>+'ANALISIS M.O'!$C$26</f>
        <v>1.7733000000000001</v>
      </c>
      <c r="E28" s="182">
        <f t="shared" si="1"/>
        <v>186292.25820000001</v>
      </c>
      <c r="F28" s="183">
        <f>+F27</f>
        <v>63.632951998613876</v>
      </c>
      <c r="G28" s="181">
        <f t="shared" si="2"/>
        <v>2927.606724956875</v>
      </c>
      <c r="H28" s="504"/>
    </row>
    <row r="29" spans="1:8" ht="12.75" x14ac:dyDescent="0.25">
      <c r="A29" s="544"/>
      <c r="B29" s="511"/>
      <c r="C29" s="154"/>
      <c r="D29" s="153"/>
      <c r="E29" s="143"/>
      <c r="F29" s="155"/>
      <c r="G29" s="144"/>
      <c r="H29" s="504"/>
    </row>
    <row r="30" spans="1:8" ht="12.75" x14ac:dyDescent="0.25">
      <c r="A30" s="531"/>
      <c r="B30" s="511"/>
      <c r="C30" s="154"/>
      <c r="D30" s="153"/>
      <c r="E30" s="143"/>
      <c r="F30" s="155"/>
      <c r="G30" s="144"/>
      <c r="H30" s="504"/>
    </row>
    <row r="31" spans="1:8" ht="13.5" thickBot="1" x14ac:dyDescent="0.3">
      <c r="A31" s="512"/>
      <c r="B31" s="514"/>
      <c r="C31" s="156"/>
      <c r="D31" s="157"/>
      <c r="E31" s="149"/>
      <c r="F31" s="126"/>
      <c r="G31" s="158"/>
      <c r="H31" s="505"/>
    </row>
    <row r="32" spans="1:8" ht="14.25" thickTop="1" thickBot="1" x14ac:dyDescent="0.3">
      <c r="A32" s="496"/>
      <c r="B32" s="486"/>
      <c r="C32" s="150"/>
      <c r="D32" s="129"/>
      <c r="E32" s="159"/>
      <c r="F32" s="130"/>
      <c r="G32" s="130" t="s">
        <v>218</v>
      </c>
      <c r="H32" s="131">
        <f>SUM(G27:G31)</f>
        <v>4554.07348391306</v>
      </c>
    </row>
    <row r="33" spans="1:8" ht="14.25" thickTop="1" thickBot="1" x14ac:dyDescent="0.3">
      <c r="A33" s="160"/>
      <c r="B33" s="160"/>
      <c r="C33" s="150"/>
      <c r="D33" s="129"/>
      <c r="E33" s="159"/>
      <c r="F33" s="161"/>
      <c r="G33" s="150"/>
      <c r="H33" s="162"/>
    </row>
    <row r="34" spans="1:8" ht="14.25" thickTop="1" thickBot="1" x14ac:dyDescent="0.3">
      <c r="A34" s="160"/>
      <c r="B34" s="112"/>
      <c r="C34" s="112"/>
      <c r="D34" s="112"/>
      <c r="E34" s="539" t="s">
        <v>233</v>
      </c>
      <c r="F34" s="486"/>
      <c r="G34" s="486"/>
      <c r="H34" s="131">
        <f>ROUND((+H11+H18+H24+H32),4)</f>
        <v>12888.0672</v>
      </c>
    </row>
    <row r="35" spans="1:8" ht="13.5" thickTop="1" x14ac:dyDescent="0.25">
      <c r="A35" s="160"/>
      <c r="B35" s="160"/>
      <c r="C35" s="160"/>
      <c r="D35" s="113"/>
      <c r="E35" s="113"/>
      <c r="F35" s="113"/>
      <c r="G35" s="113"/>
      <c r="H35" s="164"/>
    </row>
    <row r="36" spans="1:8" ht="13.5" thickBot="1" x14ac:dyDescent="0.3">
      <c r="A36" s="112" t="s">
        <v>234</v>
      </c>
      <c r="B36" s="112"/>
      <c r="C36" s="112"/>
      <c r="D36" s="112"/>
      <c r="E36" s="112"/>
      <c r="F36" s="113"/>
      <c r="G36" s="113"/>
      <c r="H36" s="112"/>
    </row>
    <row r="37" spans="1:8" ht="13.5" thickTop="1" x14ac:dyDescent="0.25">
      <c r="A37" s="540" t="s">
        <v>26</v>
      </c>
      <c r="B37" s="541"/>
      <c r="C37" s="542"/>
      <c r="D37" s="165" t="s">
        <v>235</v>
      </c>
      <c r="E37" s="165" t="s">
        <v>215</v>
      </c>
      <c r="F37" s="165" t="s">
        <v>216</v>
      </c>
      <c r="G37" s="184" t="s">
        <v>217</v>
      </c>
      <c r="H37" s="503"/>
    </row>
    <row r="38" spans="1:8" ht="15.75" x14ac:dyDescent="0.25">
      <c r="A38" s="534" t="s">
        <v>236</v>
      </c>
      <c r="B38" s="535"/>
      <c r="C38" s="535"/>
      <c r="D38" s="167">
        <f>+'1.1 localizacion'!$D$35</f>
        <v>0.32</v>
      </c>
      <c r="E38" s="168"/>
      <c r="F38" s="169"/>
      <c r="G38" s="185">
        <f>$H$34*D38</f>
        <v>4124.1815040000001</v>
      </c>
      <c r="H38" s="504"/>
    </row>
    <row r="39" spans="1:8" ht="13.5" thickBot="1" x14ac:dyDescent="0.3">
      <c r="A39" s="534" t="s">
        <v>237</v>
      </c>
      <c r="B39" s="536"/>
      <c r="C39" s="536"/>
      <c r="D39" s="167">
        <f>+'1.1 localizacion'!$D$36</f>
        <v>0.05</v>
      </c>
      <c r="E39" s="171"/>
      <c r="F39" s="171"/>
      <c r="G39" s="185">
        <f t="shared" ref="G39" si="3">$H$34*D39</f>
        <v>644.40336000000002</v>
      </c>
      <c r="H39" s="504"/>
    </row>
    <row r="40" spans="1:8" ht="14.25" thickTop="1" thickBot="1" x14ac:dyDescent="0.3">
      <c r="A40" s="496"/>
      <c r="B40" s="486"/>
      <c r="C40" s="486"/>
      <c r="D40" s="128"/>
      <c r="E40" s="129"/>
      <c r="F40" s="130"/>
      <c r="G40" s="130" t="s">
        <v>218</v>
      </c>
      <c r="H40" s="131">
        <f>SUM(G38:G39)</f>
        <v>4768.5848640000004</v>
      </c>
    </row>
    <row r="41" spans="1:8" ht="9.75" customHeight="1" thickTop="1" x14ac:dyDescent="0.25">
      <c r="A41" s="160"/>
      <c r="B41" s="160"/>
      <c r="C41" s="160"/>
      <c r="D41" s="160"/>
      <c r="E41" s="160"/>
      <c r="F41" s="172"/>
      <c r="G41" s="172"/>
      <c r="H41" s="160"/>
    </row>
    <row r="42" spans="1:8" ht="9.75" customHeight="1" thickBot="1" x14ac:dyDescent="0.3">
      <c r="A42" s="160"/>
      <c r="B42" s="160"/>
      <c r="C42" s="160"/>
      <c r="D42" s="160"/>
      <c r="E42" s="160"/>
      <c r="F42" s="172"/>
      <c r="G42" s="172"/>
      <c r="H42" s="160"/>
    </row>
    <row r="43" spans="1:8" ht="14.25" thickTop="1" thickBot="1" x14ac:dyDescent="0.3">
      <c r="A43" s="160"/>
      <c r="B43" s="112"/>
      <c r="C43" s="112"/>
      <c r="D43" s="112"/>
      <c r="E43" s="539" t="s">
        <v>238</v>
      </c>
      <c r="F43" s="486"/>
      <c r="G43" s="486"/>
      <c r="H43" s="131">
        <f>ROUND(H40+H34,0)</f>
        <v>17657</v>
      </c>
    </row>
    <row r="44" spans="1:8" ht="9.75" customHeight="1" thickTop="1" x14ac:dyDescent="0.25">
      <c r="A44" s="160"/>
      <c r="B44" s="160"/>
      <c r="C44" s="160"/>
      <c r="D44" s="160"/>
      <c r="E44" s="160"/>
      <c r="F44" s="172"/>
      <c r="G44" s="172"/>
      <c r="H44" s="160"/>
    </row>
  </sheetData>
  <mergeCells count="38">
    <mergeCell ref="A40:C40"/>
    <mergeCell ref="E43:G43"/>
    <mergeCell ref="A16:C16"/>
    <mergeCell ref="A32:B32"/>
    <mergeCell ref="E34:G34"/>
    <mergeCell ref="A37:C37"/>
    <mergeCell ref="A20:B20"/>
    <mergeCell ref="A18:C18"/>
    <mergeCell ref="H37:H39"/>
    <mergeCell ref="A38:C38"/>
    <mergeCell ref="A39:C39"/>
    <mergeCell ref="A26:B26"/>
    <mergeCell ref="H26:H31"/>
    <mergeCell ref="A27:B27"/>
    <mergeCell ref="A28:B28"/>
    <mergeCell ref="A29:B29"/>
    <mergeCell ref="A30:B30"/>
    <mergeCell ref="A31:B31"/>
    <mergeCell ref="H20:H23"/>
    <mergeCell ref="A21:B21"/>
    <mergeCell ref="A22:B22"/>
    <mergeCell ref="A23:B23"/>
    <mergeCell ref="A24:B24"/>
    <mergeCell ref="A11:C11"/>
    <mergeCell ref="A13:C13"/>
    <mergeCell ref="A14:C14"/>
    <mergeCell ref="A15:C15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D81A8-8E88-489A-BCAC-C9E2296E4818}">
  <sheetPr codeName="Hoja7">
    <pageSetUpPr fitToPage="1"/>
  </sheetPr>
  <dimension ref="A1:H45"/>
  <sheetViews>
    <sheetView view="pageBreakPreview" topLeftCell="A38" zoomScale="85" zoomScaleNormal="100" zoomScaleSheetLayoutView="100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317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304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305" t="s">
        <v>210</v>
      </c>
      <c r="H4" s="116">
        <v>2.1</v>
      </c>
    </row>
    <row r="5" spans="1:8" ht="30.6" customHeight="1" x14ac:dyDescent="0.25">
      <c r="A5" s="114" t="s">
        <v>211</v>
      </c>
      <c r="B5" s="524" t="str">
        <f>VLOOKUP(H4,'PRESUPUESTO OFICIAL'!A:F,2,0)</f>
        <v xml:space="preserve">DESMONTE DE CUBIERTA EN LÁMINA DE FIBROCEMENTO. INCLUYE RETIRO </v>
      </c>
      <c r="C5" s="486"/>
      <c r="D5" s="486"/>
      <c r="E5" s="486"/>
      <c r="F5" s="486"/>
      <c r="G5" s="304" t="s">
        <v>212</v>
      </c>
      <c r="H5" s="117" t="str">
        <f>VLOOKUP(H4,'PRESUPUESTO OFICIAL'!A:F,3,0)</f>
        <v>M2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304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306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 t="s">
        <v>14</v>
      </c>
      <c r="E8" s="146">
        <v>3484</v>
      </c>
      <c r="F8" s="120">
        <v>0.15</v>
      </c>
      <c r="G8" s="307">
        <f>+E8*F8</f>
        <v>522.6</v>
      </c>
      <c r="H8" s="504"/>
    </row>
    <row r="9" spans="1:8" ht="15.75" x14ac:dyDescent="0.25">
      <c r="A9" s="509" t="s">
        <v>280</v>
      </c>
      <c r="B9" s="510"/>
      <c r="C9" s="511"/>
      <c r="D9" s="124" t="s">
        <v>14</v>
      </c>
      <c r="E9" s="121">
        <v>9968</v>
      </c>
      <c r="F9" s="142">
        <v>0.1</v>
      </c>
      <c r="G9" s="308">
        <f>+E9*F9</f>
        <v>996.80000000000007</v>
      </c>
      <c r="H9" s="504"/>
    </row>
    <row r="10" spans="1:8" ht="13.5" thickBot="1" x14ac:dyDescent="0.3">
      <c r="A10" s="546" t="s">
        <v>356</v>
      </c>
      <c r="B10" s="547"/>
      <c r="C10" s="548"/>
      <c r="D10" s="125" t="s">
        <v>355</v>
      </c>
      <c r="E10" s="286">
        <v>83300</v>
      </c>
      <c r="F10" s="125">
        <v>2.5000000000000001E-2</v>
      </c>
      <c r="G10" s="309">
        <f>+E10*F10</f>
        <v>2082.5</v>
      </c>
      <c r="H10" s="504"/>
    </row>
    <row r="11" spans="1:8" ht="14.25" thickTop="1" thickBot="1" x14ac:dyDescent="0.3">
      <c r="A11" s="546" t="s">
        <v>354</v>
      </c>
      <c r="B11" s="547"/>
      <c r="C11" s="548"/>
      <c r="D11" s="125" t="s">
        <v>355</v>
      </c>
      <c r="E11" s="286">
        <v>180217</v>
      </c>
      <c r="F11" s="125">
        <v>2.8999999999999998E-3</v>
      </c>
      <c r="G11" s="309">
        <f>+E11*F11</f>
        <v>522.62929999999994</v>
      </c>
      <c r="H11" s="505"/>
    </row>
    <row r="12" spans="1:8" ht="14.25" thickTop="1" thickBot="1" x14ac:dyDescent="0.3">
      <c r="A12" s="496"/>
      <c r="B12" s="486"/>
      <c r="C12" s="486"/>
      <c r="D12" s="128"/>
      <c r="E12" s="129"/>
      <c r="F12" s="130"/>
      <c r="G12" s="304" t="s">
        <v>218</v>
      </c>
      <c r="H12" s="131">
        <f>SUM(G8:G11)</f>
        <v>4124.5293000000001</v>
      </c>
    </row>
    <row r="13" spans="1:8" ht="14.25" thickTop="1" thickBot="1" x14ac:dyDescent="0.3">
      <c r="A13" s="112" t="s">
        <v>219</v>
      </c>
      <c r="B13" s="112"/>
      <c r="C13" s="112"/>
      <c r="D13" s="112"/>
      <c r="E13" s="112"/>
      <c r="F13" s="113"/>
      <c r="G13" s="304"/>
      <c r="H13" s="112"/>
    </row>
    <row r="14" spans="1:8" ht="14.25" thickTop="1" thickBot="1" x14ac:dyDescent="0.3">
      <c r="A14" s="497" t="s">
        <v>26</v>
      </c>
      <c r="B14" s="498"/>
      <c r="C14" s="499"/>
      <c r="D14" s="118" t="s">
        <v>25</v>
      </c>
      <c r="E14" s="118" t="s">
        <v>220</v>
      </c>
      <c r="F14" s="118" t="s">
        <v>221</v>
      </c>
      <c r="G14" s="306" t="s">
        <v>217</v>
      </c>
      <c r="H14" s="132"/>
    </row>
    <row r="15" spans="1:8" ht="13.5" thickTop="1" x14ac:dyDescent="0.25">
      <c r="A15" s="506"/>
      <c r="B15" s="507"/>
      <c r="C15" s="508"/>
      <c r="D15" s="174"/>
      <c r="E15" s="175"/>
      <c r="F15" s="176"/>
      <c r="G15" s="307">
        <f t="shared" ref="G15:G17" si="0">+F15*E15</f>
        <v>0</v>
      </c>
      <c r="H15" s="135"/>
    </row>
    <row r="16" spans="1:8" ht="15.6" customHeight="1" x14ac:dyDescent="0.25">
      <c r="A16" s="543"/>
      <c r="B16" s="510"/>
      <c r="C16" s="511"/>
      <c r="D16" s="178"/>
      <c r="E16" s="175"/>
      <c r="F16" s="179"/>
      <c r="G16" s="307">
        <f t="shared" si="0"/>
        <v>0</v>
      </c>
      <c r="H16" s="135"/>
    </row>
    <row r="17" spans="1:8" ht="15.6" customHeight="1" x14ac:dyDescent="0.25">
      <c r="A17" s="543"/>
      <c r="B17" s="510"/>
      <c r="C17" s="511"/>
      <c r="D17" s="178"/>
      <c r="E17" s="175"/>
      <c r="F17" s="179"/>
      <c r="G17" s="307">
        <f t="shared" si="0"/>
        <v>0</v>
      </c>
      <c r="H17" s="135"/>
    </row>
    <row r="18" spans="1:8" ht="13.5" thickBot="1" x14ac:dyDescent="0.3">
      <c r="A18" s="546"/>
      <c r="B18" s="547"/>
      <c r="C18" s="548"/>
      <c r="D18" s="138"/>
      <c r="E18" s="284"/>
      <c r="F18" s="283"/>
      <c r="G18" s="310"/>
      <c r="H18" s="139"/>
    </row>
    <row r="19" spans="1:8" ht="14.25" thickTop="1" thickBot="1" x14ac:dyDescent="0.3">
      <c r="A19" s="496"/>
      <c r="B19" s="486"/>
      <c r="C19" s="486"/>
      <c r="D19" s="129"/>
      <c r="E19" s="129"/>
      <c r="F19" s="130"/>
      <c r="G19" s="304" t="s">
        <v>218</v>
      </c>
      <c r="H19" s="131">
        <f>SUM(G15:G18)</f>
        <v>0</v>
      </c>
    </row>
    <row r="20" spans="1:8" ht="14.25" thickTop="1" thickBot="1" x14ac:dyDescent="0.3">
      <c r="A20" s="112" t="s">
        <v>222</v>
      </c>
      <c r="B20" s="112"/>
      <c r="C20" s="112"/>
      <c r="D20" s="112"/>
      <c r="E20" s="112"/>
      <c r="F20" s="113"/>
      <c r="G20" s="304"/>
      <c r="H20" s="112"/>
    </row>
    <row r="21" spans="1:8" ht="23.25" thickTop="1" x14ac:dyDescent="0.25">
      <c r="A21" s="533" t="s">
        <v>223</v>
      </c>
      <c r="B21" s="507"/>
      <c r="C21" s="140" t="s">
        <v>224</v>
      </c>
      <c r="D21" s="140" t="s">
        <v>225</v>
      </c>
      <c r="E21" s="140" t="s">
        <v>226</v>
      </c>
      <c r="F21" s="140" t="s">
        <v>227</v>
      </c>
      <c r="G21" s="311" t="s">
        <v>217</v>
      </c>
      <c r="H21" s="528"/>
    </row>
    <row r="22" spans="1:8" ht="15.75" x14ac:dyDescent="0.25">
      <c r="A22" s="531" t="s">
        <v>357</v>
      </c>
      <c r="B22" s="511"/>
      <c r="C22" s="142"/>
      <c r="D22" s="122"/>
      <c r="E22" s="142">
        <v>0.37</v>
      </c>
      <c r="F22" s="143">
        <v>1824</v>
      </c>
      <c r="G22" s="312">
        <f>+E22*F22</f>
        <v>674.88</v>
      </c>
      <c r="H22" s="529"/>
    </row>
    <row r="23" spans="1:8" ht="12.75" x14ac:dyDescent="0.25">
      <c r="A23" s="532"/>
      <c r="B23" s="510"/>
      <c r="C23" s="145"/>
      <c r="D23" s="146"/>
      <c r="E23" s="146"/>
      <c r="F23" s="120"/>
      <c r="G23" s="312"/>
      <c r="H23" s="529"/>
    </row>
    <row r="24" spans="1:8" ht="13.5" thickBot="1" x14ac:dyDescent="0.3">
      <c r="A24" s="512"/>
      <c r="B24" s="513"/>
      <c r="C24" s="148"/>
      <c r="D24" s="149"/>
      <c r="E24" s="149"/>
      <c r="F24" s="125"/>
      <c r="G24" s="313"/>
      <c r="H24" s="530"/>
    </row>
    <row r="25" spans="1:8" ht="14.25" thickTop="1" thickBot="1" x14ac:dyDescent="0.3">
      <c r="A25" s="496"/>
      <c r="B25" s="486"/>
      <c r="C25" s="150"/>
      <c r="D25" s="151"/>
      <c r="E25" s="129"/>
      <c r="F25" s="130"/>
      <c r="G25" s="304" t="s">
        <v>218</v>
      </c>
      <c r="H25" s="152">
        <f>SUM(G22:G24)</f>
        <v>674.88</v>
      </c>
    </row>
    <row r="26" spans="1:8" ht="14.25" thickTop="1" thickBot="1" x14ac:dyDescent="0.3">
      <c r="A26" s="112" t="s">
        <v>228</v>
      </c>
      <c r="B26" s="112"/>
      <c r="C26" s="112"/>
      <c r="D26" s="112"/>
      <c r="E26" s="112"/>
      <c r="F26" s="113"/>
      <c r="G26" s="304"/>
      <c r="H26" s="112"/>
    </row>
    <row r="27" spans="1:8" ht="14.25" thickTop="1" thickBot="1" x14ac:dyDescent="0.3">
      <c r="A27" s="497" t="s">
        <v>229</v>
      </c>
      <c r="B27" s="499"/>
      <c r="C27" s="118" t="s">
        <v>230</v>
      </c>
      <c r="D27" s="118" t="s">
        <v>231</v>
      </c>
      <c r="E27" s="118" t="s">
        <v>232</v>
      </c>
      <c r="F27" s="118" t="s">
        <v>216</v>
      </c>
      <c r="G27" s="306" t="s">
        <v>217</v>
      </c>
      <c r="H27" s="503"/>
    </row>
    <row r="28" spans="1:8" ht="13.5" thickTop="1" x14ac:dyDescent="0.25">
      <c r="A28" s="531" t="s">
        <v>358</v>
      </c>
      <c r="B28" s="511"/>
      <c r="C28" s="154">
        <v>42963</v>
      </c>
      <c r="D28" s="153"/>
      <c r="E28" s="143"/>
      <c r="F28" s="180">
        <v>0.3</v>
      </c>
      <c r="G28" s="307">
        <f>+F28*C28</f>
        <v>12888.9</v>
      </c>
      <c r="H28" s="504"/>
    </row>
    <row r="29" spans="1:8" ht="12.75" x14ac:dyDescent="0.25">
      <c r="A29" s="531"/>
      <c r="B29" s="511"/>
      <c r="C29" s="143"/>
      <c r="D29" s="153"/>
      <c r="E29" s="182"/>
      <c r="F29" s="183"/>
      <c r="G29" s="307"/>
      <c r="H29" s="504"/>
    </row>
    <row r="30" spans="1:8" ht="12.75" x14ac:dyDescent="0.25">
      <c r="A30" s="544"/>
      <c r="B30" s="511"/>
      <c r="C30" s="154"/>
      <c r="D30" s="153"/>
      <c r="E30" s="143"/>
      <c r="F30" s="155"/>
      <c r="G30" s="312"/>
      <c r="H30" s="504"/>
    </row>
    <row r="31" spans="1:8" ht="12.75" x14ac:dyDescent="0.25">
      <c r="A31" s="531"/>
      <c r="B31" s="511"/>
      <c r="C31" s="154"/>
      <c r="D31" s="153"/>
      <c r="E31" s="143"/>
      <c r="F31" s="155"/>
      <c r="G31" s="312"/>
      <c r="H31" s="504"/>
    </row>
    <row r="32" spans="1:8" ht="13.5" thickBot="1" x14ac:dyDescent="0.3">
      <c r="A32" s="512"/>
      <c r="B32" s="514"/>
      <c r="C32" s="156"/>
      <c r="D32" s="157"/>
      <c r="E32" s="149"/>
      <c r="F32" s="126"/>
      <c r="G32" s="313"/>
      <c r="H32" s="505"/>
    </row>
    <row r="33" spans="1:8" ht="14.25" thickTop="1" thickBot="1" x14ac:dyDescent="0.3">
      <c r="A33" s="496"/>
      <c r="B33" s="486"/>
      <c r="C33" s="150"/>
      <c r="D33" s="129"/>
      <c r="E33" s="159"/>
      <c r="F33" s="130"/>
      <c r="G33" s="304" t="s">
        <v>218</v>
      </c>
      <c r="H33" s="131">
        <f>SUM(G28:G32)</f>
        <v>12888.9</v>
      </c>
    </row>
    <row r="34" spans="1:8" ht="14.25" thickTop="1" thickBot="1" x14ac:dyDescent="0.3">
      <c r="A34" s="160"/>
      <c r="B34" s="160"/>
      <c r="C34" s="150"/>
      <c r="D34" s="129"/>
      <c r="E34" s="159"/>
      <c r="F34" s="161"/>
      <c r="G34" s="314"/>
      <c r="H34" s="162"/>
    </row>
    <row r="35" spans="1:8" ht="14.25" thickTop="1" thickBot="1" x14ac:dyDescent="0.3">
      <c r="A35" s="160"/>
      <c r="B35" s="112"/>
      <c r="C35" s="112"/>
      <c r="D35" s="112"/>
      <c r="E35" s="539" t="s">
        <v>233</v>
      </c>
      <c r="F35" s="486"/>
      <c r="G35" s="486"/>
      <c r="H35" s="131">
        <f>ROUND((+H12+H19+H25+H33),4)</f>
        <v>17688.309300000001</v>
      </c>
    </row>
    <row r="36" spans="1:8" ht="13.5" thickTop="1" x14ac:dyDescent="0.25">
      <c r="A36" s="160"/>
      <c r="B36" s="160"/>
      <c r="C36" s="160"/>
      <c r="D36" s="113"/>
      <c r="E36" s="113"/>
      <c r="F36" s="113"/>
      <c r="G36" s="304"/>
      <c r="H36" s="164"/>
    </row>
    <row r="37" spans="1:8" ht="13.5" thickBot="1" x14ac:dyDescent="0.3">
      <c r="A37" s="112" t="s">
        <v>234</v>
      </c>
      <c r="B37" s="112"/>
      <c r="C37" s="112"/>
      <c r="D37" s="112"/>
      <c r="E37" s="112"/>
      <c r="F37" s="113"/>
      <c r="G37" s="304"/>
      <c r="H37" s="112"/>
    </row>
    <row r="38" spans="1:8" ht="13.5" thickTop="1" x14ac:dyDescent="0.25">
      <c r="A38" s="540" t="s">
        <v>26</v>
      </c>
      <c r="B38" s="541"/>
      <c r="C38" s="542"/>
      <c r="D38" s="165" t="s">
        <v>235</v>
      </c>
      <c r="E38" s="165" t="s">
        <v>215</v>
      </c>
      <c r="F38" s="165" t="s">
        <v>216</v>
      </c>
      <c r="G38" s="315" t="s">
        <v>217</v>
      </c>
      <c r="H38" s="503"/>
    </row>
    <row r="39" spans="1:8" ht="15.75" x14ac:dyDescent="0.25">
      <c r="A39" s="534" t="s">
        <v>236</v>
      </c>
      <c r="B39" s="535"/>
      <c r="C39" s="535"/>
      <c r="D39" s="167">
        <f>+'1.1 localizacion'!$D$35</f>
        <v>0.32</v>
      </c>
      <c r="E39" s="168"/>
      <c r="F39" s="169"/>
      <c r="G39" s="316">
        <f>$H$35*D39</f>
        <v>5660.2589760000001</v>
      </c>
      <c r="H39" s="504"/>
    </row>
    <row r="40" spans="1:8" ht="13.5" thickBot="1" x14ac:dyDescent="0.3">
      <c r="A40" s="534" t="s">
        <v>237</v>
      </c>
      <c r="B40" s="536"/>
      <c r="C40" s="536"/>
      <c r="D40" s="167">
        <f>+'1.1 localizacion'!$D$36</f>
        <v>0.05</v>
      </c>
      <c r="E40" s="171"/>
      <c r="F40" s="171"/>
      <c r="G40" s="316">
        <f t="shared" ref="G40" si="1">$H$35*D40</f>
        <v>884.41546500000004</v>
      </c>
      <c r="H40" s="504"/>
    </row>
    <row r="41" spans="1:8" ht="14.25" thickTop="1" thickBot="1" x14ac:dyDescent="0.3">
      <c r="A41" s="496"/>
      <c r="B41" s="486"/>
      <c r="C41" s="486"/>
      <c r="D41" s="128"/>
      <c r="E41" s="129"/>
      <c r="F41" s="130"/>
      <c r="G41" s="304" t="s">
        <v>218</v>
      </c>
      <c r="H41" s="131">
        <f>SUM(G39:G40)</f>
        <v>6544.6744410000001</v>
      </c>
    </row>
    <row r="42" spans="1:8" ht="9.75" customHeight="1" thickTop="1" x14ac:dyDescent="0.25">
      <c r="A42" s="160"/>
      <c r="B42" s="160"/>
      <c r="C42" s="160"/>
      <c r="D42" s="160"/>
      <c r="E42" s="160"/>
      <c r="F42" s="172"/>
      <c r="G42" s="314"/>
      <c r="H42" s="160"/>
    </row>
    <row r="43" spans="1:8" ht="9.75" customHeight="1" thickBot="1" x14ac:dyDescent="0.3">
      <c r="A43" s="160"/>
      <c r="B43" s="160"/>
      <c r="C43" s="160"/>
      <c r="D43" s="160"/>
      <c r="E43" s="160"/>
      <c r="F43" s="172"/>
      <c r="G43" s="314"/>
      <c r="H43" s="160"/>
    </row>
    <row r="44" spans="1:8" ht="14.25" thickTop="1" thickBot="1" x14ac:dyDescent="0.3">
      <c r="A44" s="160"/>
      <c r="B44" s="112"/>
      <c r="C44" s="112"/>
      <c r="D44" s="112"/>
      <c r="E44" s="539" t="s">
        <v>238</v>
      </c>
      <c r="F44" s="486"/>
      <c r="G44" s="486"/>
      <c r="H44" s="131">
        <f>ROUND(H41+H35,0)</f>
        <v>24233</v>
      </c>
    </row>
    <row r="45" spans="1:8" ht="9.75" customHeight="1" thickTop="1" x14ac:dyDescent="0.25">
      <c r="A45" s="160"/>
      <c r="B45" s="160"/>
      <c r="C45" s="160"/>
      <c r="D45" s="160"/>
      <c r="E45" s="160"/>
      <c r="F45" s="172"/>
      <c r="G45" s="314"/>
      <c r="H45" s="160"/>
    </row>
  </sheetData>
  <mergeCells count="39">
    <mergeCell ref="A12:C12"/>
    <mergeCell ref="A14:C14"/>
    <mergeCell ref="A15:C15"/>
    <mergeCell ref="A16:C16"/>
    <mergeCell ref="A17:C17"/>
    <mergeCell ref="A41:C41"/>
    <mergeCell ref="E44:G44"/>
    <mergeCell ref="A33:B33"/>
    <mergeCell ref="E35:G35"/>
    <mergeCell ref="A38:C38"/>
    <mergeCell ref="H38:H40"/>
    <mergeCell ref="A39:C39"/>
    <mergeCell ref="A40:C40"/>
    <mergeCell ref="A25:B25"/>
    <mergeCell ref="A27:B27"/>
    <mergeCell ref="H27:H32"/>
    <mergeCell ref="A28:B28"/>
    <mergeCell ref="A29:B29"/>
    <mergeCell ref="A30:B30"/>
    <mergeCell ref="A31:B31"/>
    <mergeCell ref="A32:B32"/>
    <mergeCell ref="H21:H24"/>
    <mergeCell ref="A22:B22"/>
    <mergeCell ref="A23:B23"/>
    <mergeCell ref="A24:B24"/>
    <mergeCell ref="A18:C18"/>
    <mergeCell ref="A19:C19"/>
    <mergeCell ref="A21:B21"/>
    <mergeCell ref="A1:H1"/>
    <mergeCell ref="A2:D2"/>
    <mergeCell ref="E2:H2"/>
    <mergeCell ref="B4:F4"/>
    <mergeCell ref="B5:F5"/>
    <mergeCell ref="A7:C7"/>
    <mergeCell ref="H7:H11"/>
    <mergeCell ref="A8:C8"/>
    <mergeCell ref="A9:C9"/>
    <mergeCell ref="A11:C11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F262-41EE-4820-8A3A-46C2736B6B21}">
  <sheetPr codeName="Hoja8">
    <pageSetUpPr fitToPage="1"/>
  </sheetPr>
  <dimension ref="A1:N44"/>
  <sheetViews>
    <sheetView view="pageBreakPreview" topLeftCell="A29" zoomScale="85" zoomScaleNormal="100" zoomScaleSheetLayoutView="100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10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10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10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10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2.2000000000000002</v>
      </c>
    </row>
    <row r="5" spans="1:10" ht="30.6" customHeight="1" x14ac:dyDescent="0.25">
      <c r="A5" s="114" t="s">
        <v>211</v>
      </c>
      <c r="B5" s="524" t="str">
        <f>VLOOKUP(H4,'PRESUPUESTO OFICIAL'!A:F,2,0)</f>
        <v>DESMONTE CIELO RASO (INCLUYE RETIRO)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10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10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10" ht="13.5" thickTop="1" x14ac:dyDescent="0.25">
      <c r="A8" s="531" t="s">
        <v>239</v>
      </c>
      <c r="B8" s="510"/>
      <c r="C8" s="511"/>
      <c r="D8" s="124"/>
      <c r="E8" s="146">
        <v>3484</v>
      </c>
      <c r="F8" s="146">
        <v>0.18</v>
      </c>
      <c r="G8" s="288">
        <f>+ROUND(E8*F8,0)</f>
        <v>627</v>
      </c>
      <c r="H8" s="504"/>
    </row>
    <row r="9" spans="1:10" ht="15.75" x14ac:dyDescent="0.25">
      <c r="A9" s="509" t="s">
        <v>362</v>
      </c>
      <c r="B9" s="510"/>
      <c r="C9" s="511"/>
      <c r="D9" s="124" t="s">
        <v>281</v>
      </c>
      <c r="E9" s="121">
        <v>9968</v>
      </c>
      <c r="F9" s="122">
        <v>0.16</v>
      </c>
      <c r="G9" s="285">
        <f>+E9*F9</f>
        <v>1594.88</v>
      </c>
      <c r="H9" s="504"/>
    </row>
    <row r="10" spans="1:10" ht="24" customHeight="1" thickBot="1" x14ac:dyDescent="0.3">
      <c r="A10" s="549" t="s">
        <v>282</v>
      </c>
      <c r="B10" s="550"/>
      <c r="C10" s="551"/>
      <c r="D10" s="125" t="s">
        <v>281</v>
      </c>
      <c r="E10" s="286">
        <v>162197</v>
      </c>
      <c r="F10" s="126">
        <v>1.7999999999999999E-2</v>
      </c>
      <c r="G10" s="287">
        <f>+ROUND(E10*F10,0)</f>
        <v>2920</v>
      </c>
      <c r="H10" s="505"/>
    </row>
    <row r="11" spans="1:10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5141.88</v>
      </c>
    </row>
    <row r="12" spans="1:10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10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10" ht="13.5" thickTop="1" x14ac:dyDescent="0.25">
      <c r="A14" s="506"/>
      <c r="B14" s="507"/>
      <c r="C14" s="508"/>
      <c r="D14" s="174"/>
      <c r="E14" s="175"/>
      <c r="F14" s="176"/>
      <c r="G14" s="177">
        <f t="shared" ref="G14:G16" si="0">+F14*E14</f>
        <v>0</v>
      </c>
      <c r="H14" s="135"/>
    </row>
    <row r="15" spans="1:10" ht="15.6" customHeight="1" x14ac:dyDescent="0.25">
      <c r="A15" s="543"/>
      <c r="B15" s="510"/>
      <c r="C15" s="511"/>
      <c r="D15" s="178"/>
      <c r="E15" s="175"/>
      <c r="F15" s="179"/>
      <c r="G15" s="177">
        <f t="shared" si="0"/>
        <v>0</v>
      </c>
      <c r="H15" s="135"/>
      <c r="I15" s="49">
        <v>0.22</v>
      </c>
      <c r="J15" s="318">
        <v>4924</v>
      </c>
    </row>
    <row r="16" spans="1:10" ht="15.6" customHeight="1" x14ac:dyDescent="0.25">
      <c r="A16" s="543"/>
      <c r="B16" s="510"/>
      <c r="C16" s="511"/>
      <c r="D16" s="178"/>
      <c r="E16" s="175"/>
      <c r="F16" s="179"/>
      <c r="G16" s="177">
        <f t="shared" si="0"/>
        <v>0</v>
      </c>
      <c r="H16" s="135"/>
    </row>
    <row r="17" spans="1:14" ht="13.5" thickBot="1" x14ac:dyDescent="0.3">
      <c r="A17" s="546"/>
      <c r="B17" s="547"/>
      <c r="C17" s="548"/>
      <c r="D17" s="138"/>
      <c r="E17" s="284"/>
      <c r="F17" s="283"/>
      <c r="G17" s="284"/>
      <c r="H17" s="139"/>
    </row>
    <row r="18" spans="1:14" ht="14.25" thickTop="1" thickBot="1" x14ac:dyDescent="0.3">
      <c r="A18" s="496"/>
      <c r="B18" s="486"/>
      <c r="C18" s="486"/>
      <c r="D18" s="129"/>
      <c r="E18" s="129"/>
      <c r="F18" s="130"/>
      <c r="G18" s="130" t="s">
        <v>218</v>
      </c>
      <c r="H18" s="131">
        <f>SUM(G14:G17)</f>
        <v>0</v>
      </c>
    </row>
    <row r="19" spans="1:14" ht="14.25" thickTop="1" thickBot="1" x14ac:dyDescent="0.3">
      <c r="A19" s="112" t="s">
        <v>222</v>
      </c>
      <c r="B19" s="112"/>
      <c r="C19" s="112"/>
      <c r="D19" s="112"/>
      <c r="E19" s="112"/>
      <c r="F19" s="113"/>
      <c r="G19" s="113"/>
      <c r="H19" s="112"/>
    </row>
    <row r="20" spans="1:14" ht="23.25" thickTop="1" x14ac:dyDescent="0.25">
      <c r="A20" s="533" t="s">
        <v>223</v>
      </c>
      <c r="B20" s="507"/>
      <c r="C20" s="140" t="s">
        <v>224</v>
      </c>
      <c r="D20" s="140" t="s">
        <v>225</v>
      </c>
      <c r="E20" s="140" t="s">
        <v>226</v>
      </c>
      <c r="F20" s="140" t="s">
        <v>227</v>
      </c>
      <c r="G20" s="141" t="s">
        <v>217</v>
      </c>
      <c r="H20" s="528"/>
    </row>
    <row r="21" spans="1:14" ht="15.75" x14ac:dyDescent="0.25">
      <c r="A21" s="531" t="s">
        <v>357</v>
      </c>
      <c r="B21" s="511"/>
      <c r="C21" s="142"/>
      <c r="D21" s="122"/>
      <c r="E21" s="142">
        <v>0.3</v>
      </c>
      <c r="F21" s="143">
        <v>1824</v>
      </c>
      <c r="G21" s="144">
        <f>+ROUND(E21*F21,0)</f>
        <v>547</v>
      </c>
      <c r="H21" s="529"/>
    </row>
    <row r="22" spans="1:14" ht="12.75" x14ac:dyDescent="0.25">
      <c r="A22" s="532"/>
      <c r="B22" s="510"/>
      <c r="C22" s="145"/>
      <c r="D22" s="146"/>
      <c r="E22" s="146"/>
      <c r="F22" s="120"/>
      <c r="G22" s="147"/>
      <c r="H22" s="529"/>
    </row>
    <row r="23" spans="1:14" ht="13.5" thickBot="1" x14ac:dyDescent="0.3">
      <c r="A23" s="512"/>
      <c r="B23" s="513"/>
      <c r="C23" s="148"/>
      <c r="D23" s="149"/>
      <c r="E23" s="149"/>
      <c r="F23" s="125"/>
      <c r="G23" s="127"/>
      <c r="H23" s="530"/>
    </row>
    <row r="24" spans="1:14" ht="14.25" thickTop="1" thickBot="1" x14ac:dyDescent="0.3">
      <c r="A24" s="496"/>
      <c r="B24" s="486"/>
      <c r="C24" s="150"/>
      <c r="D24" s="151"/>
      <c r="E24" s="129"/>
      <c r="F24" s="130"/>
      <c r="G24" s="130" t="s">
        <v>218</v>
      </c>
      <c r="H24" s="152">
        <f>SUM(G21:G23)</f>
        <v>547</v>
      </c>
    </row>
    <row r="25" spans="1:14" ht="14.25" thickTop="1" thickBot="1" x14ac:dyDescent="0.3">
      <c r="A25" s="112" t="s">
        <v>228</v>
      </c>
      <c r="B25" s="112"/>
      <c r="C25" s="112"/>
      <c r="D25" s="112"/>
      <c r="E25" s="112"/>
      <c r="F25" s="113"/>
      <c r="G25" s="113"/>
      <c r="H25" s="112"/>
    </row>
    <row r="26" spans="1:14" ht="14.25" thickTop="1" thickBot="1" x14ac:dyDescent="0.3">
      <c r="A26" s="497" t="s">
        <v>229</v>
      </c>
      <c r="B26" s="499"/>
      <c r="C26" s="118" t="s">
        <v>230</v>
      </c>
      <c r="D26" s="118" t="s">
        <v>231</v>
      </c>
      <c r="E26" s="118" t="s">
        <v>232</v>
      </c>
      <c r="F26" s="118" t="s">
        <v>216</v>
      </c>
      <c r="G26" s="119" t="s">
        <v>217</v>
      </c>
      <c r="H26" s="503"/>
    </row>
    <row r="27" spans="1:14" ht="13.5" thickTop="1" x14ac:dyDescent="0.25">
      <c r="A27" s="531" t="s">
        <v>241</v>
      </c>
      <c r="B27" s="511"/>
      <c r="C27" s="154">
        <f>+'ANALISIS M.O'!$F$29*2</f>
        <v>116728</v>
      </c>
      <c r="D27" s="153">
        <f>+'ANALISIS M.O'!$C$26</f>
        <v>1.7733000000000001</v>
      </c>
      <c r="E27" s="143">
        <f t="shared" ref="E27:E28" si="1">+D27*C27</f>
        <v>206993.76240000001</v>
      </c>
      <c r="F27" s="180">
        <v>60</v>
      </c>
      <c r="G27" s="181">
        <f t="shared" ref="G27:G28" si="2">+E27/F27</f>
        <v>3449.8960400000001</v>
      </c>
      <c r="H27" s="504"/>
    </row>
    <row r="28" spans="1:14" ht="12.75" x14ac:dyDescent="0.25">
      <c r="A28" s="531" t="s">
        <v>242</v>
      </c>
      <c r="B28" s="511"/>
      <c r="C28" s="143">
        <f>+'ANALISIS M.O'!$F$31</f>
        <v>105054</v>
      </c>
      <c r="D28" s="153">
        <f>+'ANALISIS M.O'!$C$26</f>
        <v>1.7733000000000001</v>
      </c>
      <c r="E28" s="182">
        <f t="shared" si="1"/>
        <v>186292.25820000001</v>
      </c>
      <c r="F28" s="183">
        <v>43</v>
      </c>
      <c r="G28" s="181">
        <f t="shared" si="2"/>
        <v>4332.3780976744192</v>
      </c>
      <c r="H28" s="504"/>
      <c r="N28" s="318"/>
    </row>
    <row r="29" spans="1:14" ht="12.75" x14ac:dyDescent="0.25">
      <c r="A29" s="544"/>
      <c r="B29" s="511"/>
      <c r="C29" s="154"/>
      <c r="D29" s="153"/>
      <c r="E29" s="143"/>
      <c r="F29" s="155"/>
      <c r="G29" s="144"/>
      <c r="H29" s="504"/>
    </row>
    <row r="30" spans="1:14" ht="12.75" x14ac:dyDescent="0.25">
      <c r="A30" s="531"/>
      <c r="B30" s="511"/>
      <c r="C30" s="154"/>
      <c r="D30" s="153"/>
      <c r="E30" s="143"/>
      <c r="F30" s="155"/>
      <c r="G30" s="144"/>
      <c r="H30" s="504"/>
    </row>
    <row r="31" spans="1:14" ht="13.5" thickBot="1" x14ac:dyDescent="0.3">
      <c r="A31" s="512"/>
      <c r="B31" s="514"/>
      <c r="C31" s="156"/>
      <c r="D31" s="157"/>
      <c r="E31" s="149"/>
      <c r="F31" s="126"/>
      <c r="G31" s="158"/>
      <c r="H31" s="505"/>
      <c r="N31" s="318"/>
    </row>
    <row r="32" spans="1:14" ht="14.25" thickTop="1" thickBot="1" x14ac:dyDescent="0.3">
      <c r="A32" s="496"/>
      <c r="B32" s="486"/>
      <c r="C32" s="150"/>
      <c r="D32" s="129"/>
      <c r="E32" s="159"/>
      <c r="F32" s="130"/>
      <c r="G32" s="130" t="s">
        <v>218</v>
      </c>
      <c r="H32" s="131">
        <f>SUM(G27:G31)</f>
        <v>7782.2741376744198</v>
      </c>
    </row>
    <row r="33" spans="1:8" ht="14.25" thickTop="1" thickBot="1" x14ac:dyDescent="0.3">
      <c r="A33" s="160"/>
      <c r="B33" s="160"/>
      <c r="C33" s="150"/>
      <c r="D33" s="129"/>
      <c r="E33" s="159"/>
      <c r="F33" s="161"/>
      <c r="G33" s="150"/>
      <c r="H33" s="162"/>
    </row>
    <row r="34" spans="1:8" ht="14.25" thickTop="1" thickBot="1" x14ac:dyDescent="0.3">
      <c r="A34" s="160"/>
      <c r="B34" s="112"/>
      <c r="C34" s="112"/>
      <c r="D34" s="112"/>
      <c r="E34" s="539" t="s">
        <v>233</v>
      </c>
      <c r="F34" s="486"/>
      <c r="G34" s="486"/>
      <c r="H34" s="131">
        <f>ROUND((+H11+H18+H24+H32),4)</f>
        <v>13471.1541</v>
      </c>
    </row>
    <row r="35" spans="1:8" ht="13.5" thickTop="1" x14ac:dyDescent="0.25">
      <c r="A35" s="160"/>
      <c r="B35" s="160"/>
      <c r="C35" s="160"/>
      <c r="D35" s="113"/>
      <c r="E35" s="113"/>
      <c r="F35" s="113"/>
      <c r="G35" s="113"/>
      <c r="H35" s="164"/>
    </row>
    <row r="36" spans="1:8" ht="13.5" thickBot="1" x14ac:dyDescent="0.3">
      <c r="A36" s="112" t="s">
        <v>234</v>
      </c>
      <c r="B36" s="112"/>
      <c r="C36" s="112"/>
      <c r="D36" s="112"/>
      <c r="E36" s="112"/>
      <c r="F36" s="113"/>
      <c r="G36" s="113"/>
      <c r="H36" s="112"/>
    </row>
    <row r="37" spans="1:8" ht="13.5" thickTop="1" x14ac:dyDescent="0.25">
      <c r="A37" s="540" t="s">
        <v>26</v>
      </c>
      <c r="B37" s="541"/>
      <c r="C37" s="542"/>
      <c r="D37" s="165" t="s">
        <v>235</v>
      </c>
      <c r="E37" s="165" t="s">
        <v>215</v>
      </c>
      <c r="F37" s="165" t="s">
        <v>216</v>
      </c>
      <c r="G37" s="184" t="s">
        <v>217</v>
      </c>
      <c r="H37" s="503"/>
    </row>
    <row r="38" spans="1:8" ht="15.75" x14ac:dyDescent="0.25">
      <c r="A38" s="534" t="s">
        <v>236</v>
      </c>
      <c r="B38" s="535"/>
      <c r="C38" s="535"/>
      <c r="D38" s="167">
        <f>+'1.1 localizacion'!$D$35</f>
        <v>0.32</v>
      </c>
      <c r="E38" s="168"/>
      <c r="F38" s="169"/>
      <c r="G38" s="185">
        <f>$H$34*D38</f>
        <v>4310.7693120000004</v>
      </c>
      <c r="H38" s="504"/>
    </row>
    <row r="39" spans="1:8" ht="13.5" thickBot="1" x14ac:dyDescent="0.3">
      <c r="A39" s="534" t="s">
        <v>237</v>
      </c>
      <c r="B39" s="536"/>
      <c r="C39" s="536"/>
      <c r="D39" s="167">
        <f>+'1.1 localizacion'!$D$36</f>
        <v>0.05</v>
      </c>
      <c r="E39" s="171"/>
      <c r="F39" s="171"/>
      <c r="G39" s="185">
        <f t="shared" ref="G39" si="3">$H$34*D39</f>
        <v>673.55770500000006</v>
      </c>
      <c r="H39" s="504"/>
    </row>
    <row r="40" spans="1:8" ht="14.25" thickTop="1" thickBot="1" x14ac:dyDescent="0.3">
      <c r="A40" s="496"/>
      <c r="B40" s="486"/>
      <c r="C40" s="486"/>
      <c r="D40" s="128"/>
      <c r="E40" s="129"/>
      <c r="F40" s="130"/>
      <c r="G40" s="130" t="s">
        <v>218</v>
      </c>
      <c r="H40" s="131">
        <f>SUM(G38:G39)</f>
        <v>4984.3270170000005</v>
      </c>
    </row>
    <row r="41" spans="1:8" ht="9.75" customHeight="1" thickTop="1" x14ac:dyDescent="0.25">
      <c r="A41" s="160"/>
      <c r="B41" s="160"/>
      <c r="C41" s="160"/>
      <c r="D41" s="160"/>
      <c r="E41" s="160"/>
      <c r="F41" s="172"/>
      <c r="G41" s="172"/>
      <c r="H41" s="160"/>
    </row>
    <row r="42" spans="1:8" ht="9.75" customHeight="1" thickBot="1" x14ac:dyDescent="0.3">
      <c r="A42" s="160"/>
      <c r="B42" s="160"/>
      <c r="C42" s="160"/>
      <c r="D42" s="160"/>
      <c r="E42" s="160"/>
      <c r="F42" s="172"/>
      <c r="G42" s="172"/>
      <c r="H42" s="160"/>
    </row>
    <row r="43" spans="1:8" ht="14.25" thickTop="1" thickBot="1" x14ac:dyDescent="0.3">
      <c r="A43" s="160"/>
      <c r="B43" s="112"/>
      <c r="C43" s="112"/>
      <c r="D43" s="112"/>
      <c r="E43" s="539" t="s">
        <v>238</v>
      </c>
      <c r="F43" s="486"/>
      <c r="G43" s="486"/>
      <c r="H43" s="131">
        <f>ROUND(H40+H34,0)</f>
        <v>18455</v>
      </c>
    </row>
    <row r="44" spans="1:8" ht="9.75" customHeight="1" thickTop="1" x14ac:dyDescent="0.25">
      <c r="A44" s="160"/>
      <c r="B44" s="160"/>
      <c r="C44" s="160"/>
      <c r="D44" s="160"/>
      <c r="E44" s="160"/>
      <c r="F44" s="172"/>
      <c r="G44" s="172"/>
      <c r="H44" s="160"/>
    </row>
  </sheetData>
  <mergeCells count="38">
    <mergeCell ref="A40:C40"/>
    <mergeCell ref="E43:G43"/>
    <mergeCell ref="A32:B32"/>
    <mergeCell ref="E34:G34"/>
    <mergeCell ref="A37:C37"/>
    <mergeCell ref="H37:H39"/>
    <mergeCell ref="A38:C38"/>
    <mergeCell ref="A39:C39"/>
    <mergeCell ref="A24:B24"/>
    <mergeCell ref="A26:B26"/>
    <mergeCell ref="H26:H31"/>
    <mergeCell ref="A27:B27"/>
    <mergeCell ref="A28:B28"/>
    <mergeCell ref="A29:B29"/>
    <mergeCell ref="A30:B30"/>
    <mergeCell ref="A31:B31"/>
    <mergeCell ref="A18:C18"/>
    <mergeCell ref="A20:B20"/>
    <mergeCell ref="H20:H23"/>
    <mergeCell ref="A21:B21"/>
    <mergeCell ref="A22:B22"/>
    <mergeCell ref="A23:B23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E21C-09E5-4A6D-90C5-FBA40BA05DBF}">
  <sheetPr codeName="Hoja9">
    <pageSetUpPr fitToPage="1"/>
  </sheetPr>
  <dimension ref="A1:I41"/>
  <sheetViews>
    <sheetView view="pageBreakPreview" topLeftCell="A6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8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2.2999999999999998</v>
      </c>
    </row>
    <row r="5" spans="1:8" ht="12.75" x14ac:dyDescent="0.25">
      <c r="A5" s="114" t="s">
        <v>211</v>
      </c>
      <c r="B5" s="524" t="str">
        <f>VLOOKUP(H4,'PRESUPUESTO OFICIAL'!A:F,2,0)</f>
        <v>DESMONTE DE PISOS O PAREDES EN MADERA; INCLUYE ESTRUCTURA DE SOPORTE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6.5" thickTop="1" x14ac:dyDescent="0.25">
      <c r="A8" s="506" t="s">
        <v>345</v>
      </c>
      <c r="B8" s="507"/>
      <c r="C8" s="508"/>
      <c r="D8" s="120"/>
      <c r="E8" s="121"/>
      <c r="F8" s="463">
        <v>0.08</v>
      </c>
      <c r="G8" s="123">
        <f>+H29*0.08</f>
        <v>936</v>
      </c>
      <c r="H8" s="504"/>
    </row>
    <row r="9" spans="1:8" ht="15.75" x14ac:dyDescent="0.25">
      <c r="A9" s="509"/>
      <c r="B9" s="510"/>
      <c r="C9" s="511"/>
      <c r="D9" s="124"/>
      <c r="E9" s="121"/>
      <c r="F9" s="122"/>
      <c r="G9" s="123"/>
      <c r="H9" s="504"/>
    </row>
    <row r="10" spans="1:8" ht="13.5" thickBot="1" x14ac:dyDescent="0.3">
      <c r="A10" s="512"/>
      <c r="B10" s="513"/>
      <c r="C10" s="514"/>
      <c r="D10" s="125"/>
      <c r="E10" s="126"/>
      <c r="F10" s="126"/>
      <c r="G10" s="12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936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3.5" thickTop="1" x14ac:dyDescent="0.25">
      <c r="A14" s="500"/>
      <c r="B14" s="501"/>
      <c r="C14" s="502"/>
      <c r="D14" s="133"/>
      <c r="E14" s="297"/>
      <c r="F14" s="134"/>
      <c r="G14" s="300">
        <f t="shared" ref="G14:G15" si="0">+F14*E14</f>
        <v>0</v>
      </c>
      <c r="H14" s="135"/>
    </row>
    <row r="15" spans="1:8" ht="12.75" x14ac:dyDescent="0.25">
      <c r="A15" s="525"/>
      <c r="B15" s="526"/>
      <c r="C15" s="527"/>
      <c r="D15" s="136"/>
      <c r="E15" s="298"/>
      <c r="F15" s="137"/>
      <c r="G15" s="301">
        <f t="shared" si="0"/>
        <v>0</v>
      </c>
      <c r="H15" s="135"/>
    </row>
    <row r="16" spans="1:8" ht="13.5" thickBot="1" x14ac:dyDescent="0.3">
      <c r="A16" s="512"/>
      <c r="B16" s="513"/>
      <c r="C16" s="514"/>
      <c r="D16" s="138"/>
      <c r="E16" s="299"/>
      <c r="F16" s="126"/>
      <c r="G16" s="302"/>
      <c r="H16" s="139"/>
    </row>
    <row r="17" spans="1:9" ht="14.25" thickTop="1" thickBot="1" x14ac:dyDescent="0.3">
      <c r="A17" s="496"/>
      <c r="B17" s="486"/>
      <c r="C17" s="486"/>
      <c r="D17" s="129"/>
      <c r="E17" s="129"/>
      <c r="F17" s="130"/>
      <c r="G17" s="130" t="s">
        <v>218</v>
      </c>
      <c r="H17" s="131">
        <f>SUM(G14:G16)</f>
        <v>0</v>
      </c>
    </row>
    <row r="18" spans="1:9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9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9" ht="15.75" x14ac:dyDescent="0.25">
      <c r="A20" s="531"/>
      <c r="B20" s="511"/>
      <c r="C20" s="142"/>
      <c r="D20" s="122"/>
      <c r="E20" s="142"/>
      <c r="F20" s="143"/>
      <c r="G20" s="144"/>
      <c r="H20" s="529"/>
    </row>
    <row r="21" spans="1:9" ht="12.75" x14ac:dyDescent="0.25">
      <c r="A21" s="532"/>
      <c r="B21" s="510"/>
      <c r="C21" s="145"/>
      <c r="D21" s="146"/>
      <c r="E21" s="146"/>
      <c r="F21" s="120"/>
      <c r="G21" s="147"/>
      <c r="H21" s="529"/>
    </row>
    <row r="22" spans="1:9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9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0</v>
      </c>
    </row>
    <row r="24" spans="1:9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9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9" ht="13.5" thickTop="1" x14ac:dyDescent="0.25">
      <c r="A26" s="506" t="s">
        <v>471</v>
      </c>
      <c r="B26" s="538"/>
      <c r="C26" s="154">
        <v>130000</v>
      </c>
      <c r="D26" s="153">
        <v>1.8</v>
      </c>
      <c r="E26" s="143">
        <f t="shared" ref="E26" si="1">+D26*C26</f>
        <v>234000</v>
      </c>
      <c r="F26" s="155">
        <v>20</v>
      </c>
      <c r="G26" s="144">
        <f t="shared" ref="G26" si="2">+E26/F26</f>
        <v>11700</v>
      </c>
      <c r="H26" s="504"/>
    </row>
    <row r="27" spans="1:9" ht="12.75" x14ac:dyDescent="0.25">
      <c r="A27" s="531"/>
      <c r="B27" s="537"/>
      <c r="C27" s="143"/>
      <c r="D27" s="153"/>
      <c r="E27" s="143"/>
      <c r="F27" s="155"/>
      <c r="G27" s="144"/>
      <c r="H27" s="504"/>
    </row>
    <row r="28" spans="1:9" ht="13.5" thickBot="1" x14ac:dyDescent="0.3">
      <c r="A28" s="512"/>
      <c r="B28" s="514"/>
      <c r="C28" s="156"/>
      <c r="D28" s="157"/>
      <c r="E28" s="149"/>
      <c r="F28" s="126"/>
      <c r="G28" s="158"/>
      <c r="H28" s="505"/>
    </row>
    <row r="29" spans="1:9" ht="14.25" thickTop="1" thickBot="1" x14ac:dyDescent="0.3">
      <c r="A29" s="496"/>
      <c r="B29" s="486"/>
      <c r="C29" s="150"/>
      <c r="D29" s="129"/>
      <c r="E29" s="159"/>
      <c r="F29" s="130"/>
      <c r="G29" s="130" t="s">
        <v>218</v>
      </c>
      <c r="H29" s="131">
        <f>SUM(G26:G28)</f>
        <v>11700</v>
      </c>
    </row>
    <row r="30" spans="1:9" ht="14.25" thickTop="1" thickBot="1" x14ac:dyDescent="0.3">
      <c r="A30" s="160"/>
      <c r="B30" s="160"/>
      <c r="C30" s="150"/>
      <c r="D30" s="129"/>
      <c r="E30" s="159"/>
      <c r="F30" s="161"/>
      <c r="G30" s="150"/>
      <c r="H30" s="162"/>
    </row>
    <row r="31" spans="1:9" ht="14.25" thickTop="1" thickBot="1" x14ac:dyDescent="0.3">
      <c r="A31" s="160"/>
      <c r="B31" s="112"/>
      <c r="C31" s="112"/>
      <c r="D31" s="112"/>
      <c r="E31" s="539" t="s">
        <v>233</v>
      </c>
      <c r="F31" s="486"/>
      <c r="G31" s="486"/>
      <c r="H31" s="131">
        <f>ROUND((+H11+H17+H23+H29),4)</f>
        <v>12636</v>
      </c>
      <c r="I31" s="163"/>
    </row>
    <row r="32" spans="1:9" ht="13.5" thickTop="1" x14ac:dyDescent="0.25">
      <c r="A32" s="160"/>
      <c r="B32" s="160"/>
      <c r="C32" s="160"/>
      <c r="D32" s="113"/>
      <c r="E32" s="113"/>
      <c r="F32" s="113"/>
      <c r="G32" s="113"/>
      <c r="H32" s="164"/>
    </row>
    <row r="33" spans="1:8" ht="13.5" thickBot="1" x14ac:dyDescent="0.3">
      <c r="A33" s="112" t="s">
        <v>234</v>
      </c>
      <c r="B33" s="112"/>
      <c r="C33" s="112"/>
      <c r="D33" s="112"/>
      <c r="E33" s="112"/>
      <c r="F33" s="113"/>
      <c r="G33" s="113"/>
      <c r="H33" s="112"/>
    </row>
    <row r="34" spans="1:8" ht="13.5" thickTop="1" x14ac:dyDescent="0.25">
      <c r="A34" s="540" t="s">
        <v>26</v>
      </c>
      <c r="B34" s="541"/>
      <c r="C34" s="542"/>
      <c r="D34" s="165" t="s">
        <v>235</v>
      </c>
      <c r="E34" s="165" t="s">
        <v>215</v>
      </c>
      <c r="F34" s="165" t="s">
        <v>216</v>
      </c>
      <c r="G34" s="166" t="s">
        <v>217</v>
      </c>
      <c r="H34" s="528"/>
    </row>
    <row r="35" spans="1:8" ht="15.75" x14ac:dyDescent="0.25">
      <c r="A35" s="534" t="s">
        <v>236</v>
      </c>
      <c r="B35" s="535"/>
      <c r="C35" s="535"/>
      <c r="D35" s="167">
        <f>+'PRESUPUESTO OFICIAL'!E57</f>
        <v>0.32</v>
      </c>
      <c r="E35" s="168"/>
      <c r="F35" s="169"/>
      <c r="G35" s="170">
        <f>$H$31*D35</f>
        <v>4043.52</v>
      </c>
      <c r="H35" s="529"/>
    </row>
    <row r="36" spans="1:8" ht="13.5" thickBot="1" x14ac:dyDescent="0.3">
      <c r="A36" s="534" t="s">
        <v>237</v>
      </c>
      <c r="B36" s="536"/>
      <c r="C36" s="536"/>
      <c r="D36" s="167">
        <v>0.05</v>
      </c>
      <c r="E36" s="171"/>
      <c r="F36" s="171"/>
      <c r="G36" s="170">
        <f t="shared" ref="G36" si="3">$H$31*D36</f>
        <v>631.80000000000007</v>
      </c>
      <c r="H36" s="529"/>
    </row>
    <row r="37" spans="1:8" ht="14.25" thickTop="1" thickBot="1" x14ac:dyDescent="0.3">
      <c r="A37" s="496"/>
      <c r="B37" s="486"/>
      <c r="C37" s="486"/>
      <c r="D37" s="128"/>
      <c r="E37" s="129"/>
      <c r="F37" s="130"/>
      <c r="G37" s="130" t="s">
        <v>218</v>
      </c>
      <c r="H37" s="131">
        <f>SUM(G35:G36)</f>
        <v>4675.32</v>
      </c>
    </row>
    <row r="38" spans="1:8" ht="9.75" customHeight="1" thickTop="1" x14ac:dyDescent="0.25">
      <c r="A38" s="160"/>
      <c r="B38" s="160"/>
      <c r="C38" s="160"/>
      <c r="D38" s="160"/>
      <c r="E38" s="160"/>
      <c r="F38" s="172"/>
      <c r="G38" s="172"/>
      <c r="H38" s="160"/>
    </row>
    <row r="39" spans="1:8" ht="9.75" customHeight="1" thickBot="1" x14ac:dyDescent="0.3">
      <c r="A39" s="160"/>
      <c r="B39" s="160"/>
      <c r="C39" s="160"/>
      <c r="D39" s="160"/>
      <c r="E39" s="160"/>
      <c r="F39" s="172"/>
      <c r="G39" s="172"/>
      <c r="H39" s="160"/>
    </row>
    <row r="40" spans="1:8" ht="14.25" thickTop="1" thickBot="1" x14ac:dyDescent="0.3">
      <c r="A40" s="160"/>
      <c r="B40" s="112"/>
      <c r="C40" s="112"/>
      <c r="D40" s="112"/>
      <c r="E40" s="539" t="s">
        <v>238</v>
      </c>
      <c r="F40" s="486"/>
      <c r="G40" s="486"/>
      <c r="H40" s="131">
        <f>ROUND(H37+H31,0)</f>
        <v>17311</v>
      </c>
    </row>
    <row r="41" spans="1:8" ht="9.75" customHeight="1" thickTop="1" x14ac:dyDescent="0.25">
      <c r="A41" s="160"/>
      <c r="B41" s="160"/>
      <c r="C41" s="160"/>
      <c r="D41" s="160"/>
      <c r="E41" s="160"/>
      <c r="F41" s="172"/>
      <c r="G41" s="172"/>
      <c r="H41" s="160"/>
    </row>
  </sheetData>
  <mergeCells count="35">
    <mergeCell ref="E40:G40"/>
    <mergeCell ref="E31:G31"/>
    <mergeCell ref="A34:C34"/>
    <mergeCell ref="H34:H36"/>
    <mergeCell ref="A35:C35"/>
    <mergeCell ref="A36:C36"/>
    <mergeCell ref="A37:C37"/>
    <mergeCell ref="A29:B29"/>
    <mergeCell ref="A19:B19"/>
    <mergeCell ref="H19:H22"/>
    <mergeCell ref="A20:B20"/>
    <mergeCell ref="A21:B21"/>
    <mergeCell ref="A22:B22"/>
    <mergeCell ref="A23:B23"/>
    <mergeCell ref="A25:B25"/>
    <mergeCell ref="H25:H28"/>
    <mergeCell ref="A26:B26"/>
    <mergeCell ref="A27:B27"/>
    <mergeCell ref="A28:B28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B123B-ECF3-4705-BD66-215F05EC45FC}">
  <sheetPr codeName="Hoja10"/>
  <dimension ref="A1:H20"/>
  <sheetViews>
    <sheetView topLeftCell="B12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x14ac:dyDescent="0.25">
      <c r="A1" s="417"/>
      <c r="B1" s="418">
        <v>2.4</v>
      </c>
      <c r="C1" s="419" t="str">
        <f>+'PRESUPUESTO OFICIAL'!B13</f>
        <v>DEMOLICIÓN MANUAL DE ENCHAPE O PAÑETE</v>
      </c>
      <c r="D1" s="420" t="str">
        <f>+'PRESUPUESTO OFICIAL'!C37</f>
        <v>M2</v>
      </c>
      <c r="E1" s="552">
        <f>+G13</f>
        <v>16849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479</v>
      </c>
      <c r="B4" s="428"/>
      <c r="C4" s="434" t="s">
        <v>362</v>
      </c>
      <c r="D4" s="430" t="s">
        <v>48</v>
      </c>
      <c r="E4" s="451">
        <v>0.1</v>
      </c>
      <c r="F4" s="435">
        <v>4924</v>
      </c>
      <c r="G4" s="473">
        <f>+F4*E4</f>
        <v>492.40000000000003</v>
      </c>
    </row>
    <row r="5" spans="1:8" x14ac:dyDescent="0.25">
      <c r="A5" s="464" t="s">
        <v>479</v>
      </c>
      <c r="B5" s="428"/>
      <c r="C5" s="434" t="s">
        <v>566</v>
      </c>
      <c r="D5" s="430" t="s">
        <v>68</v>
      </c>
      <c r="E5" s="474">
        <v>1.4E-3</v>
      </c>
      <c r="F5" s="435">
        <v>52309</v>
      </c>
      <c r="G5" s="473">
        <f>+F5*E5</f>
        <v>73.232600000000005</v>
      </c>
    </row>
    <row r="6" spans="1:8" x14ac:dyDescent="0.25">
      <c r="A6" s="464" t="s">
        <v>479</v>
      </c>
      <c r="B6" s="428"/>
      <c r="C6" s="434" t="s">
        <v>567</v>
      </c>
      <c r="D6" s="430" t="s">
        <v>68</v>
      </c>
      <c r="E6" s="451">
        <v>1.4E-3</v>
      </c>
      <c r="F6" s="435">
        <v>32335</v>
      </c>
      <c r="G6" s="473">
        <f>+F6*E6</f>
        <v>45.268999999999998</v>
      </c>
    </row>
    <row r="7" spans="1:8" x14ac:dyDescent="0.25">
      <c r="A7" s="427"/>
      <c r="B7" s="428"/>
      <c r="C7" s="429" t="s">
        <v>468</v>
      </c>
      <c r="D7" s="430"/>
      <c r="E7" s="431"/>
      <c r="F7" s="432"/>
      <c r="G7" s="433"/>
    </row>
    <row r="8" spans="1:8" x14ac:dyDescent="0.25">
      <c r="A8" s="464"/>
      <c r="B8" s="428"/>
      <c r="C8" s="434"/>
      <c r="D8" s="430"/>
      <c r="E8" s="466"/>
      <c r="F8" s="432"/>
      <c r="G8" s="433"/>
    </row>
    <row r="9" spans="1:8" x14ac:dyDescent="0.25">
      <c r="A9" s="427"/>
      <c r="B9" s="428"/>
      <c r="C9" s="429" t="s">
        <v>458</v>
      </c>
      <c r="D9" s="430"/>
      <c r="E9" s="431"/>
      <c r="F9" s="432"/>
      <c r="G9" s="433"/>
    </row>
    <row r="10" spans="1:8" x14ac:dyDescent="0.25">
      <c r="A10" s="464"/>
      <c r="B10" s="428"/>
      <c r="C10" s="434"/>
      <c r="D10" s="430"/>
      <c r="E10" s="469"/>
      <c r="F10" s="432"/>
      <c r="G10" s="433"/>
    </row>
    <row r="11" spans="1:8" x14ac:dyDescent="0.25">
      <c r="A11" s="436"/>
      <c r="B11" s="428"/>
      <c r="C11" s="429" t="s">
        <v>461</v>
      </c>
      <c r="D11" s="430"/>
      <c r="E11" s="431"/>
      <c r="F11" s="432"/>
      <c r="G11" s="433"/>
    </row>
    <row r="12" spans="1:8" x14ac:dyDescent="0.25">
      <c r="A12" s="427" t="s">
        <v>462</v>
      </c>
      <c r="B12" s="428"/>
      <c r="C12" s="434" t="s">
        <v>463</v>
      </c>
      <c r="D12" s="430" t="s">
        <v>48</v>
      </c>
      <c r="E12" s="431">
        <v>6.8000000000000005E-2</v>
      </c>
      <c r="F12" s="434">
        <v>238792</v>
      </c>
      <c r="G12" s="475">
        <f>+F12*E12</f>
        <v>16237.856000000002</v>
      </c>
    </row>
    <row r="13" spans="1:8" ht="15.75" thickBot="1" x14ac:dyDescent="0.3">
      <c r="A13" s="437"/>
      <c r="B13" s="438"/>
      <c r="C13" s="439"/>
      <c r="D13" s="440"/>
      <c r="E13" s="441"/>
      <c r="F13" s="442"/>
      <c r="G13" s="443">
        <f>ROUND(SUM(G4:G12),0)</f>
        <v>16849</v>
      </c>
    </row>
    <row r="15" spans="1:8" ht="15.75" thickBot="1" x14ac:dyDescent="0.3">
      <c r="A15" s="112" t="s">
        <v>234</v>
      </c>
      <c r="B15" s="112"/>
      <c r="C15" s="112"/>
      <c r="D15" s="112"/>
      <c r="E15" s="112"/>
      <c r="F15" s="113"/>
      <c r="G15" s="113"/>
      <c r="H15" s="112"/>
    </row>
    <row r="16" spans="1:8" ht="15.75" thickTop="1" x14ac:dyDescent="0.25">
      <c r="A16" s="540" t="s">
        <v>26</v>
      </c>
      <c r="B16" s="541"/>
      <c r="C16" s="542"/>
      <c r="D16" s="165" t="s">
        <v>235</v>
      </c>
      <c r="E16" s="165" t="s">
        <v>215</v>
      </c>
      <c r="F16" s="165" t="s">
        <v>216</v>
      </c>
      <c r="G16" s="184" t="s">
        <v>217</v>
      </c>
      <c r="H16" s="503"/>
    </row>
    <row r="17" spans="1:8" ht="15.75" x14ac:dyDescent="0.25">
      <c r="A17" s="534" t="s">
        <v>236</v>
      </c>
      <c r="B17" s="535"/>
      <c r="C17" s="535"/>
      <c r="D17" s="167">
        <f>+'1.1 localizacion'!$D$35</f>
        <v>0.32</v>
      </c>
      <c r="E17" s="168"/>
      <c r="F17" s="169"/>
      <c r="G17" s="185">
        <f>G13*D17</f>
        <v>5391.68</v>
      </c>
      <c r="H17" s="504"/>
    </row>
    <row r="18" spans="1:8" ht="15.75" thickBot="1" x14ac:dyDescent="0.3">
      <c r="A18" s="534" t="s">
        <v>237</v>
      </c>
      <c r="B18" s="536"/>
      <c r="C18" s="536"/>
      <c r="D18" s="167">
        <v>0.05</v>
      </c>
      <c r="E18" s="171"/>
      <c r="F18" s="171"/>
      <c r="G18" s="185">
        <f>G13*D18</f>
        <v>842.45</v>
      </c>
      <c r="H18" s="504"/>
    </row>
    <row r="19" spans="1:8" ht="16.5" thickTop="1" thickBot="1" x14ac:dyDescent="0.3">
      <c r="A19" s="496"/>
      <c r="B19" s="486"/>
      <c r="C19" s="486"/>
      <c r="D19" s="128"/>
      <c r="E19" s="129"/>
      <c r="F19" s="130"/>
      <c r="G19" s="130" t="s">
        <v>218</v>
      </c>
      <c r="H19" s="131">
        <f>+G17+G18+G13</f>
        <v>23083.13</v>
      </c>
    </row>
    <row r="20" spans="1:8" ht="15.75" thickTop="1" x14ac:dyDescent="0.25"/>
  </sheetData>
  <mergeCells count="6">
    <mergeCell ref="A19:C19"/>
    <mergeCell ref="E1:G1"/>
    <mergeCell ref="A16:C16"/>
    <mergeCell ref="H16:H18"/>
    <mergeCell ref="A17:C17"/>
    <mergeCell ref="A18:C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C87A-02B4-4E89-8D33-3C5DA9D7DC48}">
  <sheetPr codeName="Hoja11">
    <pageSetUpPr fitToPage="1"/>
  </sheetPr>
  <dimension ref="A1:M45"/>
  <sheetViews>
    <sheetView view="pageBreakPreview" topLeftCell="A29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13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13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13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13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 t="s">
        <v>307</v>
      </c>
    </row>
    <row r="5" spans="1:13" ht="30.6" customHeight="1" x14ac:dyDescent="0.25">
      <c r="A5" s="114" t="s">
        <v>211</v>
      </c>
      <c r="B5" s="524" t="str">
        <f>VLOOKUP(H4,'PRESUPUESTO OFICIAL'!A:F,2,0)</f>
        <v>SUMINISTRO, TRANSPORTE E INSTALACIÓN DE TEJA TERMOACÚSTICA TIPO CINDURIB O SIMILAR, A=0.82 M, INCLUYE ACCESORIOS DE FIJACIÓN.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13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13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13" ht="13.5" thickTop="1" x14ac:dyDescent="0.25">
      <c r="A8" s="49" t="s">
        <v>361</v>
      </c>
      <c r="D8" s="124" t="s">
        <v>68</v>
      </c>
      <c r="E8" s="146">
        <v>726643</v>
      </c>
      <c r="F8" s="146">
        <v>2E-3</v>
      </c>
      <c r="G8" s="288">
        <f>+E8*F8</f>
        <v>1453.2860000000001</v>
      </c>
      <c r="H8" s="504"/>
    </row>
    <row r="9" spans="1:13" ht="15.75" x14ac:dyDescent="0.25">
      <c r="A9" s="49" t="s">
        <v>362</v>
      </c>
      <c r="D9" s="124" t="s">
        <v>48</v>
      </c>
      <c r="E9" s="121">
        <v>4924</v>
      </c>
      <c r="F9" s="122">
        <v>0.71</v>
      </c>
      <c r="G9" s="288">
        <f t="shared" ref="G9:G10" si="0">+E9*F9</f>
        <v>3496.04</v>
      </c>
      <c r="H9" s="504"/>
    </row>
    <row r="10" spans="1:13" ht="24" customHeight="1" thickBot="1" x14ac:dyDescent="0.3">
      <c r="A10" s="49" t="s">
        <v>363</v>
      </c>
      <c r="D10" s="125" t="s">
        <v>68</v>
      </c>
      <c r="E10" s="286">
        <v>39560</v>
      </c>
      <c r="F10" s="126">
        <v>1E-3</v>
      </c>
      <c r="G10" s="288">
        <f t="shared" si="0"/>
        <v>39.56</v>
      </c>
      <c r="H10" s="505"/>
    </row>
    <row r="11" spans="1:13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4988.8860000000004</v>
      </c>
    </row>
    <row r="12" spans="1:13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  <c r="J12" s="49" t="s">
        <v>361</v>
      </c>
      <c r="K12" s="49" t="s">
        <v>68</v>
      </c>
      <c r="L12" s="49">
        <v>2E-3</v>
      </c>
      <c r="M12" s="318">
        <v>726643</v>
      </c>
    </row>
    <row r="13" spans="1:13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  <c r="J13" s="49" t="s">
        <v>362</v>
      </c>
      <c r="K13" s="49" t="s">
        <v>48</v>
      </c>
      <c r="L13" s="49">
        <v>0.71</v>
      </c>
      <c r="M13" s="318">
        <v>4924</v>
      </c>
    </row>
    <row r="14" spans="1:13" ht="13.5" thickTop="1" x14ac:dyDescent="0.25">
      <c r="A14" s="49" t="s">
        <v>359</v>
      </c>
      <c r="D14" s="174" t="s">
        <v>327</v>
      </c>
      <c r="E14" s="175">
        <v>58340</v>
      </c>
      <c r="F14" s="176">
        <v>1.22</v>
      </c>
      <c r="G14" s="177">
        <f t="shared" ref="G14:G15" si="1">+F14*E14</f>
        <v>71174.8</v>
      </c>
      <c r="H14" s="135"/>
      <c r="J14" s="49" t="s">
        <v>363</v>
      </c>
      <c r="K14" s="49" t="s">
        <v>68</v>
      </c>
      <c r="L14" s="49">
        <v>1E-3</v>
      </c>
      <c r="M14" s="318">
        <v>39560</v>
      </c>
    </row>
    <row r="15" spans="1:13" ht="15.6" customHeight="1" x14ac:dyDescent="0.25">
      <c r="A15" s="49" t="s">
        <v>360</v>
      </c>
      <c r="D15" s="178" t="s">
        <v>257</v>
      </c>
      <c r="E15" s="175">
        <v>71174.8</v>
      </c>
      <c r="F15" s="319">
        <v>0.05</v>
      </c>
      <c r="G15" s="177">
        <f t="shared" si="1"/>
        <v>3558.7400000000002</v>
      </c>
      <c r="H15" s="135"/>
    </row>
    <row r="16" spans="1:13" ht="15.6" customHeight="1" x14ac:dyDescent="0.25">
      <c r="A16" s="543"/>
      <c r="B16" s="510"/>
      <c r="C16" s="511"/>
      <c r="D16" s="178"/>
      <c r="E16" s="175"/>
      <c r="F16" s="179"/>
      <c r="G16" s="177"/>
      <c r="H16" s="135"/>
    </row>
    <row r="17" spans="1:13" ht="15.6" customHeight="1" x14ac:dyDescent="0.25">
      <c r="A17" s="543"/>
      <c r="B17" s="510"/>
      <c r="C17" s="511"/>
      <c r="D17" s="178"/>
      <c r="E17" s="175"/>
      <c r="F17" s="289"/>
      <c r="G17" s="177"/>
      <c r="H17" s="135"/>
    </row>
    <row r="18" spans="1:13" ht="13.5" thickBot="1" x14ac:dyDescent="0.3">
      <c r="A18" s="546"/>
      <c r="B18" s="547"/>
      <c r="C18" s="548"/>
      <c r="D18" s="138"/>
      <c r="E18" s="284"/>
      <c r="F18" s="125"/>
      <c r="G18" s="286"/>
      <c r="H18" s="139"/>
    </row>
    <row r="19" spans="1:13" ht="14.25" thickTop="1" thickBot="1" x14ac:dyDescent="0.3">
      <c r="A19" s="496"/>
      <c r="B19" s="486"/>
      <c r="C19" s="486"/>
      <c r="D19" s="129"/>
      <c r="E19" s="129"/>
      <c r="F19" s="130"/>
      <c r="G19" s="130" t="s">
        <v>218</v>
      </c>
      <c r="H19" s="131">
        <f>SUM(G14:G18)</f>
        <v>74733.540000000008</v>
      </c>
    </row>
    <row r="20" spans="1:13" ht="14.25" thickTop="1" thickBot="1" x14ac:dyDescent="0.3">
      <c r="A20" s="112" t="s">
        <v>222</v>
      </c>
      <c r="B20" s="112"/>
      <c r="C20" s="112"/>
      <c r="D20" s="112"/>
      <c r="E20" s="112"/>
      <c r="F20" s="113"/>
      <c r="G20" s="113"/>
      <c r="H20" s="112"/>
    </row>
    <row r="21" spans="1:13" ht="23.25" thickTop="1" x14ac:dyDescent="0.25">
      <c r="A21" s="533" t="s">
        <v>223</v>
      </c>
      <c r="B21" s="507"/>
      <c r="C21" s="140" t="s">
        <v>224</v>
      </c>
      <c r="D21" s="140" t="s">
        <v>225</v>
      </c>
      <c r="E21" s="140" t="s">
        <v>226</v>
      </c>
      <c r="F21" s="140" t="s">
        <v>227</v>
      </c>
      <c r="G21" s="141" t="s">
        <v>217</v>
      </c>
      <c r="H21" s="528"/>
    </row>
    <row r="22" spans="1:13" ht="15.75" x14ac:dyDescent="0.25">
      <c r="A22" s="531" t="s">
        <v>364</v>
      </c>
      <c r="B22" s="511"/>
      <c r="C22" s="142"/>
      <c r="D22" s="122"/>
      <c r="E22" s="49">
        <v>0.01</v>
      </c>
      <c r="F22" s="318">
        <v>60740</v>
      </c>
      <c r="G22" s="144">
        <f>+E22*F22</f>
        <v>607.4</v>
      </c>
      <c r="H22" s="529"/>
    </row>
    <row r="23" spans="1:13" ht="12.75" x14ac:dyDescent="0.25">
      <c r="A23" s="532"/>
      <c r="B23" s="510"/>
      <c r="C23" s="145"/>
      <c r="D23" s="146"/>
      <c r="E23" s="146"/>
      <c r="F23" s="120"/>
      <c r="G23" s="147"/>
      <c r="H23" s="529"/>
    </row>
    <row r="24" spans="1:13" ht="13.5" thickBot="1" x14ac:dyDescent="0.3">
      <c r="A24" s="512"/>
      <c r="B24" s="513"/>
      <c r="C24" s="148"/>
      <c r="D24" s="149"/>
      <c r="E24" s="149"/>
      <c r="F24" s="125"/>
      <c r="G24" s="127"/>
      <c r="H24" s="530"/>
    </row>
    <row r="25" spans="1:13" ht="14.25" thickTop="1" thickBot="1" x14ac:dyDescent="0.3">
      <c r="A25" s="496"/>
      <c r="B25" s="486"/>
      <c r="C25" s="150"/>
      <c r="D25" s="151"/>
      <c r="E25" s="129"/>
      <c r="F25" s="130"/>
      <c r="G25" s="130" t="s">
        <v>218</v>
      </c>
      <c r="H25" s="152">
        <f>SUM(G22:G24)</f>
        <v>607.4</v>
      </c>
    </row>
    <row r="26" spans="1:13" ht="14.25" thickTop="1" thickBot="1" x14ac:dyDescent="0.3">
      <c r="A26" s="112" t="s">
        <v>228</v>
      </c>
      <c r="B26" s="112"/>
      <c r="C26" s="112"/>
      <c r="D26" s="112"/>
      <c r="E26" s="112"/>
      <c r="F26" s="113"/>
      <c r="G26" s="113"/>
      <c r="H26" s="112"/>
      <c r="M26" s="318"/>
    </row>
    <row r="27" spans="1:13" ht="14.25" thickTop="1" thickBot="1" x14ac:dyDescent="0.3">
      <c r="A27" s="497" t="s">
        <v>229</v>
      </c>
      <c r="B27" s="499"/>
      <c r="C27" s="118" t="s">
        <v>230</v>
      </c>
      <c r="D27" s="118" t="s">
        <v>231</v>
      </c>
      <c r="E27" s="118" t="s">
        <v>232</v>
      </c>
      <c r="F27" s="118" t="s">
        <v>216</v>
      </c>
      <c r="G27" s="119" t="s">
        <v>217</v>
      </c>
      <c r="H27" s="503"/>
    </row>
    <row r="28" spans="1:13" ht="13.5" thickTop="1" x14ac:dyDescent="0.25">
      <c r="A28" s="531" t="s">
        <v>365</v>
      </c>
      <c r="B28" s="511"/>
      <c r="C28" s="154">
        <v>214937</v>
      </c>
      <c r="D28" s="153"/>
      <c r="E28" s="143"/>
      <c r="F28" s="180">
        <v>9.8000000000000004E-2</v>
      </c>
      <c r="G28" s="181">
        <f>+F28*C28</f>
        <v>21063.826000000001</v>
      </c>
      <c r="H28" s="504"/>
    </row>
    <row r="29" spans="1:13" ht="12.75" x14ac:dyDescent="0.25">
      <c r="A29" s="531"/>
      <c r="B29" s="511"/>
      <c r="C29" s="143"/>
      <c r="D29" s="153"/>
      <c r="E29" s="182"/>
      <c r="F29" s="183"/>
      <c r="G29" s="181"/>
      <c r="H29" s="504"/>
    </row>
    <row r="30" spans="1:13" ht="12.75" x14ac:dyDescent="0.25">
      <c r="A30" s="544"/>
      <c r="B30" s="511"/>
      <c r="C30" s="154"/>
      <c r="D30" s="153"/>
      <c r="E30" s="143"/>
      <c r="F30" s="155"/>
      <c r="G30" s="144"/>
      <c r="H30" s="504"/>
    </row>
    <row r="31" spans="1:13" ht="12.75" x14ac:dyDescent="0.25">
      <c r="A31" s="531"/>
      <c r="B31" s="511"/>
      <c r="C31" s="154"/>
      <c r="D31" s="153"/>
      <c r="E31" s="143"/>
      <c r="F31" s="155"/>
      <c r="G31" s="144"/>
      <c r="H31" s="504"/>
    </row>
    <row r="32" spans="1:13" ht="13.5" thickBot="1" x14ac:dyDescent="0.3">
      <c r="A32" s="512"/>
      <c r="B32" s="514"/>
      <c r="C32" s="156"/>
      <c r="D32" s="157"/>
      <c r="E32" s="149"/>
      <c r="F32" s="126"/>
      <c r="G32" s="158"/>
      <c r="H32" s="505"/>
    </row>
    <row r="33" spans="1:8" ht="14.25" thickTop="1" thickBot="1" x14ac:dyDescent="0.3">
      <c r="A33" s="496"/>
      <c r="B33" s="486"/>
      <c r="C33" s="150"/>
      <c r="D33" s="129"/>
      <c r="E33" s="159"/>
      <c r="F33" s="130"/>
      <c r="G33" s="130" t="s">
        <v>218</v>
      </c>
      <c r="H33" s="131">
        <f>SUM(G28:G32)</f>
        <v>21063.826000000001</v>
      </c>
    </row>
    <row r="34" spans="1:8" ht="14.25" thickTop="1" thickBot="1" x14ac:dyDescent="0.3">
      <c r="A34" s="160"/>
      <c r="B34" s="160"/>
      <c r="C34" s="150"/>
      <c r="D34" s="129"/>
      <c r="E34" s="159"/>
      <c r="F34" s="161"/>
      <c r="G34" s="150"/>
      <c r="H34" s="162"/>
    </row>
    <row r="35" spans="1:8" ht="14.25" thickTop="1" thickBot="1" x14ac:dyDescent="0.3">
      <c r="A35" s="160"/>
      <c r="B35" s="112"/>
      <c r="C35" s="112"/>
      <c r="D35" s="112"/>
      <c r="E35" s="539" t="s">
        <v>233</v>
      </c>
      <c r="F35" s="486"/>
      <c r="G35" s="486"/>
      <c r="H35" s="131">
        <f>ROUND((+H11+H19+H25+H33),4)</f>
        <v>101393.652</v>
      </c>
    </row>
    <row r="36" spans="1:8" ht="13.5" thickTop="1" x14ac:dyDescent="0.25">
      <c r="A36" s="160"/>
      <c r="B36" s="160"/>
      <c r="C36" s="160"/>
      <c r="D36" s="113"/>
      <c r="E36" s="113"/>
      <c r="F36" s="113"/>
      <c r="G36" s="113"/>
      <c r="H36" s="164"/>
    </row>
    <row r="37" spans="1:8" ht="13.5" thickBot="1" x14ac:dyDescent="0.3">
      <c r="A37" s="112" t="s">
        <v>234</v>
      </c>
      <c r="B37" s="112"/>
      <c r="C37" s="112"/>
      <c r="D37" s="112"/>
      <c r="E37" s="112"/>
      <c r="F37" s="113"/>
      <c r="G37" s="113"/>
      <c r="H37" s="112"/>
    </row>
    <row r="38" spans="1:8" ht="13.5" thickTop="1" x14ac:dyDescent="0.25">
      <c r="A38" s="540" t="s">
        <v>26</v>
      </c>
      <c r="B38" s="541"/>
      <c r="C38" s="542"/>
      <c r="D38" s="165" t="s">
        <v>235</v>
      </c>
      <c r="E38" s="165" t="s">
        <v>215</v>
      </c>
      <c r="F38" s="165" t="s">
        <v>216</v>
      </c>
      <c r="G38" s="184" t="s">
        <v>217</v>
      </c>
      <c r="H38" s="503"/>
    </row>
    <row r="39" spans="1:8" ht="15.75" x14ac:dyDescent="0.25">
      <c r="A39" s="534" t="s">
        <v>236</v>
      </c>
      <c r="B39" s="535"/>
      <c r="C39" s="535"/>
      <c r="D39" s="167">
        <f>+'1.1 localizacion'!$D$35</f>
        <v>0.32</v>
      </c>
      <c r="E39" s="168"/>
      <c r="F39" s="169"/>
      <c r="G39" s="185">
        <f>$H$35*D39</f>
        <v>32445.968640000003</v>
      </c>
      <c r="H39" s="504"/>
    </row>
    <row r="40" spans="1:8" ht="13.5" thickBot="1" x14ac:dyDescent="0.3">
      <c r="A40" s="534" t="s">
        <v>237</v>
      </c>
      <c r="B40" s="536"/>
      <c r="C40" s="536"/>
      <c r="D40" s="167">
        <f>+'1.1 localizacion'!$D$36</f>
        <v>0.05</v>
      </c>
      <c r="E40" s="171"/>
      <c r="F40" s="171"/>
      <c r="G40" s="185">
        <f t="shared" ref="G40" si="2">$H$35*D40</f>
        <v>5069.6826000000001</v>
      </c>
      <c r="H40" s="504"/>
    </row>
    <row r="41" spans="1:8" ht="14.25" thickTop="1" thickBot="1" x14ac:dyDescent="0.3">
      <c r="A41" s="496"/>
      <c r="B41" s="486"/>
      <c r="C41" s="486"/>
      <c r="D41" s="128"/>
      <c r="E41" s="129"/>
      <c r="F41" s="130"/>
      <c r="G41" s="130" t="s">
        <v>218</v>
      </c>
      <c r="H41" s="131">
        <f>SUM(G39:G40)</f>
        <v>37515.651240000007</v>
      </c>
    </row>
    <row r="42" spans="1:8" ht="9.75" customHeight="1" thickTop="1" x14ac:dyDescent="0.25">
      <c r="A42" s="160"/>
      <c r="B42" s="160"/>
      <c r="C42" s="160"/>
      <c r="D42" s="160"/>
      <c r="E42" s="160"/>
      <c r="F42" s="172"/>
      <c r="G42" s="172"/>
      <c r="H42" s="160"/>
    </row>
    <row r="43" spans="1:8" ht="9.75" customHeight="1" thickBot="1" x14ac:dyDescent="0.3">
      <c r="A43" s="160"/>
      <c r="B43" s="160"/>
      <c r="C43" s="160"/>
      <c r="D43" s="160"/>
      <c r="E43" s="160"/>
      <c r="F43" s="172"/>
      <c r="G43" s="172"/>
      <c r="H43" s="160"/>
    </row>
    <row r="44" spans="1:8" ht="14.25" thickTop="1" thickBot="1" x14ac:dyDescent="0.3">
      <c r="A44" s="160"/>
      <c r="B44" s="112"/>
      <c r="C44" s="112"/>
      <c r="D44" s="112"/>
      <c r="E44" s="539" t="s">
        <v>238</v>
      </c>
      <c r="F44" s="486"/>
      <c r="G44" s="486"/>
      <c r="H44" s="131">
        <f>ROUND(H41+H35,0)</f>
        <v>138909</v>
      </c>
    </row>
    <row r="45" spans="1:8" ht="9.75" customHeight="1" thickTop="1" x14ac:dyDescent="0.25">
      <c r="A45" s="160"/>
      <c r="B45" s="160"/>
      <c r="C45" s="160"/>
      <c r="D45" s="160"/>
      <c r="E45" s="160"/>
      <c r="F45" s="172"/>
      <c r="G45" s="172"/>
      <c r="H45" s="160"/>
    </row>
  </sheetData>
  <mergeCells count="34">
    <mergeCell ref="A41:C41"/>
    <mergeCell ref="E44:G44"/>
    <mergeCell ref="A16:C16"/>
    <mergeCell ref="A33:B33"/>
    <mergeCell ref="E35:G35"/>
    <mergeCell ref="A38:C38"/>
    <mergeCell ref="A19:C19"/>
    <mergeCell ref="A21:B21"/>
    <mergeCell ref="H38:H40"/>
    <mergeCell ref="A39:C39"/>
    <mergeCell ref="A40:C40"/>
    <mergeCell ref="A25:B25"/>
    <mergeCell ref="A27:B27"/>
    <mergeCell ref="H27:H32"/>
    <mergeCell ref="A28:B28"/>
    <mergeCell ref="A29:B29"/>
    <mergeCell ref="A30:B30"/>
    <mergeCell ref="A31:B31"/>
    <mergeCell ref="A32:B32"/>
    <mergeCell ref="H21:H24"/>
    <mergeCell ref="A22:B22"/>
    <mergeCell ref="A23:B23"/>
    <mergeCell ref="A24:B24"/>
    <mergeCell ref="A11:C11"/>
    <mergeCell ref="A13:C13"/>
    <mergeCell ref="A17:C17"/>
    <mergeCell ref="A18:C18"/>
    <mergeCell ref="A7:C7"/>
    <mergeCell ref="H7:H10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1AEC7-16EF-4E3B-AC51-F7ED3B6CAAF1}">
  <sheetPr codeName="Hoja12">
    <pageSetUpPr fitToPage="1"/>
  </sheetPr>
  <dimension ref="A1:H45"/>
  <sheetViews>
    <sheetView view="pageBreakPreview" topLeftCell="A28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3.2</v>
      </c>
    </row>
    <row r="5" spans="1:8" ht="30.6" customHeight="1" x14ac:dyDescent="0.25">
      <c r="A5" s="114" t="s">
        <v>211</v>
      </c>
      <c r="B5" s="524" t="str">
        <f>VLOOKUP(H4,'PRESUPUESTO OFICIAL'!A:F,2,0)</f>
        <v>SUMINISTRO, TRANSPORTE E INSTALACION CABALLETE TEJA TERMOACÚSTICA CINDULIT / CINDURIB O SIMILAR. COLOR SEGÚN DISEÑO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ML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>
        <v>3484</v>
      </c>
      <c r="F8" s="146">
        <v>0.05</v>
      </c>
      <c r="G8" s="288">
        <f>+E8*F8</f>
        <v>174.20000000000002</v>
      </c>
      <c r="H8" s="504"/>
    </row>
    <row r="9" spans="1:8" ht="15.75" x14ac:dyDescent="0.25">
      <c r="A9" s="509" t="s">
        <v>280</v>
      </c>
      <c r="B9" s="510"/>
      <c r="C9" s="511"/>
      <c r="D9" s="124" t="s">
        <v>281</v>
      </c>
      <c r="E9" s="121">
        <v>9968</v>
      </c>
      <c r="F9" s="122">
        <v>0.1</v>
      </c>
      <c r="G9" s="285">
        <f>+E9*F9</f>
        <v>996.80000000000007</v>
      </c>
      <c r="H9" s="504"/>
    </row>
    <row r="10" spans="1:8" ht="15.75" x14ac:dyDescent="0.25">
      <c r="A10" s="509" t="s">
        <v>372</v>
      </c>
      <c r="B10" s="510"/>
      <c r="C10" s="511"/>
      <c r="D10" s="124" t="s">
        <v>281</v>
      </c>
      <c r="E10" s="121">
        <v>83300</v>
      </c>
      <c r="F10" s="122">
        <v>2.5000000000000001E-2</v>
      </c>
      <c r="G10" s="285">
        <f>+E10*F10</f>
        <v>2082.5</v>
      </c>
      <c r="H10" s="504"/>
    </row>
    <row r="11" spans="1:8" ht="15.75" x14ac:dyDescent="0.25">
      <c r="A11" s="509" t="s">
        <v>369</v>
      </c>
      <c r="B11" s="510"/>
      <c r="C11" s="511"/>
      <c r="D11" s="124" t="s">
        <v>281</v>
      </c>
      <c r="E11" s="121">
        <v>3137</v>
      </c>
      <c r="F11" s="122">
        <v>0.1</v>
      </c>
      <c r="G11" s="285">
        <f>+E11*F11</f>
        <v>313.70000000000005</v>
      </c>
      <c r="H11" s="504"/>
    </row>
    <row r="12" spans="1:8" ht="24" customHeight="1" thickBot="1" x14ac:dyDescent="0.3">
      <c r="A12" s="549"/>
      <c r="B12" s="550"/>
      <c r="C12" s="551"/>
      <c r="D12" s="125"/>
      <c r="E12" s="286"/>
      <c r="F12" s="126"/>
      <c r="G12" s="287"/>
      <c r="H12" s="505"/>
    </row>
    <row r="13" spans="1:8" ht="14.25" thickTop="1" thickBot="1" x14ac:dyDescent="0.3">
      <c r="A13" s="496"/>
      <c r="B13" s="486"/>
      <c r="C13" s="486"/>
      <c r="D13" s="128"/>
      <c r="E13" s="129"/>
      <c r="F13" s="130"/>
      <c r="G13" s="130" t="s">
        <v>218</v>
      </c>
      <c r="H13" s="131">
        <f>SUM(G8:G12)</f>
        <v>3567.2</v>
      </c>
    </row>
    <row r="14" spans="1:8" ht="14.25" thickTop="1" thickBot="1" x14ac:dyDescent="0.3">
      <c r="A14" s="112" t="s">
        <v>219</v>
      </c>
      <c r="B14" s="112"/>
      <c r="C14" s="112"/>
      <c r="D14" s="112"/>
      <c r="E14" s="112"/>
      <c r="F14" s="113"/>
      <c r="G14" s="113"/>
      <c r="H14" s="112"/>
    </row>
    <row r="15" spans="1:8" ht="14.25" thickTop="1" thickBot="1" x14ac:dyDescent="0.3">
      <c r="A15" s="497" t="s">
        <v>26</v>
      </c>
      <c r="B15" s="498"/>
      <c r="C15" s="499"/>
      <c r="D15" s="118" t="s">
        <v>25</v>
      </c>
      <c r="E15" s="118" t="s">
        <v>220</v>
      </c>
      <c r="F15" s="118" t="s">
        <v>221</v>
      </c>
      <c r="G15" s="119" t="s">
        <v>217</v>
      </c>
      <c r="H15" s="132"/>
    </row>
    <row r="16" spans="1:8" ht="40.5" customHeight="1" thickTop="1" x14ac:dyDescent="0.25">
      <c r="A16" s="554" t="s">
        <v>370</v>
      </c>
      <c r="B16" s="555"/>
      <c r="C16" s="556"/>
      <c r="D16" s="178" t="s">
        <v>14</v>
      </c>
      <c r="E16" s="175">
        <f>155416*1.1</f>
        <v>170957.6</v>
      </c>
      <c r="F16" s="289">
        <v>0.33</v>
      </c>
      <c r="G16" s="177">
        <f t="shared" ref="G16:G18" si="0">+F16*E16</f>
        <v>56416.008000000002</v>
      </c>
      <c r="H16" s="135"/>
    </row>
    <row r="17" spans="1:8" ht="28.5" customHeight="1" x14ac:dyDescent="0.25">
      <c r="A17" s="554" t="s">
        <v>371</v>
      </c>
      <c r="B17" s="555"/>
      <c r="C17" s="556"/>
      <c r="D17" s="178" t="s">
        <v>14</v>
      </c>
      <c r="E17" s="175">
        <v>410</v>
      </c>
      <c r="F17" s="179">
        <v>4</v>
      </c>
      <c r="G17" s="177">
        <f t="shared" ref="G17" si="1">+F17*E17</f>
        <v>1640</v>
      </c>
      <c r="H17" s="135"/>
    </row>
    <row r="18" spans="1:8" ht="28.5" customHeight="1" thickBot="1" x14ac:dyDescent="0.3">
      <c r="A18" s="554" t="s">
        <v>302</v>
      </c>
      <c r="B18" s="555"/>
      <c r="C18" s="556"/>
      <c r="D18" s="178" t="s">
        <v>15</v>
      </c>
      <c r="E18" s="175">
        <v>11893</v>
      </c>
      <c r="F18" s="179">
        <v>0.1</v>
      </c>
      <c r="G18" s="177">
        <f t="shared" si="0"/>
        <v>1189.3</v>
      </c>
      <c r="H18" s="135"/>
    </row>
    <row r="19" spans="1:8" ht="14.25" thickTop="1" thickBot="1" x14ac:dyDescent="0.3">
      <c r="A19" s="496"/>
      <c r="B19" s="486"/>
      <c r="C19" s="486"/>
      <c r="D19" s="129"/>
      <c r="E19" s="129"/>
      <c r="F19" s="130"/>
      <c r="G19" s="130" t="s">
        <v>218</v>
      </c>
      <c r="H19" s="131">
        <f>SUM(G16:G18)</f>
        <v>59245.308000000005</v>
      </c>
    </row>
    <row r="20" spans="1:8" ht="14.25" thickTop="1" thickBot="1" x14ac:dyDescent="0.3">
      <c r="A20" s="112" t="s">
        <v>222</v>
      </c>
      <c r="B20" s="112"/>
      <c r="C20" s="112"/>
      <c r="D20" s="112"/>
      <c r="E20" s="112"/>
      <c r="F20" s="113"/>
      <c r="G20" s="113"/>
      <c r="H20" s="112"/>
    </row>
    <row r="21" spans="1:8" ht="23.25" thickTop="1" x14ac:dyDescent="0.25">
      <c r="A21" s="533" t="s">
        <v>223</v>
      </c>
      <c r="B21" s="507"/>
      <c r="C21" s="140" t="s">
        <v>224</v>
      </c>
      <c r="D21" s="140" t="s">
        <v>225</v>
      </c>
      <c r="E21" s="140" t="s">
        <v>226</v>
      </c>
      <c r="F21" s="140" t="s">
        <v>227</v>
      </c>
      <c r="G21" s="141" t="s">
        <v>217</v>
      </c>
      <c r="H21" s="528"/>
    </row>
    <row r="22" spans="1:8" ht="15.75" x14ac:dyDescent="0.25">
      <c r="A22" s="531" t="s">
        <v>354</v>
      </c>
      <c r="B22" s="511"/>
      <c r="C22" s="142"/>
      <c r="D22" s="122"/>
      <c r="E22" s="142">
        <v>5.7000000000000002E-3</v>
      </c>
      <c r="F22" s="143">
        <v>180127</v>
      </c>
      <c r="G22" s="144">
        <f>+E22*F22</f>
        <v>1026.7239</v>
      </c>
      <c r="H22" s="529"/>
    </row>
    <row r="23" spans="1:8" ht="12.75" x14ac:dyDescent="0.25">
      <c r="A23" s="532"/>
      <c r="B23" s="510"/>
      <c r="C23" s="145"/>
      <c r="D23" s="146"/>
      <c r="E23" s="146"/>
      <c r="F23" s="120"/>
      <c r="G23" s="147"/>
      <c r="H23" s="529"/>
    </row>
    <row r="24" spans="1:8" ht="13.5" thickBot="1" x14ac:dyDescent="0.3">
      <c r="A24" s="512"/>
      <c r="B24" s="513"/>
      <c r="C24" s="148"/>
      <c r="D24" s="149"/>
      <c r="E24" s="149"/>
      <c r="F24" s="125"/>
      <c r="G24" s="127"/>
      <c r="H24" s="530"/>
    </row>
    <row r="25" spans="1:8" ht="14.25" thickTop="1" thickBot="1" x14ac:dyDescent="0.3">
      <c r="A25" s="496"/>
      <c r="B25" s="486"/>
      <c r="C25" s="150"/>
      <c r="D25" s="151"/>
      <c r="E25" s="129"/>
      <c r="F25" s="130"/>
      <c r="G25" s="130" t="s">
        <v>218</v>
      </c>
      <c r="H25" s="152">
        <f>SUM(G22:G24)</f>
        <v>1026.7239</v>
      </c>
    </row>
    <row r="26" spans="1:8" ht="14.25" thickTop="1" thickBot="1" x14ac:dyDescent="0.3">
      <c r="A26" s="112" t="s">
        <v>228</v>
      </c>
      <c r="B26" s="112"/>
      <c r="C26" s="112"/>
      <c r="D26" s="112"/>
      <c r="E26" s="112"/>
      <c r="F26" s="113"/>
      <c r="G26" s="113"/>
      <c r="H26" s="112"/>
    </row>
    <row r="27" spans="1:8" ht="14.25" thickTop="1" thickBot="1" x14ac:dyDescent="0.3">
      <c r="A27" s="497" t="s">
        <v>229</v>
      </c>
      <c r="B27" s="499"/>
      <c r="C27" s="118" t="s">
        <v>230</v>
      </c>
      <c r="D27" s="118" t="s">
        <v>231</v>
      </c>
      <c r="E27" s="118" t="s">
        <v>232</v>
      </c>
      <c r="F27" s="118" t="s">
        <v>216</v>
      </c>
      <c r="G27" s="119" t="s">
        <v>217</v>
      </c>
      <c r="H27" s="503"/>
    </row>
    <row r="28" spans="1:8" ht="13.5" thickTop="1" x14ac:dyDescent="0.25">
      <c r="A28" s="531" t="s">
        <v>241</v>
      </c>
      <c r="B28" s="511"/>
      <c r="C28" s="154">
        <f>+'ANALISIS M.O'!$F$29*2</f>
        <v>116728</v>
      </c>
      <c r="D28" s="153">
        <f>+'ANALISIS M.O'!$C$26</f>
        <v>1.7733000000000001</v>
      </c>
      <c r="E28" s="143">
        <f t="shared" ref="E28:E29" si="2">+D28*C28</f>
        <v>206993.76240000001</v>
      </c>
      <c r="F28" s="180">
        <v>5.0000000000000001E-3</v>
      </c>
      <c r="G28" s="181">
        <f>+E28*F28</f>
        <v>1034.9688120000001</v>
      </c>
      <c r="H28" s="504"/>
    </row>
    <row r="29" spans="1:8" ht="12.75" x14ac:dyDescent="0.25">
      <c r="A29" s="531" t="s">
        <v>242</v>
      </c>
      <c r="B29" s="511"/>
      <c r="C29" s="143">
        <f>+'ANALISIS M.O'!$F$31</f>
        <v>105054</v>
      </c>
      <c r="D29" s="153">
        <f>+'ANALISIS M.O'!$C$26</f>
        <v>1.7733000000000001</v>
      </c>
      <c r="E29" s="182">
        <f t="shared" si="2"/>
        <v>186292.25820000001</v>
      </c>
      <c r="F29" s="183">
        <v>8.0000000000000002E-3</v>
      </c>
      <c r="G29" s="181">
        <f>+E29*F29</f>
        <v>1490.3380656000002</v>
      </c>
      <c r="H29" s="504"/>
    </row>
    <row r="30" spans="1:8" ht="12.75" x14ac:dyDescent="0.25">
      <c r="A30" s="544"/>
      <c r="B30" s="511"/>
      <c r="C30" s="154"/>
      <c r="D30" s="153"/>
      <c r="E30" s="143"/>
      <c r="F30" s="155"/>
      <c r="G30" s="144"/>
      <c r="H30" s="504"/>
    </row>
    <row r="31" spans="1:8" ht="12.75" x14ac:dyDescent="0.25">
      <c r="A31" s="531"/>
      <c r="B31" s="511"/>
      <c r="C31" s="154"/>
      <c r="D31" s="153"/>
      <c r="E31" s="143"/>
      <c r="F31" s="155"/>
      <c r="G31" s="144"/>
      <c r="H31" s="504"/>
    </row>
    <row r="32" spans="1:8" ht="13.5" thickBot="1" x14ac:dyDescent="0.3">
      <c r="A32" s="512"/>
      <c r="B32" s="514"/>
      <c r="C32" s="156"/>
      <c r="D32" s="157"/>
      <c r="E32" s="149"/>
      <c r="F32" s="126"/>
      <c r="G32" s="158"/>
      <c r="H32" s="505"/>
    </row>
    <row r="33" spans="1:8" ht="14.25" thickTop="1" thickBot="1" x14ac:dyDescent="0.3">
      <c r="A33" s="496"/>
      <c r="B33" s="486"/>
      <c r="C33" s="150"/>
      <c r="D33" s="129"/>
      <c r="E33" s="159"/>
      <c r="F33" s="130"/>
      <c r="G33" s="130" t="s">
        <v>218</v>
      </c>
      <c r="H33" s="131">
        <f>SUM(G28:G32)</f>
        <v>2525.3068776</v>
      </c>
    </row>
    <row r="34" spans="1:8" ht="14.25" thickTop="1" thickBot="1" x14ac:dyDescent="0.3">
      <c r="A34" s="160"/>
      <c r="B34" s="160"/>
      <c r="C34" s="150"/>
      <c r="D34" s="129"/>
      <c r="E34" s="159"/>
      <c r="F34" s="161"/>
      <c r="G34" s="150"/>
      <c r="H34" s="162"/>
    </row>
    <row r="35" spans="1:8" ht="14.25" thickTop="1" thickBot="1" x14ac:dyDescent="0.3">
      <c r="A35" s="160"/>
      <c r="B35" s="112"/>
      <c r="C35" s="112"/>
      <c r="D35" s="112"/>
      <c r="E35" s="539" t="s">
        <v>233</v>
      </c>
      <c r="F35" s="486"/>
      <c r="G35" s="486"/>
      <c r="H35" s="131">
        <f>ROUND((+H13+H19+H25+H33),4)</f>
        <v>66364.538799999995</v>
      </c>
    </row>
    <row r="36" spans="1:8" ht="13.5" thickTop="1" x14ac:dyDescent="0.25">
      <c r="A36" s="160"/>
      <c r="B36" s="160"/>
      <c r="C36" s="160"/>
      <c r="D36" s="113"/>
      <c r="E36" s="113"/>
      <c r="F36" s="113"/>
      <c r="G36" s="113"/>
      <c r="H36" s="164"/>
    </row>
    <row r="37" spans="1:8" ht="13.5" thickBot="1" x14ac:dyDescent="0.3">
      <c r="A37" s="112" t="s">
        <v>234</v>
      </c>
      <c r="B37" s="112"/>
      <c r="C37" s="112"/>
      <c r="D37" s="112"/>
      <c r="E37" s="112"/>
      <c r="F37" s="113"/>
      <c r="G37" s="113"/>
      <c r="H37" s="112"/>
    </row>
    <row r="38" spans="1:8" ht="13.5" thickTop="1" x14ac:dyDescent="0.25">
      <c r="A38" s="540" t="s">
        <v>26</v>
      </c>
      <c r="B38" s="541"/>
      <c r="C38" s="542"/>
      <c r="D38" s="165" t="s">
        <v>235</v>
      </c>
      <c r="E38" s="165" t="s">
        <v>215</v>
      </c>
      <c r="F38" s="165" t="s">
        <v>216</v>
      </c>
      <c r="G38" s="184" t="s">
        <v>217</v>
      </c>
      <c r="H38" s="503"/>
    </row>
    <row r="39" spans="1:8" ht="15.75" x14ac:dyDescent="0.25">
      <c r="A39" s="534" t="s">
        <v>236</v>
      </c>
      <c r="B39" s="535"/>
      <c r="C39" s="535"/>
      <c r="D39" s="167">
        <f>+'1.1 localizacion'!$D$35</f>
        <v>0.32</v>
      </c>
      <c r="E39" s="168"/>
      <c r="F39" s="169"/>
      <c r="G39" s="185">
        <f>$H$35*D39</f>
        <v>21236.652415999997</v>
      </c>
      <c r="H39" s="504"/>
    </row>
    <row r="40" spans="1:8" ht="13.5" thickBot="1" x14ac:dyDescent="0.3">
      <c r="A40" s="534" t="s">
        <v>237</v>
      </c>
      <c r="B40" s="536"/>
      <c r="C40" s="536"/>
      <c r="D40" s="167">
        <f>+'1.1 localizacion'!$D$36</f>
        <v>0.05</v>
      </c>
      <c r="E40" s="171"/>
      <c r="F40" s="171"/>
      <c r="G40" s="185">
        <f t="shared" ref="G40" si="3">$H$35*D40</f>
        <v>3318.22694</v>
      </c>
      <c r="H40" s="504"/>
    </row>
    <row r="41" spans="1:8" ht="14.25" thickTop="1" thickBot="1" x14ac:dyDescent="0.3">
      <c r="A41" s="496"/>
      <c r="B41" s="486"/>
      <c r="C41" s="486"/>
      <c r="D41" s="128"/>
      <c r="E41" s="129"/>
      <c r="F41" s="130"/>
      <c r="G41" s="130" t="s">
        <v>218</v>
      </c>
      <c r="H41" s="131">
        <f>SUM(G39:G40)</f>
        <v>24554.879355999998</v>
      </c>
    </row>
    <row r="42" spans="1:8" ht="9.75" customHeight="1" thickTop="1" x14ac:dyDescent="0.25">
      <c r="A42" s="160"/>
      <c r="B42" s="160"/>
      <c r="C42" s="160"/>
      <c r="D42" s="160"/>
      <c r="E42" s="160"/>
      <c r="F42" s="172"/>
      <c r="G42" s="172"/>
      <c r="H42" s="160"/>
    </row>
    <row r="43" spans="1:8" ht="9.75" customHeight="1" thickBot="1" x14ac:dyDescent="0.3">
      <c r="A43" s="160"/>
      <c r="B43" s="160"/>
      <c r="C43" s="160"/>
      <c r="D43" s="160"/>
      <c r="E43" s="160"/>
      <c r="F43" s="172"/>
      <c r="G43" s="172"/>
      <c r="H43" s="160"/>
    </row>
    <row r="44" spans="1:8" ht="14.25" thickTop="1" thickBot="1" x14ac:dyDescent="0.3">
      <c r="A44" s="160"/>
      <c r="B44" s="112"/>
      <c r="C44" s="112"/>
      <c r="D44" s="112"/>
      <c r="E44" s="539" t="s">
        <v>238</v>
      </c>
      <c r="F44" s="486"/>
      <c r="G44" s="486"/>
      <c r="H44" s="131">
        <f>ROUND(H41+H35,0)</f>
        <v>90919</v>
      </c>
    </row>
    <row r="45" spans="1:8" ht="9.75" customHeight="1" thickTop="1" x14ac:dyDescent="0.25">
      <c r="A45" s="160"/>
      <c r="B45" s="160"/>
      <c r="C45" s="160"/>
      <c r="D45" s="160"/>
      <c r="E45" s="160"/>
      <c r="F45" s="172"/>
      <c r="G45" s="172"/>
      <c r="H45" s="160"/>
    </row>
  </sheetData>
  <mergeCells count="39">
    <mergeCell ref="A41:C41"/>
    <mergeCell ref="E44:G44"/>
    <mergeCell ref="A33:B33"/>
    <mergeCell ref="E35:G35"/>
    <mergeCell ref="A38:C38"/>
    <mergeCell ref="H38:H40"/>
    <mergeCell ref="A39:C39"/>
    <mergeCell ref="A40:C40"/>
    <mergeCell ref="A25:B25"/>
    <mergeCell ref="A27:B27"/>
    <mergeCell ref="H27:H32"/>
    <mergeCell ref="A28:B28"/>
    <mergeCell ref="A29:B29"/>
    <mergeCell ref="A30:B30"/>
    <mergeCell ref="A31:B31"/>
    <mergeCell ref="A32:B32"/>
    <mergeCell ref="H21:H24"/>
    <mergeCell ref="A22:B22"/>
    <mergeCell ref="A23:B23"/>
    <mergeCell ref="A24:B24"/>
    <mergeCell ref="A13:C13"/>
    <mergeCell ref="A15:C15"/>
    <mergeCell ref="A16:C16"/>
    <mergeCell ref="A18:C18"/>
    <mergeCell ref="A17:C17"/>
    <mergeCell ref="A19:C19"/>
    <mergeCell ref="A21:B21"/>
    <mergeCell ref="A1:H1"/>
    <mergeCell ref="A2:D2"/>
    <mergeCell ref="E2:H2"/>
    <mergeCell ref="B4:F4"/>
    <mergeCell ref="B5:F5"/>
    <mergeCell ref="A7:C7"/>
    <mergeCell ref="H7:H12"/>
    <mergeCell ref="A8:C8"/>
    <mergeCell ref="A11:C11"/>
    <mergeCell ref="A12:C12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73C97-2606-4F5E-A3B8-FCAD0DFBA654}">
  <sheetPr codeName="Hoja13">
    <pageSetUpPr fitToPage="1"/>
  </sheetPr>
  <dimension ref="A1:H43"/>
  <sheetViews>
    <sheetView view="pageBreakPreview" topLeftCell="A5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116">
        <v>3.3</v>
      </c>
    </row>
    <row r="5" spans="1:8" ht="49.9" customHeight="1" x14ac:dyDescent="0.25">
      <c r="A5" s="114" t="s">
        <v>211</v>
      </c>
      <c r="B5" s="524" t="str">
        <f>VLOOKUP(H4,'PRESUPUESTO OFICIAL'!A:F,2,0)</f>
        <v>SUMINISTRO, TRANSPORTE E INSTALACION IMPERMEABILIZACION Tipo Manto Morter Plas AL-80 de 3.5 mm con foil de aluminio o Similar. INCLUYE (Canales y/o cubiertas planas, incluye media cañas, remates, pintura bituminosa)</v>
      </c>
      <c r="C5" s="486"/>
      <c r="D5" s="486"/>
      <c r="E5" s="486"/>
      <c r="F5" s="486"/>
      <c r="G5" s="113" t="s">
        <v>212</v>
      </c>
      <c r="H5" s="117">
        <v>3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288">
        <f>+H31*0.05</f>
        <v>809.23049506172845</v>
      </c>
      <c r="H8" s="504"/>
    </row>
    <row r="9" spans="1:8" ht="15.75" x14ac:dyDescent="0.25">
      <c r="A9" s="557" t="s">
        <v>295</v>
      </c>
      <c r="B9" s="555"/>
      <c r="C9" s="556"/>
      <c r="D9" s="124" t="s">
        <v>281</v>
      </c>
      <c r="E9" s="121">
        <f>+'BASE DE DATOS'!D131</f>
        <v>5500</v>
      </c>
      <c r="F9" s="122">
        <v>10</v>
      </c>
      <c r="G9" s="285">
        <f>+E9/F9</f>
        <v>550</v>
      </c>
      <c r="H9" s="504"/>
    </row>
    <row r="10" spans="1:8" ht="13.5" thickBot="1" x14ac:dyDescent="0.3">
      <c r="A10" s="549"/>
      <c r="B10" s="550"/>
      <c r="C10" s="551"/>
      <c r="D10" s="125"/>
      <c r="E10" s="286"/>
      <c r="F10" s="126"/>
      <c r="G10" s="28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1359.2304950617286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5.6" customHeight="1" thickTop="1" x14ac:dyDescent="0.25">
      <c r="A14" s="543" t="s">
        <v>296</v>
      </c>
      <c r="B14" s="510"/>
      <c r="C14" s="511"/>
      <c r="D14" s="178" t="s">
        <v>291</v>
      </c>
      <c r="E14" s="175">
        <f>+'BASE DE DATOS'!D74</f>
        <v>110140</v>
      </c>
      <c r="F14" s="290">
        <v>8.0000000000000002E-3</v>
      </c>
      <c r="G14" s="177">
        <f t="shared" ref="G14" si="0">+F14*E14</f>
        <v>881.12</v>
      </c>
      <c r="H14" s="135"/>
    </row>
    <row r="15" spans="1:8" ht="25.15" customHeight="1" x14ac:dyDescent="0.25">
      <c r="A15" s="554" t="s">
        <v>298</v>
      </c>
      <c r="B15" s="555"/>
      <c r="C15" s="556"/>
      <c r="D15" s="178" t="s">
        <v>13</v>
      </c>
      <c r="E15" s="175">
        <f>+'BASE DE DATOS'!D75</f>
        <v>34260</v>
      </c>
      <c r="F15" s="290">
        <v>1</v>
      </c>
      <c r="G15" s="177">
        <f t="shared" ref="G15" si="1">+F15*E15</f>
        <v>34260</v>
      </c>
      <c r="H15" s="135"/>
    </row>
    <row r="16" spans="1:8" ht="15.6" customHeight="1" thickBot="1" x14ac:dyDescent="0.3">
      <c r="A16" s="549" t="s">
        <v>297</v>
      </c>
      <c r="B16" s="550"/>
      <c r="C16" s="551"/>
      <c r="D16" s="125" t="s">
        <v>80</v>
      </c>
      <c r="E16" s="156">
        <f>+'BASE DE DATOS'!D76</f>
        <v>5430</v>
      </c>
      <c r="F16" s="291">
        <v>0.1</v>
      </c>
      <c r="G16" s="287">
        <f>+E16*F16</f>
        <v>543</v>
      </c>
      <c r="H16" s="135"/>
    </row>
    <row r="17" spans="1:8" ht="14.25" thickTop="1" thickBot="1" x14ac:dyDescent="0.3">
      <c r="A17" s="496"/>
      <c r="B17" s="486"/>
      <c r="C17" s="486"/>
      <c r="D17" s="129"/>
      <c r="E17" s="129"/>
      <c r="F17" s="130"/>
      <c r="G17" s="130" t="s">
        <v>218</v>
      </c>
      <c r="H17" s="131">
        <f>SUM(G14:G16)</f>
        <v>35684.120000000003</v>
      </c>
    </row>
    <row r="18" spans="1:8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8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8" ht="15.75" x14ac:dyDescent="0.25">
      <c r="A20" s="531"/>
      <c r="B20" s="511"/>
      <c r="C20" s="142"/>
      <c r="D20" s="122"/>
      <c r="E20" s="142"/>
      <c r="F20" s="143"/>
      <c r="G20" s="144"/>
      <c r="H20" s="529"/>
    </row>
    <row r="21" spans="1:8" ht="12.75" x14ac:dyDescent="0.25">
      <c r="A21" s="532"/>
      <c r="B21" s="510"/>
      <c r="C21" s="145"/>
      <c r="D21" s="146"/>
      <c r="E21" s="146"/>
      <c r="F21" s="120"/>
      <c r="G21" s="147"/>
      <c r="H21" s="529"/>
    </row>
    <row r="22" spans="1:8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8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0</v>
      </c>
    </row>
    <row r="24" spans="1:8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8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8" ht="13.5" thickTop="1" x14ac:dyDescent="0.25">
      <c r="A26" s="531" t="s">
        <v>241</v>
      </c>
      <c r="B26" s="511"/>
      <c r="C26" s="154">
        <f>+'ANALISIS M.O'!$F$29*2</f>
        <v>116728</v>
      </c>
      <c r="D26" s="153">
        <f>+'ANALISIS M.O'!$C$26</f>
        <v>1.7733000000000001</v>
      </c>
      <c r="E26" s="143">
        <f t="shared" ref="E26:E27" si="2">+D26*C26</f>
        <v>206993.76240000001</v>
      </c>
      <c r="F26" s="180">
        <v>24.3</v>
      </c>
      <c r="G26" s="181">
        <f t="shared" ref="G26:G27" si="3">+E26/F26</f>
        <v>8518.2618271604933</v>
      </c>
      <c r="H26" s="504"/>
    </row>
    <row r="27" spans="1:8" ht="12.75" x14ac:dyDescent="0.25">
      <c r="A27" s="531" t="s">
        <v>242</v>
      </c>
      <c r="B27" s="511"/>
      <c r="C27" s="143">
        <f>+'ANALISIS M.O'!$F$31</f>
        <v>105054</v>
      </c>
      <c r="D27" s="153">
        <f>+'ANALISIS M.O'!$C$26</f>
        <v>1.7733000000000001</v>
      </c>
      <c r="E27" s="182">
        <f t="shared" si="2"/>
        <v>186292.25820000001</v>
      </c>
      <c r="F27" s="183">
        <f>+F26</f>
        <v>24.3</v>
      </c>
      <c r="G27" s="181">
        <f t="shared" si="3"/>
        <v>7666.3480740740742</v>
      </c>
      <c r="H27" s="504"/>
    </row>
    <row r="28" spans="1:8" ht="12.75" x14ac:dyDescent="0.25">
      <c r="A28" s="544"/>
      <c r="B28" s="511"/>
      <c r="C28" s="154"/>
      <c r="D28" s="153"/>
      <c r="E28" s="143"/>
      <c r="F28" s="155"/>
      <c r="G28" s="144"/>
      <c r="H28" s="504"/>
    </row>
    <row r="29" spans="1:8" ht="12.75" x14ac:dyDescent="0.25">
      <c r="A29" s="531"/>
      <c r="B29" s="511"/>
      <c r="C29" s="154"/>
      <c r="D29" s="153"/>
      <c r="E29" s="143"/>
      <c r="F29" s="155"/>
      <c r="G29" s="144"/>
      <c r="H29" s="504"/>
    </row>
    <row r="30" spans="1:8" ht="13.5" thickBot="1" x14ac:dyDescent="0.3">
      <c r="A30" s="512"/>
      <c r="B30" s="514"/>
      <c r="C30" s="156"/>
      <c r="D30" s="157"/>
      <c r="E30" s="149"/>
      <c r="F30" s="126"/>
      <c r="G30" s="158"/>
      <c r="H30" s="505"/>
    </row>
    <row r="31" spans="1:8" ht="14.25" thickTop="1" thickBot="1" x14ac:dyDescent="0.3">
      <c r="A31" s="496"/>
      <c r="B31" s="486"/>
      <c r="C31" s="150"/>
      <c r="D31" s="129"/>
      <c r="E31" s="159"/>
      <c r="F31" s="130"/>
      <c r="G31" s="130" t="s">
        <v>218</v>
      </c>
      <c r="H31" s="131">
        <f>SUM(G26:G30)</f>
        <v>16184.609901234568</v>
      </c>
    </row>
    <row r="32" spans="1:8" ht="14.25" thickTop="1" thickBot="1" x14ac:dyDescent="0.3">
      <c r="A32" s="160"/>
      <c r="B32" s="160"/>
      <c r="C32" s="150"/>
      <c r="D32" s="129"/>
      <c r="E32" s="159"/>
      <c r="F32" s="161"/>
      <c r="G32" s="150"/>
      <c r="H32" s="162"/>
    </row>
    <row r="33" spans="1:8" ht="14.25" thickTop="1" thickBot="1" x14ac:dyDescent="0.3">
      <c r="A33" s="160"/>
      <c r="B33" s="112"/>
      <c r="C33" s="112"/>
      <c r="D33" s="112"/>
      <c r="E33" s="539" t="s">
        <v>233</v>
      </c>
      <c r="F33" s="486"/>
      <c r="G33" s="486"/>
      <c r="H33" s="131">
        <f>ROUND((+H11+H17+H23+H31),4)</f>
        <v>53227.960400000004</v>
      </c>
    </row>
    <row r="34" spans="1:8" ht="13.5" thickTop="1" x14ac:dyDescent="0.25">
      <c r="A34" s="160"/>
      <c r="B34" s="160"/>
      <c r="C34" s="160"/>
      <c r="D34" s="113"/>
      <c r="E34" s="113"/>
      <c r="F34" s="113"/>
      <c r="G34" s="113"/>
      <c r="H34" s="164"/>
    </row>
    <row r="35" spans="1:8" ht="13.5" thickBot="1" x14ac:dyDescent="0.3">
      <c r="A35" s="112" t="s">
        <v>234</v>
      </c>
      <c r="B35" s="112"/>
      <c r="C35" s="112"/>
      <c r="D35" s="112"/>
      <c r="E35" s="112"/>
      <c r="F35" s="113"/>
      <c r="G35" s="113"/>
      <c r="H35" s="112"/>
    </row>
    <row r="36" spans="1:8" ht="13.5" thickTop="1" x14ac:dyDescent="0.25">
      <c r="A36" s="540" t="s">
        <v>26</v>
      </c>
      <c r="B36" s="541"/>
      <c r="C36" s="542"/>
      <c r="D36" s="165" t="s">
        <v>235</v>
      </c>
      <c r="E36" s="165" t="s">
        <v>215</v>
      </c>
      <c r="F36" s="165" t="s">
        <v>216</v>
      </c>
      <c r="G36" s="184" t="s">
        <v>217</v>
      </c>
      <c r="H36" s="503"/>
    </row>
    <row r="37" spans="1:8" ht="15.75" x14ac:dyDescent="0.25">
      <c r="A37" s="534" t="s">
        <v>236</v>
      </c>
      <c r="B37" s="535"/>
      <c r="C37" s="535"/>
      <c r="D37" s="167">
        <f>+'1.1 localizacion'!$D$35</f>
        <v>0.32</v>
      </c>
      <c r="E37" s="168"/>
      <c r="F37" s="169"/>
      <c r="G37" s="185">
        <f>$H$33*D37</f>
        <v>17032.947328000002</v>
      </c>
      <c r="H37" s="504"/>
    </row>
    <row r="38" spans="1:8" ht="13.5" thickBot="1" x14ac:dyDescent="0.3">
      <c r="A38" s="534" t="s">
        <v>237</v>
      </c>
      <c r="B38" s="536"/>
      <c r="C38" s="536"/>
      <c r="D38" s="167">
        <f>+'1.1 localizacion'!$D$36</f>
        <v>0.05</v>
      </c>
      <c r="E38" s="171"/>
      <c r="F38" s="171"/>
      <c r="G38" s="185">
        <f t="shared" ref="G38" si="4">$H$33*D38</f>
        <v>2661.3980200000005</v>
      </c>
      <c r="H38" s="504"/>
    </row>
    <row r="39" spans="1:8" ht="14.25" thickTop="1" thickBot="1" x14ac:dyDescent="0.3">
      <c r="A39" s="496"/>
      <c r="B39" s="486"/>
      <c r="C39" s="486"/>
      <c r="D39" s="128"/>
      <c r="E39" s="129"/>
      <c r="F39" s="130"/>
      <c r="G39" s="130" t="s">
        <v>218</v>
      </c>
      <c r="H39" s="131">
        <f>SUM(G37:G38)</f>
        <v>19694.345348000003</v>
      </c>
    </row>
    <row r="40" spans="1:8" ht="9.75" customHeight="1" thickTop="1" x14ac:dyDescent="0.25">
      <c r="A40" s="160"/>
      <c r="B40" s="160"/>
      <c r="C40" s="160"/>
      <c r="D40" s="160"/>
      <c r="E40" s="160"/>
      <c r="F40" s="172"/>
      <c r="G40" s="172"/>
      <c r="H40" s="160"/>
    </row>
    <row r="41" spans="1:8" ht="9.75" customHeight="1" thickBot="1" x14ac:dyDescent="0.3">
      <c r="A41" s="160"/>
      <c r="B41" s="160"/>
      <c r="C41" s="160"/>
      <c r="D41" s="160"/>
      <c r="E41" s="160"/>
      <c r="F41" s="172"/>
      <c r="G41" s="172"/>
      <c r="H41" s="160"/>
    </row>
    <row r="42" spans="1:8" ht="14.25" thickTop="1" thickBot="1" x14ac:dyDescent="0.3">
      <c r="A42" s="160"/>
      <c r="B42" s="112"/>
      <c r="C42" s="112"/>
      <c r="D42" s="112"/>
      <c r="E42" s="539" t="s">
        <v>238</v>
      </c>
      <c r="F42" s="486"/>
      <c r="G42" s="486"/>
      <c r="H42" s="131">
        <f>ROUND(H39+H33,0)</f>
        <v>72922</v>
      </c>
    </row>
    <row r="43" spans="1:8" ht="9.75" customHeight="1" thickTop="1" x14ac:dyDescent="0.25">
      <c r="A43" s="160"/>
      <c r="B43" s="160"/>
      <c r="C43" s="160"/>
      <c r="D43" s="160"/>
      <c r="E43" s="160"/>
      <c r="F43" s="172"/>
      <c r="G43" s="172"/>
      <c r="H43" s="160"/>
    </row>
  </sheetData>
  <mergeCells count="37">
    <mergeCell ref="A39:C39"/>
    <mergeCell ref="E42:G42"/>
    <mergeCell ref="A15:C15"/>
    <mergeCell ref="A29:B29"/>
    <mergeCell ref="A30:B30"/>
    <mergeCell ref="A31:B31"/>
    <mergeCell ref="E33:G33"/>
    <mergeCell ref="A36:C36"/>
    <mergeCell ref="H36:H38"/>
    <mergeCell ref="A37:C37"/>
    <mergeCell ref="A38:C38"/>
    <mergeCell ref="H19:H22"/>
    <mergeCell ref="A20:B20"/>
    <mergeCell ref="A21:B21"/>
    <mergeCell ref="A22:B22"/>
    <mergeCell ref="A23:B23"/>
    <mergeCell ref="A25:B25"/>
    <mergeCell ref="H25:H30"/>
    <mergeCell ref="A26:B26"/>
    <mergeCell ref="A27:B27"/>
    <mergeCell ref="A28:B28"/>
    <mergeCell ref="A19:B19"/>
    <mergeCell ref="A11:C11"/>
    <mergeCell ref="A13:C13"/>
    <mergeCell ref="A14:C14"/>
    <mergeCell ref="A16:C16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E8E47-0607-4AA9-A106-67792C3941DD}">
  <sheetPr codeName="Hoja14">
    <pageSetUpPr fitToPage="1"/>
  </sheetPr>
  <dimension ref="A1:H47"/>
  <sheetViews>
    <sheetView view="pageBreakPreview" topLeftCell="A28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292">
        <v>3.4</v>
      </c>
    </row>
    <row r="5" spans="1:8" ht="38.450000000000003" customHeight="1" x14ac:dyDescent="0.25">
      <c r="A5" s="114" t="s">
        <v>211</v>
      </c>
      <c r="B5" s="524" t="str">
        <f>VLOOKUP(H4,'PRESUPUESTO OFICIAL'!A:F,2,0)</f>
        <v>SUMINISTRO, TRANSPORTE E INSTALACION CANAL EN LAMINA GALVANIZADA CAL .20 D/ 0.60 M. (SUMINISTRO E INSTALACIÓN CON WASH PRIMER + ESMALTE + ANCLAJE A MURO + SILICONA)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ML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288">
        <f>+H35*0.05</f>
        <v>1820.7686138888891</v>
      </c>
      <c r="H8" s="504"/>
    </row>
    <row r="9" spans="1:8" ht="21" customHeight="1" x14ac:dyDescent="0.25">
      <c r="A9" s="509" t="s">
        <v>280</v>
      </c>
      <c r="B9" s="510"/>
      <c r="C9" s="511"/>
      <c r="D9" s="124" t="s">
        <v>281</v>
      </c>
      <c r="E9" s="121">
        <f>+'BASE DE DATOS'!D130</f>
        <v>450</v>
      </c>
      <c r="F9" s="122">
        <v>1.5</v>
      </c>
      <c r="G9" s="285">
        <f>+E9/F9</f>
        <v>300</v>
      </c>
      <c r="H9" s="504"/>
    </row>
    <row r="10" spans="1:8" ht="13.5" thickBot="1" x14ac:dyDescent="0.3">
      <c r="A10" s="549"/>
      <c r="B10" s="550"/>
      <c r="C10" s="551"/>
      <c r="D10" s="125"/>
      <c r="E10" s="286"/>
      <c r="F10" s="126"/>
      <c r="G10" s="28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2120.7686138888894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22.9" customHeight="1" thickTop="1" x14ac:dyDescent="0.25">
      <c r="A14" s="554" t="s">
        <v>314</v>
      </c>
      <c r="B14" s="555" t="s">
        <v>314</v>
      </c>
      <c r="C14" s="556" t="s">
        <v>314</v>
      </c>
      <c r="D14" s="178" t="s">
        <v>291</v>
      </c>
      <c r="E14" s="175">
        <f>+'BASE DE DATOS'!D139</f>
        <v>436656</v>
      </c>
      <c r="F14" s="290">
        <v>3.7999999999999999E-2</v>
      </c>
      <c r="G14" s="177">
        <f t="shared" ref="G14:G19" si="0">+F14*E14</f>
        <v>16592.928</v>
      </c>
      <c r="H14" s="135"/>
    </row>
    <row r="15" spans="1:8" ht="24" customHeight="1" x14ac:dyDescent="0.25">
      <c r="A15" s="554" t="s">
        <v>315</v>
      </c>
      <c r="B15" s="555" t="s">
        <v>315</v>
      </c>
      <c r="C15" s="556" t="s">
        <v>315</v>
      </c>
      <c r="D15" s="178" t="s">
        <v>14</v>
      </c>
      <c r="E15" s="175">
        <f>+'BASE DE DATOS'!D77</f>
        <v>29350</v>
      </c>
      <c r="F15" s="290">
        <v>0.06</v>
      </c>
      <c r="G15" s="177">
        <f t="shared" si="0"/>
        <v>1761</v>
      </c>
      <c r="H15" s="135"/>
    </row>
    <row r="16" spans="1:8" ht="24" customHeight="1" x14ac:dyDescent="0.25">
      <c r="A16" s="554" t="s">
        <v>316</v>
      </c>
      <c r="B16" s="555" t="s">
        <v>316</v>
      </c>
      <c r="C16" s="556" t="s">
        <v>316</v>
      </c>
      <c r="D16" s="178" t="s">
        <v>14</v>
      </c>
      <c r="E16" s="175">
        <f>+'BASE DE DATOS'!D78</f>
        <v>44320</v>
      </c>
      <c r="F16" s="290">
        <v>0.06</v>
      </c>
      <c r="G16" s="177">
        <f t="shared" ref="G16" si="1">+F16*E16</f>
        <v>2659.2</v>
      </c>
      <c r="H16" s="135"/>
    </row>
    <row r="17" spans="1:8" ht="24" customHeight="1" x14ac:dyDescent="0.25">
      <c r="A17" s="554" t="s">
        <v>317</v>
      </c>
      <c r="B17" s="555" t="s">
        <v>317</v>
      </c>
      <c r="C17" s="556" t="s">
        <v>317</v>
      </c>
      <c r="D17" s="178" t="s">
        <v>13</v>
      </c>
      <c r="E17" s="175">
        <f>+'BASE DE DATOS'!D79</f>
        <v>48500</v>
      </c>
      <c r="F17" s="290">
        <v>0.66</v>
      </c>
      <c r="G17" s="177">
        <f t="shared" si="0"/>
        <v>32010</v>
      </c>
      <c r="H17" s="135"/>
    </row>
    <row r="18" spans="1:8" ht="12.75" x14ac:dyDescent="0.25">
      <c r="A18" s="554" t="s">
        <v>318</v>
      </c>
      <c r="B18" s="555" t="s">
        <v>318</v>
      </c>
      <c r="C18" s="556" t="s">
        <v>318</v>
      </c>
      <c r="D18" s="178" t="s">
        <v>14</v>
      </c>
      <c r="E18" s="175">
        <f>+'BASE DE DATOS'!D80</f>
        <v>8050</v>
      </c>
      <c r="F18" s="290">
        <v>0.5</v>
      </c>
      <c r="G18" s="177">
        <f t="shared" ref="G18" si="2">+F18*E18</f>
        <v>4025</v>
      </c>
      <c r="H18" s="135"/>
    </row>
    <row r="19" spans="1:8" ht="24" customHeight="1" x14ac:dyDescent="0.25">
      <c r="A19" s="554" t="s">
        <v>319</v>
      </c>
      <c r="B19" s="555" t="s">
        <v>319</v>
      </c>
      <c r="C19" s="556" t="s">
        <v>319</v>
      </c>
      <c r="D19" s="178" t="s">
        <v>14</v>
      </c>
      <c r="E19" s="175">
        <f>+'BASE DE DATOS'!D81</f>
        <v>1650</v>
      </c>
      <c r="F19" s="290">
        <v>0.03</v>
      </c>
      <c r="G19" s="177">
        <f t="shared" si="0"/>
        <v>49.5</v>
      </c>
      <c r="H19" s="135"/>
    </row>
    <row r="20" spans="1:8" ht="15.6" customHeight="1" thickBot="1" x14ac:dyDescent="0.3">
      <c r="A20" s="549" t="s">
        <v>320</v>
      </c>
      <c r="B20" s="550" t="s">
        <v>320</v>
      </c>
      <c r="C20" s="551" t="s">
        <v>320</v>
      </c>
      <c r="D20" s="125" t="s">
        <v>14</v>
      </c>
      <c r="E20" s="156">
        <f>+'BASE DE DATOS'!D82</f>
        <v>31520</v>
      </c>
      <c r="F20" s="291">
        <v>5.0000000000000001E-3</v>
      </c>
      <c r="G20" s="287">
        <f t="shared" ref="G20" si="3">+F20*E20</f>
        <v>157.6</v>
      </c>
      <c r="H20" s="135"/>
    </row>
    <row r="21" spans="1:8" ht="14.25" thickTop="1" thickBot="1" x14ac:dyDescent="0.3">
      <c r="A21" s="496"/>
      <c r="B21" s="486"/>
      <c r="C21" s="486"/>
      <c r="D21" s="129"/>
      <c r="E21" s="129"/>
      <c r="F21" s="130"/>
      <c r="G21" s="130" t="s">
        <v>218</v>
      </c>
      <c r="H21" s="131">
        <f>SUM(G14:G20)</f>
        <v>57255.227999999996</v>
      </c>
    </row>
    <row r="22" spans="1:8" ht="14.25" thickTop="1" thickBot="1" x14ac:dyDescent="0.3">
      <c r="A22" s="112" t="s">
        <v>222</v>
      </c>
      <c r="B22" s="112"/>
      <c r="C22" s="112"/>
      <c r="D22" s="112"/>
      <c r="E22" s="112"/>
      <c r="F22" s="113"/>
      <c r="G22" s="113"/>
      <c r="H22" s="112"/>
    </row>
    <row r="23" spans="1:8" ht="23.25" thickTop="1" x14ac:dyDescent="0.25">
      <c r="A23" s="533" t="s">
        <v>223</v>
      </c>
      <c r="B23" s="507"/>
      <c r="C23" s="140" t="s">
        <v>224</v>
      </c>
      <c r="D23" s="140" t="s">
        <v>225</v>
      </c>
      <c r="E23" s="140" t="s">
        <v>226</v>
      </c>
      <c r="F23" s="140" t="s">
        <v>227</v>
      </c>
      <c r="G23" s="141" t="s">
        <v>217</v>
      </c>
      <c r="H23" s="528"/>
    </row>
    <row r="24" spans="1:8" ht="15.75" x14ac:dyDescent="0.25">
      <c r="A24" s="531"/>
      <c r="B24" s="511"/>
      <c r="C24" s="142"/>
      <c r="D24" s="122"/>
      <c r="E24" s="142"/>
      <c r="F24" s="143"/>
      <c r="G24" s="144"/>
      <c r="H24" s="529"/>
    </row>
    <row r="25" spans="1:8" ht="12.75" x14ac:dyDescent="0.25">
      <c r="A25" s="532"/>
      <c r="B25" s="510"/>
      <c r="C25" s="145"/>
      <c r="D25" s="146"/>
      <c r="E25" s="146"/>
      <c r="F25" s="120"/>
      <c r="G25" s="147"/>
      <c r="H25" s="529"/>
    </row>
    <row r="26" spans="1:8" ht="13.5" thickBot="1" x14ac:dyDescent="0.3">
      <c r="A26" s="512"/>
      <c r="B26" s="513"/>
      <c r="C26" s="148"/>
      <c r="D26" s="149"/>
      <c r="E26" s="149"/>
      <c r="F26" s="125"/>
      <c r="G26" s="127"/>
      <c r="H26" s="530"/>
    </row>
    <row r="27" spans="1:8" ht="14.25" thickTop="1" thickBot="1" x14ac:dyDescent="0.3">
      <c r="A27" s="496"/>
      <c r="B27" s="486"/>
      <c r="C27" s="150"/>
      <c r="D27" s="151"/>
      <c r="E27" s="129"/>
      <c r="F27" s="130"/>
      <c r="G27" s="130" t="s">
        <v>218</v>
      </c>
      <c r="H27" s="152">
        <f>SUM(G24:G26)</f>
        <v>0</v>
      </c>
    </row>
    <row r="28" spans="1:8" ht="14.25" thickTop="1" thickBot="1" x14ac:dyDescent="0.3">
      <c r="A28" s="112" t="s">
        <v>228</v>
      </c>
      <c r="B28" s="112"/>
      <c r="C28" s="112"/>
      <c r="D28" s="112"/>
      <c r="E28" s="112"/>
      <c r="F28" s="113"/>
      <c r="G28" s="113"/>
      <c r="H28" s="112"/>
    </row>
    <row r="29" spans="1:8" ht="14.25" thickTop="1" thickBot="1" x14ac:dyDescent="0.3">
      <c r="A29" s="497" t="s">
        <v>229</v>
      </c>
      <c r="B29" s="499"/>
      <c r="C29" s="118" t="s">
        <v>230</v>
      </c>
      <c r="D29" s="118" t="s">
        <v>231</v>
      </c>
      <c r="E29" s="118" t="s">
        <v>232</v>
      </c>
      <c r="F29" s="118" t="s">
        <v>216</v>
      </c>
      <c r="G29" s="119" t="s">
        <v>217</v>
      </c>
      <c r="H29" s="503"/>
    </row>
    <row r="30" spans="1:8" ht="13.5" thickTop="1" x14ac:dyDescent="0.25">
      <c r="A30" s="531" t="s">
        <v>241</v>
      </c>
      <c r="B30" s="511"/>
      <c r="C30" s="154">
        <f>+'ANALISIS M.O'!$F$29*2</f>
        <v>116728</v>
      </c>
      <c r="D30" s="153">
        <f>+'ANALISIS M.O'!$C$26</f>
        <v>1.7733000000000001</v>
      </c>
      <c r="E30" s="143">
        <f t="shared" ref="E30:E31" si="4">+D30*C30</f>
        <v>206993.76240000001</v>
      </c>
      <c r="F30" s="180">
        <v>10.8</v>
      </c>
      <c r="G30" s="181">
        <f t="shared" ref="G30:G31" si="5">+E30/F30</f>
        <v>19166.089111111112</v>
      </c>
      <c r="H30" s="504"/>
    </row>
    <row r="31" spans="1:8" ht="12.75" x14ac:dyDescent="0.25">
      <c r="A31" s="531" t="s">
        <v>242</v>
      </c>
      <c r="B31" s="511"/>
      <c r="C31" s="143">
        <f>+'ANALISIS M.O'!$F$31</f>
        <v>105054</v>
      </c>
      <c r="D31" s="153">
        <f>+'ANALISIS M.O'!$C$26</f>
        <v>1.7733000000000001</v>
      </c>
      <c r="E31" s="182">
        <f t="shared" si="4"/>
        <v>186292.25820000001</v>
      </c>
      <c r="F31" s="183">
        <f>+F30</f>
        <v>10.8</v>
      </c>
      <c r="G31" s="181">
        <f t="shared" si="5"/>
        <v>17249.283166666668</v>
      </c>
      <c r="H31" s="504"/>
    </row>
    <row r="32" spans="1:8" ht="12.75" x14ac:dyDescent="0.25">
      <c r="A32" s="544"/>
      <c r="B32" s="511"/>
      <c r="C32" s="154"/>
      <c r="D32" s="153"/>
      <c r="E32" s="143"/>
      <c r="F32" s="155"/>
      <c r="G32" s="144"/>
      <c r="H32" s="504"/>
    </row>
    <row r="33" spans="1:8" ht="12.75" x14ac:dyDescent="0.25">
      <c r="A33" s="531"/>
      <c r="B33" s="511"/>
      <c r="C33" s="154"/>
      <c r="D33" s="153"/>
      <c r="E33" s="143"/>
      <c r="F33" s="155"/>
      <c r="G33" s="144"/>
      <c r="H33" s="504"/>
    </row>
    <row r="34" spans="1:8" ht="13.5" thickBot="1" x14ac:dyDescent="0.3">
      <c r="A34" s="512"/>
      <c r="B34" s="514"/>
      <c r="C34" s="156"/>
      <c r="D34" s="157"/>
      <c r="E34" s="149"/>
      <c r="F34" s="126"/>
      <c r="G34" s="158"/>
      <c r="H34" s="505"/>
    </row>
    <row r="35" spans="1:8" ht="14.25" thickTop="1" thickBot="1" x14ac:dyDescent="0.3">
      <c r="A35" s="496"/>
      <c r="B35" s="486"/>
      <c r="C35" s="150"/>
      <c r="D35" s="129"/>
      <c r="E35" s="159"/>
      <c r="F35" s="130"/>
      <c r="G35" s="130" t="s">
        <v>218</v>
      </c>
      <c r="H35" s="131">
        <f>SUM(G30:G34)</f>
        <v>36415.37227777778</v>
      </c>
    </row>
    <row r="36" spans="1:8" ht="14.25" thickTop="1" thickBot="1" x14ac:dyDescent="0.3">
      <c r="A36" s="160"/>
      <c r="B36" s="160"/>
      <c r="C36" s="150"/>
      <c r="D36" s="129"/>
      <c r="E36" s="159"/>
      <c r="F36" s="161"/>
      <c r="G36" s="150"/>
      <c r="H36" s="162"/>
    </row>
    <row r="37" spans="1:8" ht="14.25" thickTop="1" thickBot="1" x14ac:dyDescent="0.3">
      <c r="A37" s="160"/>
      <c r="B37" s="112"/>
      <c r="C37" s="112"/>
      <c r="D37" s="112"/>
      <c r="E37" s="539" t="s">
        <v>233</v>
      </c>
      <c r="F37" s="486"/>
      <c r="G37" s="486"/>
      <c r="H37" s="131">
        <f>ROUND((+H11+H21+H27+H35),4)</f>
        <v>95791.368900000001</v>
      </c>
    </row>
    <row r="38" spans="1:8" ht="13.5" thickTop="1" x14ac:dyDescent="0.25">
      <c r="A38" s="160"/>
      <c r="B38" s="160"/>
      <c r="C38" s="160"/>
      <c r="D38" s="113"/>
      <c r="E38" s="113"/>
      <c r="F38" s="113"/>
      <c r="G38" s="113"/>
      <c r="H38" s="164"/>
    </row>
    <row r="39" spans="1:8" ht="13.5" thickBot="1" x14ac:dyDescent="0.3">
      <c r="A39" s="112" t="s">
        <v>234</v>
      </c>
      <c r="B39" s="112"/>
      <c r="C39" s="112"/>
      <c r="D39" s="112"/>
      <c r="E39" s="112"/>
      <c r="F39" s="113"/>
      <c r="G39" s="113"/>
      <c r="H39" s="112"/>
    </row>
    <row r="40" spans="1:8" ht="13.5" thickTop="1" x14ac:dyDescent="0.25">
      <c r="A40" s="540" t="s">
        <v>26</v>
      </c>
      <c r="B40" s="541"/>
      <c r="C40" s="542"/>
      <c r="D40" s="165" t="s">
        <v>235</v>
      </c>
      <c r="E40" s="165" t="s">
        <v>215</v>
      </c>
      <c r="F40" s="165" t="s">
        <v>216</v>
      </c>
      <c r="G40" s="184" t="s">
        <v>217</v>
      </c>
      <c r="H40" s="503"/>
    </row>
    <row r="41" spans="1:8" ht="15.75" x14ac:dyDescent="0.25">
      <c r="A41" s="534" t="s">
        <v>236</v>
      </c>
      <c r="B41" s="535"/>
      <c r="C41" s="535"/>
      <c r="D41" s="167">
        <f>+'1.1 localizacion'!$D$35</f>
        <v>0.32</v>
      </c>
      <c r="E41" s="168"/>
      <c r="F41" s="169"/>
      <c r="G41" s="185">
        <f>$H$37*D41</f>
        <v>30653.238047999999</v>
      </c>
      <c r="H41" s="504"/>
    </row>
    <row r="42" spans="1:8" ht="13.5" thickBot="1" x14ac:dyDescent="0.3">
      <c r="A42" s="534" t="s">
        <v>237</v>
      </c>
      <c r="B42" s="536"/>
      <c r="C42" s="536"/>
      <c r="D42" s="167">
        <f>+'1.1 localizacion'!$D$36</f>
        <v>0.05</v>
      </c>
      <c r="E42" s="171"/>
      <c r="F42" s="171"/>
      <c r="G42" s="185">
        <f t="shared" ref="G42" si="6">$H$37*D42</f>
        <v>4789.5684449999999</v>
      </c>
      <c r="H42" s="504"/>
    </row>
    <row r="43" spans="1:8" ht="14.25" thickTop="1" thickBot="1" x14ac:dyDescent="0.3">
      <c r="A43" s="496"/>
      <c r="B43" s="486"/>
      <c r="C43" s="486"/>
      <c r="D43" s="128"/>
      <c r="E43" s="129"/>
      <c r="F43" s="130"/>
      <c r="G43" s="130" t="s">
        <v>218</v>
      </c>
      <c r="H43" s="131">
        <f>SUM(G41:G42)</f>
        <v>35442.806492999996</v>
      </c>
    </row>
    <row r="44" spans="1:8" ht="9.75" customHeight="1" thickTop="1" x14ac:dyDescent="0.25">
      <c r="A44" s="160"/>
      <c r="B44" s="160"/>
      <c r="C44" s="160"/>
      <c r="D44" s="160"/>
      <c r="E44" s="160"/>
      <c r="F44" s="172"/>
      <c r="G44" s="172"/>
      <c r="H44" s="160"/>
    </row>
    <row r="45" spans="1:8" ht="9.75" customHeight="1" thickBot="1" x14ac:dyDescent="0.3">
      <c r="A45" s="160"/>
      <c r="B45" s="160"/>
      <c r="C45" s="160"/>
      <c r="D45" s="160"/>
      <c r="E45" s="160"/>
      <c r="F45" s="172"/>
      <c r="G45" s="172"/>
      <c r="H45" s="160"/>
    </row>
    <row r="46" spans="1:8" ht="14.25" thickTop="1" thickBot="1" x14ac:dyDescent="0.3">
      <c r="A46" s="160"/>
      <c r="B46" s="112"/>
      <c r="C46" s="112"/>
      <c r="D46" s="112"/>
      <c r="E46" s="539" t="s">
        <v>238</v>
      </c>
      <c r="F46" s="486"/>
      <c r="G46" s="486"/>
      <c r="H46" s="131">
        <f>ROUND(H43+H37,0)</f>
        <v>131234</v>
      </c>
    </row>
    <row r="47" spans="1:8" ht="9.75" customHeight="1" thickTop="1" x14ac:dyDescent="0.25">
      <c r="A47" s="160"/>
      <c r="B47" s="160"/>
      <c r="C47" s="160"/>
      <c r="D47" s="160"/>
      <c r="E47" s="160"/>
      <c r="F47" s="172"/>
      <c r="G47" s="172"/>
      <c r="H47" s="160"/>
    </row>
  </sheetData>
  <mergeCells count="41">
    <mergeCell ref="A23:B23"/>
    <mergeCell ref="H23:H26"/>
    <mergeCell ref="A43:C43"/>
    <mergeCell ref="E46:G46"/>
    <mergeCell ref="A18:C18"/>
    <mergeCell ref="A24:B24"/>
    <mergeCell ref="A25:B25"/>
    <mergeCell ref="A26:B26"/>
    <mergeCell ref="A27:B27"/>
    <mergeCell ref="A21:C21"/>
    <mergeCell ref="A29:B29"/>
    <mergeCell ref="H29:H34"/>
    <mergeCell ref="A30:B30"/>
    <mergeCell ref="A31:B31"/>
    <mergeCell ref="A32:B32"/>
    <mergeCell ref="A33:B33"/>
    <mergeCell ref="A34:B34"/>
    <mergeCell ref="A35:B35"/>
    <mergeCell ref="E37:G37"/>
    <mergeCell ref="A40:C40"/>
    <mergeCell ref="H40:H42"/>
    <mergeCell ref="A41:C41"/>
    <mergeCell ref="A42:C42"/>
    <mergeCell ref="A11:C11"/>
    <mergeCell ref="A13:C13"/>
    <mergeCell ref="A14:C14"/>
    <mergeCell ref="A19:C19"/>
    <mergeCell ref="A20:C20"/>
    <mergeCell ref="A15:C15"/>
    <mergeCell ref="A17:C17"/>
    <mergeCell ref="A16:C16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D42B9-4D8C-41B6-9D2B-DAF072C3B1D8}">
  <sheetPr codeName="Hoja15">
    <pageSetUpPr fitToPage="1"/>
  </sheetPr>
  <dimension ref="A1:H47"/>
  <sheetViews>
    <sheetView view="pageBreakPreview" topLeftCell="A42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292">
        <v>3.5</v>
      </c>
    </row>
    <row r="5" spans="1:8" ht="38.450000000000003" customHeight="1" x14ac:dyDescent="0.25">
      <c r="A5" s="114" t="s">
        <v>211</v>
      </c>
      <c r="B5" s="524" t="str">
        <f>VLOOKUP(H4,'PRESUPUESTO OFICIAL'!A:F,2,0)</f>
        <v>SUMINISTRO, TRANSPORTE E INSTALACION BAJANTE AGUAS LLUVIAS PVC 3" (INCLUYE CODO, UNION Y ACCESORIOS DE FIJACION)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ML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288">
        <f>+H35*0.05</f>
        <v>959.23419658536591</v>
      </c>
      <c r="H8" s="504"/>
    </row>
    <row r="9" spans="1:8" ht="21" customHeight="1" x14ac:dyDescent="0.25">
      <c r="A9" s="509"/>
      <c r="B9" s="510"/>
      <c r="C9" s="511"/>
      <c r="D9" s="124"/>
      <c r="E9" s="121"/>
      <c r="F9" s="122"/>
      <c r="G9" s="285"/>
      <c r="H9" s="504"/>
    </row>
    <row r="10" spans="1:8" ht="13.5" thickBot="1" x14ac:dyDescent="0.3">
      <c r="A10" s="549"/>
      <c r="B10" s="550"/>
      <c r="C10" s="551"/>
      <c r="D10" s="125"/>
      <c r="E10" s="286"/>
      <c r="F10" s="126"/>
      <c r="G10" s="28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959.23419658536591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22.9" customHeight="1" thickTop="1" x14ac:dyDescent="0.25">
      <c r="A14" s="554" t="s">
        <v>321</v>
      </c>
      <c r="B14" s="555" t="s">
        <v>321</v>
      </c>
      <c r="C14" s="556" t="s">
        <v>321</v>
      </c>
      <c r="D14" s="178" t="s">
        <v>14</v>
      </c>
      <c r="E14" s="175">
        <f>+'BASE DE DATOS'!D86</f>
        <v>2849</v>
      </c>
      <c r="F14" s="290">
        <v>0.63</v>
      </c>
      <c r="G14" s="177">
        <f t="shared" ref="G14:G19" si="0">+F14*E14</f>
        <v>1794.8700000000001</v>
      </c>
      <c r="H14" s="135"/>
    </row>
    <row r="15" spans="1:8" ht="24" customHeight="1" x14ac:dyDescent="0.25">
      <c r="A15" s="554" t="s">
        <v>322</v>
      </c>
      <c r="B15" s="555" t="s">
        <v>322</v>
      </c>
      <c r="C15" s="556" t="s">
        <v>322</v>
      </c>
      <c r="D15" s="178" t="s">
        <v>14</v>
      </c>
      <c r="E15" s="175">
        <f>+'BASE DE DATOS'!D87</f>
        <v>9901</v>
      </c>
      <c r="F15" s="290">
        <v>0.1</v>
      </c>
      <c r="G15" s="177">
        <f t="shared" si="0"/>
        <v>990.1</v>
      </c>
      <c r="H15" s="135"/>
    </row>
    <row r="16" spans="1:8" ht="24" customHeight="1" x14ac:dyDescent="0.25">
      <c r="A16" s="554" t="s">
        <v>323</v>
      </c>
      <c r="B16" s="555" t="s">
        <v>323</v>
      </c>
      <c r="C16" s="556" t="s">
        <v>323</v>
      </c>
      <c r="D16" s="178" t="s">
        <v>14</v>
      </c>
      <c r="E16" s="175">
        <f>+'BASE DE DATOS'!D88</f>
        <v>62393</v>
      </c>
      <c r="F16" s="290">
        <v>1.4999999999999999E-2</v>
      </c>
      <c r="G16" s="177">
        <f t="shared" si="0"/>
        <v>935.89499999999998</v>
      </c>
      <c r="H16" s="135"/>
    </row>
    <row r="17" spans="1:8" ht="24" customHeight="1" x14ac:dyDescent="0.25">
      <c r="A17" s="554" t="s">
        <v>324</v>
      </c>
      <c r="B17" s="555" t="s">
        <v>324</v>
      </c>
      <c r="C17" s="556" t="s">
        <v>324</v>
      </c>
      <c r="D17" s="178" t="s">
        <v>14</v>
      </c>
      <c r="E17" s="175">
        <f>+'BASE DE DATOS'!D89</f>
        <v>129335</v>
      </c>
      <c r="F17" s="290">
        <v>1.4999999999999999E-2</v>
      </c>
      <c r="G17" s="177">
        <f t="shared" si="0"/>
        <v>1940.0249999999999</v>
      </c>
      <c r="H17" s="135"/>
    </row>
    <row r="18" spans="1:8" ht="12.75" x14ac:dyDescent="0.25">
      <c r="A18" s="554" t="s">
        <v>325</v>
      </c>
      <c r="B18" s="555" t="s">
        <v>325</v>
      </c>
      <c r="C18" s="556" t="s">
        <v>325</v>
      </c>
      <c r="D18" s="178" t="s">
        <v>15</v>
      </c>
      <c r="E18" s="175">
        <f>+'BASE DE DATOS'!D90</f>
        <v>12317</v>
      </c>
      <c r="F18" s="290">
        <v>1.03</v>
      </c>
      <c r="G18" s="177">
        <f t="shared" si="0"/>
        <v>12686.51</v>
      </c>
      <c r="H18" s="135"/>
    </row>
    <row r="19" spans="1:8" ht="24" customHeight="1" x14ac:dyDescent="0.25">
      <c r="A19" s="554" t="s">
        <v>326</v>
      </c>
      <c r="B19" s="555" t="s">
        <v>326</v>
      </c>
      <c r="C19" s="556" t="s">
        <v>326</v>
      </c>
      <c r="D19" s="178" t="s">
        <v>14</v>
      </c>
      <c r="E19" s="175">
        <f>+'BASE DE DATOS'!D91</f>
        <v>4974</v>
      </c>
      <c r="F19" s="290">
        <v>0.16</v>
      </c>
      <c r="G19" s="177">
        <f t="shared" si="0"/>
        <v>795.84</v>
      </c>
      <c r="H19" s="135"/>
    </row>
    <row r="20" spans="1:8" ht="15.6" customHeight="1" thickBot="1" x14ac:dyDescent="0.3">
      <c r="A20" s="549"/>
      <c r="B20" s="550"/>
      <c r="C20" s="551"/>
      <c r="D20" s="125"/>
      <c r="E20" s="156"/>
      <c r="F20" s="291"/>
      <c r="G20" s="287"/>
      <c r="H20" s="135"/>
    </row>
    <row r="21" spans="1:8" ht="14.25" thickTop="1" thickBot="1" x14ac:dyDescent="0.3">
      <c r="A21" s="496"/>
      <c r="B21" s="486"/>
      <c r="C21" s="486"/>
      <c r="D21" s="129"/>
      <c r="E21" s="129"/>
      <c r="F21" s="130"/>
      <c r="G21" s="130" t="s">
        <v>218</v>
      </c>
      <c r="H21" s="131">
        <f>SUM(G14:G20)</f>
        <v>19143.240000000002</v>
      </c>
    </row>
    <row r="22" spans="1:8" ht="14.25" thickTop="1" thickBot="1" x14ac:dyDescent="0.3">
      <c r="A22" s="112" t="s">
        <v>222</v>
      </c>
      <c r="B22" s="112"/>
      <c r="C22" s="112"/>
      <c r="D22" s="112"/>
      <c r="E22" s="112"/>
      <c r="F22" s="113"/>
      <c r="G22" s="113"/>
      <c r="H22" s="112"/>
    </row>
    <row r="23" spans="1:8" ht="23.25" thickTop="1" x14ac:dyDescent="0.25">
      <c r="A23" s="533" t="s">
        <v>223</v>
      </c>
      <c r="B23" s="507"/>
      <c r="C23" s="140" t="s">
        <v>224</v>
      </c>
      <c r="D23" s="140" t="s">
        <v>225</v>
      </c>
      <c r="E23" s="140" t="s">
        <v>226</v>
      </c>
      <c r="F23" s="140" t="s">
        <v>227</v>
      </c>
      <c r="G23" s="141" t="s">
        <v>217</v>
      </c>
      <c r="H23" s="528"/>
    </row>
    <row r="24" spans="1:8" ht="15.75" x14ac:dyDescent="0.25">
      <c r="A24" s="531"/>
      <c r="B24" s="511"/>
      <c r="C24" s="142"/>
      <c r="D24" s="122"/>
      <c r="E24" s="142"/>
      <c r="F24" s="143"/>
      <c r="G24" s="144"/>
      <c r="H24" s="529"/>
    </row>
    <row r="25" spans="1:8" ht="12.75" x14ac:dyDescent="0.25">
      <c r="A25" s="532"/>
      <c r="B25" s="510"/>
      <c r="C25" s="145"/>
      <c r="D25" s="146"/>
      <c r="E25" s="146"/>
      <c r="F25" s="120"/>
      <c r="G25" s="147"/>
      <c r="H25" s="529"/>
    </row>
    <row r="26" spans="1:8" ht="13.5" thickBot="1" x14ac:dyDescent="0.3">
      <c r="A26" s="512"/>
      <c r="B26" s="513"/>
      <c r="C26" s="148"/>
      <c r="D26" s="149"/>
      <c r="E26" s="149"/>
      <c r="F26" s="125"/>
      <c r="G26" s="127"/>
      <c r="H26" s="530"/>
    </row>
    <row r="27" spans="1:8" ht="14.25" thickTop="1" thickBot="1" x14ac:dyDescent="0.3">
      <c r="A27" s="496"/>
      <c r="B27" s="486"/>
      <c r="C27" s="150"/>
      <c r="D27" s="151"/>
      <c r="E27" s="129"/>
      <c r="F27" s="130"/>
      <c r="G27" s="130" t="s">
        <v>218</v>
      </c>
      <c r="H27" s="152">
        <f>SUM(G24:G26)</f>
        <v>0</v>
      </c>
    </row>
    <row r="28" spans="1:8" ht="14.25" thickTop="1" thickBot="1" x14ac:dyDescent="0.3">
      <c r="A28" s="112" t="s">
        <v>228</v>
      </c>
      <c r="B28" s="112"/>
      <c r="C28" s="112"/>
      <c r="D28" s="112"/>
      <c r="E28" s="112"/>
      <c r="F28" s="113"/>
      <c r="G28" s="113"/>
      <c r="H28" s="112"/>
    </row>
    <row r="29" spans="1:8" ht="14.25" thickTop="1" thickBot="1" x14ac:dyDescent="0.3">
      <c r="A29" s="497" t="s">
        <v>229</v>
      </c>
      <c r="B29" s="499"/>
      <c r="C29" s="118" t="s">
        <v>230</v>
      </c>
      <c r="D29" s="118" t="s">
        <v>231</v>
      </c>
      <c r="E29" s="118" t="s">
        <v>232</v>
      </c>
      <c r="F29" s="118" t="s">
        <v>216</v>
      </c>
      <c r="G29" s="119" t="s">
        <v>217</v>
      </c>
      <c r="H29" s="503"/>
    </row>
    <row r="30" spans="1:8" ht="13.5" thickTop="1" x14ac:dyDescent="0.25">
      <c r="A30" s="531" t="s">
        <v>241</v>
      </c>
      <c r="B30" s="511"/>
      <c r="C30" s="154">
        <f>+'ANALISIS M.O'!$F$29*2</f>
        <v>116728</v>
      </c>
      <c r="D30" s="153">
        <f>+'ANALISIS M.O'!$C$26</f>
        <v>1.7733000000000001</v>
      </c>
      <c r="E30" s="143">
        <f t="shared" ref="E30:E31" si="1">+D30*C30</f>
        <v>206993.76240000001</v>
      </c>
      <c r="F30" s="180">
        <v>20.5</v>
      </c>
      <c r="G30" s="181">
        <f t="shared" ref="G30:G31" si="2">+E30/F30</f>
        <v>10097.256702439025</v>
      </c>
      <c r="H30" s="504"/>
    </row>
    <row r="31" spans="1:8" ht="12.75" x14ac:dyDescent="0.25">
      <c r="A31" s="531" t="s">
        <v>242</v>
      </c>
      <c r="B31" s="511"/>
      <c r="C31" s="143">
        <f>+'ANALISIS M.O'!$F$31</f>
        <v>105054</v>
      </c>
      <c r="D31" s="153">
        <f>+'ANALISIS M.O'!$C$26</f>
        <v>1.7733000000000001</v>
      </c>
      <c r="E31" s="182">
        <f t="shared" si="1"/>
        <v>186292.25820000001</v>
      </c>
      <c r="F31" s="183">
        <f>+F30</f>
        <v>20.5</v>
      </c>
      <c r="G31" s="181">
        <f t="shared" si="2"/>
        <v>9087.4272292682926</v>
      </c>
      <c r="H31" s="504"/>
    </row>
    <row r="32" spans="1:8" ht="12.75" x14ac:dyDescent="0.25">
      <c r="A32" s="544"/>
      <c r="B32" s="511"/>
      <c r="C32" s="154"/>
      <c r="D32" s="153"/>
      <c r="E32" s="143"/>
      <c r="F32" s="155"/>
      <c r="G32" s="144"/>
      <c r="H32" s="504"/>
    </row>
    <row r="33" spans="1:8" ht="12.75" x14ac:dyDescent="0.25">
      <c r="A33" s="531"/>
      <c r="B33" s="511"/>
      <c r="C33" s="154"/>
      <c r="D33" s="153"/>
      <c r="E33" s="143"/>
      <c r="F33" s="155"/>
      <c r="G33" s="144"/>
      <c r="H33" s="504"/>
    </row>
    <row r="34" spans="1:8" ht="13.5" thickBot="1" x14ac:dyDescent="0.3">
      <c r="A34" s="512"/>
      <c r="B34" s="514"/>
      <c r="C34" s="156"/>
      <c r="D34" s="157"/>
      <c r="E34" s="149"/>
      <c r="F34" s="126"/>
      <c r="G34" s="158"/>
      <c r="H34" s="505"/>
    </row>
    <row r="35" spans="1:8" ht="14.25" thickTop="1" thickBot="1" x14ac:dyDescent="0.3">
      <c r="A35" s="496"/>
      <c r="B35" s="486"/>
      <c r="C35" s="150"/>
      <c r="D35" s="129"/>
      <c r="E35" s="159"/>
      <c r="F35" s="130"/>
      <c r="G35" s="130" t="s">
        <v>218</v>
      </c>
      <c r="H35" s="131">
        <f>SUM(G30:G34)</f>
        <v>19184.683931707317</v>
      </c>
    </row>
    <row r="36" spans="1:8" ht="14.25" thickTop="1" thickBot="1" x14ac:dyDescent="0.3">
      <c r="A36" s="160"/>
      <c r="B36" s="160"/>
      <c r="C36" s="150"/>
      <c r="D36" s="129"/>
      <c r="E36" s="159"/>
      <c r="F36" s="161"/>
      <c r="G36" s="150"/>
      <c r="H36" s="162"/>
    </row>
    <row r="37" spans="1:8" ht="14.25" thickTop="1" thickBot="1" x14ac:dyDescent="0.3">
      <c r="A37" s="160"/>
      <c r="B37" s="112"/>
      <c r="C37" s="112"/>
      <c r="D37" s="112"/>
      <c r="E37" s="539" t="s">
        <v>233</v>
      </c>
      <c r="F37" s="486"/>
      <c r="G37" s="486"/>
      <c r="H37" s="131">
        <f>ROUND((+H11+H21+H27+H35),4)</f>
        <v>39287.158100000001</v>
      </c>
    </row>
    <row r="38" spans="1:8" ht="13.5" thickTop="1" x14ac:dyDescent="0.25">
      <c r="A38" s="160"/>
      <c r="B38" s="160"/>
      <c r="C38" s="160"/>
      <c r="D38" s="113"/>
      <c r="E38" s="113"/>
      <c r="F38" s="113"/>
      <c r="G38" s="113"/>
      <c r="H38" s="164"/>
    </row>
    <row r="39" spans="1:8" ht="13.5" thickBot="1" x14ac:dyDescent="0.3">
      <c r="A39" s="112" t="s">
        <v>234</v>
      </c>
      <c r="B39" s="112"/>
      <c r="C39" s="112"/>
      <c r="D39" s="112"/>
      <c r="E39" s="112"/>
      <c r="F39" s="113"/>
      <c r="G39" s="113"/>
      <c r="H39" s="112"/>
    </row>
    <row r="40" spans="1:8" ht="13.5" thickTop="1" x14ac:dyDescent="0.25">
      <c r="A40" s="540" t="s">
        <v>26</v>
      </c>
      <c r="B40" s="541"/>
      <c r="C40" s="542"/>
      <c r="D40" s="165" t="s">
        <v>235</v>
      </c>
      <c r="E40" s="165" t="s">
        <v>215</v>
      </c>
      <c r="F40" s="165" t="s">
        <v>216</v>
      </c>
      <c r="G40" s="184" t="s">
        <v>217</v>
      </c>
      <c r="H40" s="503"/>
    </row>
    <row r="41" spans="1:8" ht="15.75" x14ac:dyDescent="0.25">
      <c r="A41" s="534" t="s">
        <v>236</v>
      </c>
      <c r="B41" s="535"/>
      <c r="C41" s="535"/>
      <c r="D41" s="167">
        <f>+'1.1 localizacion'!$D$35</f>
        <v>0.32</v>
      </c>
      <c r="E41" s="168"/>
      <c r="F41" s="169"/>
      <c r="G41" s="185">
        <f>$H$37*D41</f>
        <v>12571.890592</v>
      </c>
      <c r="H41" s="504"/>
    </row>
    <row r="42" spans="1:8" ht="13.5" thickBot="1" x14ac:dyDescent="0.3">
      <c r="A42" s="534" t="s">
        <v>237</v>
      </c>
      <c r="B42" s="536"/>
      <c r="C42" s="536"/>
      <c r="D42" s="167">
        <f>+'1.1 localizacion'!$D$36</f>
        <v>0.05</v>
      </c>
      <c r="E42" s="171"/>
      <c r="F42" s="171"/>
      <c r="G42" s="185">
        <f t="shared" ref="G42" si="3">$H$37*D42</f>
        <v>1964.3579050000001</v>
      </c>
      <c r="H42" s="504"/>
    </row>
    <row r="43" spans="1:8" ht="14.25" thickTop="1" thickBot="1" x14ac:dyDescent="0.3">
      <c r="A43" s="496"/>
      <c r="B43" s="486"/>
      <c r="C43" s="486"/>
      <c r="D43" s="128"/>
      <c r="E43" s="129"/>
      <c r="F43" s="130"/>
      <c r="G43" s="130" t="s">
        <v>218</v>
      </c>
      <c r="H43" s="131">
        <f>SUM(G41:G42)</f>
        <v>14536.248497</v>
      </c>
    </row>
    <row r="44" spans="1:8" ht="9.75" customHeight="1" thickTop="1" x14ac:dyDescent="0.25">
      <c r="A44" s="160"/>
      <c r="B44" s="160"/>
      <c r="C44" s="160"/>
      <c r="D44" s="160"/>
      <c r="E44" s="160"/>
      <c r="F44" s="172"/>
      <c r="G44" s="172"/>
      <c r="H44" s="160"/>
    </row>
    <row r="45" spans="1:8" ht="9.75" customHeight="1" thickBot="1" x14ac:dyDescent="0.3">
      <c r="A45" s="160"/>
      <c r="B45" s="160"/>
      <c r="C45" s="160"/>
      <c r="D45" s="160"/>
      <c r="E45" s="160"/>
      <c r="F45" s="172"/>
      <c r="G45" s="172"/>
      <c r="H45" s="160"/>
    </row>
    <row r="46" spans="1:8" ht="14.25" thickTop="1" thickBot="1" x14ac:dyDescent="0.3">
      <c r="A46" s="160"/>
      <c r="B46" s="112"/>
      <c r="C46" s="112"/>
      <c r="D46" s="112"/>
      <c r="E46" s="539" t="s">
        <v>238</v>
      </c>
      <c r="F46" s="486"/>
      <c r="G46" s="486"/>
      <c r="H46" s="131">
        <f>ROUND(H43+H37,0)</f>
        <v>53823</v>
      </c>
    </row>
    <row r="47" spans="1:8" ht="9.75" customHeight="1" thickTop="1" x14ac:dyDescent="0.25">
      <c r="A47" s="160"/>
      <c r="B47" s="160"/>
      <c r="C47" s="160"/>
      <c r="D47" s="160"/>
      <c r="E47" s="160"/>
      <c r="F47" s="172"/>
      <c r="G47" s="172"/>
      <c r="H47" s="160"/>
    </row>
  </sheetData>
  <mergeCells count="41">
    <mergeCell ref="A43:C43"/>
    <mergeCell ref="E46:G46"/>
    <mergeCell ref="A35:B35"/>
    <mergeCell ref="E37:G37"/>
    <mergeCell ref="A40:C40"/>
    <mergeCell ref="H40:H42"/>
    <mergeCell ref="A41:C41"/>
    <mergeCell ref="A42:C42"/>
    <mergeCell ref="A27:B27"/>
    <mergeCell ref="A29:B29"/>
    <mergeCell ref="H29:H34"/>
    <mergeCell ref="A30:B30"/>
    <mergeCell ref="A31:B31"/>
    <mergeCell ref="A32:B32"/>
    <mergeCell ref="A33:B33"/>
    <mergeCell ref="A34:B34"/>
    <mergeCell ref="H23:H26"/>
    <mergeCell ref="A24:B24"/>
    <mergeCell ref="A25:B25"/>
    <mergeCell ref="A26:B26"/>
    <mergeCell ref="A11:C11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3:B23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90557-D726-49C9-9888-5A02B2922AA5}">
  <sheetPr codeName="Hoja16">
    <pageSetUpPr fitToPage="1"/>
  </sheetPr>
  <dimension ref="A1:H45"/>
  <sheetViews>
    <sheetView view="pageBreakPreview" topLeftCell="A35" zoomScale="115" zoomScaleNormal="100" zoomScaleSheetLayoutView="11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26" width="11.42578125" style="49" customWidth="1"/>
    <col min="27" max="16384" width="12.7109375" style="49"/>
  </cols>
  <sheetData>
    <row r="1" spans="1:8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8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292">
        <v>3.6</v>
      </c>
    </row>
    <row r="5" spans="1:8" ht="12.75" x14ac:dyDescent="0.25">
      <c r="A5" s="114" t="s">
        <v>211</v>
      </c>
      <c r="B5" s="524" t="str">
        <f>VLOOKUP(H4,'PRESUPUESTO OFICIAL'!A:F,2,0)</f>
        <v>RECORRIDO DE CUBIERTA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8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4.2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3.5" thickTop="1" x14ac:dyDescent="0.25">
      <c r="A8" s="531" t="s">
        <v>239</v>
      </c>
      <c r="B8" s="510"/>
      <c r="C8" s="511"/>
      <c r="D8" s="124"/>
      <c r="E8" s="146"/>
      <c r="F8" s="146"/>
      <c r="G8" s="288">
        <f>+H33*0.05</f>
        <v>893.83186500000011</v>
      </c>
      <c r="H8" s="504"/>
    </row>
    <row r="9" spans="1:8" ht="21" customHeight="1" x14ac:dyDescent="0.25">
      <c r="A9" s="509"/>
      <c r="B9" s="510"/>
      <c r="C9" s="511"/>
      <c r="D9" s="124"/>
      <c r="E9" s="121"/>
      <c r="F9" s="122"/>
      <c r="G9" s="285"/>
      <c r="H9" s="504"/>
    </row>
    <row r="10" spans="1:8" ht="13.5" thickBot="1" x14ac:dyDescent="0.3">
      <c r="A10" s="549"/>
      <c r="B10" s="550"/>
      <c r="C10" s="551"/>
      <c r="D10" s="125"/>
      <c r="E10" s="286"/>
      <c r="F10" s="126"/>
      <c r="G10" s="287"/>
      <c r="H10" s="505"/>
    </row>
    <row r="11" spans="1:8" ht="14.2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SUM(G8:G10)</f>
        <v>893.83186500000011</v>
      </c>
    </row>
    <row r="12" spans="1:8" ht="14.2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4.2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22.9" customHeight="1" thickTop="1" thickBot="1" x14ac:dyDescent="0.3">
      <c r="A14" s="558" t="s">
        <v>357</v>
      </c>
      <c r="B14" s="558"/>
      <c r="C14" s="559"/>
      <c r="D14" s="178" t="s">
        <v>14</v>
      </c>
      <c r="E14" s="175">
        <v>1824</v>
      </c>
      <c r="F14" s="290">
        <v>0.1</v>
      </c>
      <c r="G14" s="177">
        <f t="shared" ref="G14:G17" si="0">+F14*E14</f>
        <v>182.4</v>
      </c>
      <c r="H14" s="135"/>
    </row>
    <row r="15" spans="1:8" ht="24" customHeight="1" thickTop="1" thickBot="1" x14ac:dyDescent="0.3">
      <c r="A15" s="558" t="s">
        <v>558</v>
      </c>
      <c r="B15" s="558" t="s">
        <v>558</v>
      </c>
      <c r="C15" s="559" t="s">
        <v>558</v>
      </c>
      <c r="D15" s="178" t="s">
        <v>14</v>
      </c>
      <c r="E15" s="175">
        <v>1190</v>
      </c>
      <c r="F15" s="290">
        <v>1</v>
      </c>
      <c r="G15" s="177">
        <f t="shared" si="0"/>
        <v>1190</v>
      </c>
      <c r="H15" s="135"/>
    </row>
    <row r="16" spans="1:8" ht="24" customHeight="1" thickTop="1" thickBot="1" x14ac:dyDescent="0.3">
      <c r="A16" s="558" t="s">
        <v>559</v>
      </c>
      <c r="B16" s="558" t="s">
        <v>559</v>
      </c>
      <c r="C16" s="559" t="s">
        <v>559</v>
      </c>
      <c r="D16" s="178" t="s">
        <v>14</v>
      </c>
      <c r="E16" s="175">
        <v>595</v>
      </c>
      <c r="F16" s="290">
        <v>1</v>
      </c>
      <c r="G16" s="177">
        <f t="shared" si="0"/>
        <v>595</v>
      </c>
      <c r="H16" s="135"/>
    </row>
    <row r="17" spans="1:8" ht="24" customHeight="1" thickTop="1" x14ac:dyDescent="0.25">
      <c r="A17" s="558" t="s">
        <v>320</v>
      </c>
      <c r="B17" s="558" t="s">
        <v>320</v>
      </c>
      <c r="C17" s="559" t="s">
        <v>320</v>
      </c>
      <c r="D17" s="178" t="s">
        <v>14</v>
      </c>
      <c r="E17" s="175">
        <v>44338</v>
      </c>
      <c r="F17" s="290">
        <v>0.01</v>
      </c>
      <c r="G17" s="177">
        <f t="shared" si="0"/>
        <v>443.38</v>
      </c>
      <c r="H17" s="135"/>
    </row>
    <row r="18" spans="1:8" ht="15.6" customHeight="1" thickBot="1" x14ac:dyDescent="0.3">
      <c r="A18" s="549"/>
      <c r="B18" s="550"/>
      <c r="C18" s="551"/>
      <c r="D18" s="125"/>
      <c r="E18" s="156"/>
      <c r="F18" s="291"/>
      <c r="G18" s="287"/>
      <c r="H18" s="135"/>
    </row>
    <row r="19" spans="1:8" ht="14.25" thickTop="1" thickBot="1" x14ac:dyDescent="0.3">
      <c r="A19" s="496"/>
      <c r="B19" s="486"/>
      <c r="C19" s="486"/>
      <c r="D19" s="129"/>
      <c r="E19" s="129"/>
      <c r="F19" s="130"/>
      <c r="G19" s="130" t="s">
        <v>218</v>
      </c>
      <c r="H19" s="131">
        <f>SUM(G14:G18)</f>
        <v>2410.7800000000002</v>
      </c>
    </row>
    <row r="20" spans="1:8" ht="14.25" thickTop="1" thickBot="1" x14ac:dyDescent="0.3">
      <c r="A20" s="112" t="s">
        <v>222</v>
      </c>
      <c r="B20" s="112"/>
      <c r="C20" s="112"/>
      <c r="D20" s="112"/>
      <c r="E20" s="112"/>
      <c r="F20" s="113"/>
      <c r="G20" s="113"/>
      <c r="H20" s="112"/>
    </row>
    <row r="21" spans="1:8" ht="23.25" thickTop="1" x14ac:dyDescent="0.25">
      <c r="A21" s="533" t="s">
        <v>223</v>
      </c>
      <c r="B21" s="507"/>
      <c r="C21" s="140" t="s">
        <v>224</v>
      </c>
      <c r="D21" s="140" t="s">
        <v>225</v>
      </c>
      <c r="E21" s="140" t="s">
        <v>226</v>
      </c>
      <c r="F21" s="140" t="s">
        <v>227</v>
      </c>
      <c r="G21" s="141" t="s">
        <v>217</v>
      </c>
      <c r="H21" s="528"/>
    </row>
    <row r="22" spans="1:8" ht="15.75" x14ac:dyDescent="0.25">
      <c r="A22" s="531"/>
      <c r="B22" s="511"/>
      <c r="C22" s="142"/>
      <c r="D22" s="122"/>
      <c r="E22" s="142"/>
      <c r="F22" s="143"/>
      <c r="G22" s="144"/>
      <c r="H22" s="529"/>
    </row>
    <row r="23" spans="1:8" ht="12.75" x14ac:dyDescent="0.25">
      <c r="A23" s="532"/>
      <c r="B23" s="510"/>
      <c r="C23" s="145"/>
      <c r="D23" s="146"/>
      <c r="E23" s="146"/>
      <c r="F23" s="120"/>
      <c r="G23" s="147"/>
      <c r="H23" s="529"/>
    </row>
    <row r="24" spans="1:8" ht="13.5" thickBot="1" x14ac:dyDescent="0.3">
      <c r="A24" s="512"/>
      <c r="B24" s="513"/>
      <c r="C24" s="148"/>
      <c r="D24" s="149"/>
      <c r="E24" s="149"/>
      <c r="F24" s="125"/>
      <c r="G24" s="127"/>
      <c r="H24" s="530"/>
    </row>
    <row r="25" spans="1:8" ht="14.25" thickTop="1" thickBot="1" x14ac:dyDescent="0.3">
      <c r="A25" s="496"/>
      <c r="B25" s="486"/>
      <c r="C25" s="150"/>
      <c r="D25" s="151"/>
      <c r="E25" s="129"/>
      <c r="F25" s="130"/>
      <c r="G25" s="130" t="s">
        <v>218</v>
      </c>
      <c r="H25" s="152">
        <f>SUM(G22:G24)</f>
        <v>0</v>
      </c>
    </row>
    <row r="26" spans="1:8" ht="14.25" thickTop="1" thickBot="1" x14ac:dyDescent="0.3">
      <c r="A26" s="112" t="s">
        <v>228</v>
      </c>
      <c r="B26" s="112"/>
      <c r="C26" s="112"/>
      <c r="D26" s="112"/>
      <c r="E26" s="112"/>
      <c r="F26" s="113"/>
      <c r="G26" s="113"/>
      <c r="H26" s="112"/>
    </row>
    <row r="27" spans="1:8" ht="14.25" thickTop="1" thickBot="1" x14ac:dyDescent="0.3">
      <c r="A27" s="497" t="s">
        <v>229</v>
      </c>
      <c r="B27" s="499"/>
      <c r="C27" s="118" t="s">
        <v>230</v>
      </c>
      <c r="D27" s="118" t="s">
        <v>231</v>
      </c>
      <c r="E27" s="118" t="s">
        <v>232</v>
      </c>
      <c r="F27" s="118" t="s">
        <v>216</v>
      </c>
      <c r="G27" s="119" t="s">
        <v>217</v>
      </c>
      <c r="H27" s="503"/>
    </row>
    <row r="28" spans="1:8" ht="13.5" thickTop="1" x14ac:dyDescent="0.25">
      <c r="A28" s="531" t="s">
        <v>241</v>
      </c>
      <c r="B28" s="511"/>
      <c r="C28" s="154">
        <f>+'ANALISIS M.O'!$F$29*2</f>
        <v>116728</v>
      </c>
      <c r="D28" s="153">
        <f>+'ANALISIS M.O'!$C$26</f>
        <v>1.7733000000000001</v>
      </c>
      <c r="E28" s="143">
        <f t="shared" ref="E28:E29" si="1">+D28*C28</f>
        <v>206993.76240000001</v>
      </c>
      <c r="F28" s="180">
        <v>22</v>
      </c>
      <c r="G28" s="181">
        <f t="shared" ref="G28:G29" si="2">+E28/F28</f>
        <v>9408.807381818182</v>
      </c>
      <c r="H28" s="504"/>
    </row>
    <row r="29" spans="1:8" ht="12.75" x14ac:dyDescent="0.25">
      <c r="A29" s="531" t="s">
        <v>242</v>
      </c>
      <c r="B29" s="511"/>
      <c r="C29" s="143">
        <f>+'ANALISIS M.O'!$F$31</f>
        <v>105054</v>
      </c>
      <c r="D29" s="153">
        <f>+'ANALISIS M.O'!$C$26</f>
        <v>1.7733000000000001</v>
      </c>
      <c r="E29" s="182">
        <f t="shared" si="1"/>
        <v>186292.25820000001</v>
      </c>
      <c r="F29" s="183">
        <f>+F28</f>
        <v>22</v>
      </c>
      <c r="G29" s="181">
        <f t="shared" si="2"/>
        <v>8467.8299181818184</v>
      </c>
      <c r="H29" s="504"/>
    </row>
    <row r="30" spans="1:8" ht="12.75" x14ac:dyDescent="0.25">
      <c r="A30" s="544"/>
      <c r="B30" s="511"/>
      <c r="C30" s="154"/>
      <c r="D30" s="153"/>
      <c r="E30" s="143"/>
      <c r="F30" s="155"/>
      <c r="G30" s="144"/>
      <c r="H30" s="504"/>
    </row>
    <row r="31" spans="1:8" ht="12.75" x14ac:dyDescent="0.25">
      <c r="A31" s="531"/>
      <c r="B31" s="511"/>
      <c r="C31" s="154"/>
      <c r="D31" s="153"/>
      <c r="E31" s="143"/>
      <c r="F31" s="155"/>
      <c r="G31" s="144"/>
      <c r="H31" s="504"/>
    </row>
    <row r="32" spans="1:8" ht="13.5" thickBot="1" x14ac:dyDescent="0.3">
      <c r="A32" s="512"/>
      <c r="B32" s="514"/>
      <c r="C32" s="156"/>
      <c r="D32" s="157"/>
      <c r="E32" s="149"/>
      <c r="F32" s="126"/>
      <c r="G32" s="158"/>
      <c r="H32" s="505"/>
    </row>
    <row r="33" spans="1:8" ht="14.25" thickTop="1" thickBot="1" x14ac:dyDescent="0.3">
      <c r="A33" s="496"/>
      <c r="B33" s="486"/>
      <c r="C33" s="150"/>
      <c r="D33" s="129"/>
      <c r="E33" s="159"/>
      <c r="F33" s="130"/>
      <c r="G33" s="130" t="s">
        <v>218</v>
      </c>
      <c r="H33" s="131">
        <f>SUM(G28:G32)</f>
        <v>17876.637300000002</v>
      </c>
    </row>
    <row r="34" spans="1:8" ht="14.25" thickTop="1" thickBot="1" x14ac:dyDescent="0.3">
      <c r="A34" s="160"/>
      <c r="B34" s="160"/>
      <c r="C34" s="150"/>
      <c r="D34" s="129"/>
      <c r="E34" s="159"/>
      <c r="F34" s="161"/>
      <c r="G34" s="150"/>
      <c r="H34" s="162"/>
    </row>
    <row r="35" spans="1:8" ht="14.25" thickTop="1" thickBot="1" x14ac:dyDescent="0.3">
      <c r="A35" s="160"/>
      <c r="B35" s="112"/>
      <c r="C35" s="112"/>
      <c r="D35" s="112"/>
      <c r="E35" s="539" t="s">
        <v>233</v>
      </c>
      <c r="F35" s="486"/>
      <c r="G35" s="486"/>
      <c r="H35" s="131">
        <f>ROUND((+H11+H19+H25+H33),4)</f>
        <v>21181.249199999998</v>
      </c>
    </row>
    <row r="36" spans="1:8" ht="13.5" thickTop="1" x14ac:dyDescent="0.25">
      <c r="A36" s="160"/>
      <c r="B36" s="160"/>
      <c r="C36" s="160"/>
      <c r="D36" s="113"/>
      <c r="E36" s="113"/>
      <c r="F36" s="113"/>
      <c r="G36" s="113"/>
      <c r="H36" s="164"/>
    </row>
    <row r="37" spans="1:8" ht="13.5" thickBot="1" x14ac:dyDescent="0.3">
      <c r="A37" s="112" t="s">
        <v>234</v>
      </c>
      <c r="B37" s="112"/>
      <c r="C37" s="112"/>
      <c r="D37" s="112"/>
      <c r="E37" s="112"/>
      <c r="F37" s="113"/>
      <c r="G37" s="113"/>
      <c r="H37" s="112"/>
    </row>
    <row r="38" spans="1:8" ht="13.5" thickTop="1" x14ac:dyDescent="0.25">
      <c r="A38" s="540" t="s">
        <v>26</v>
      </c>
      <c r="B38" s="541"/>
      <c r="C38" s="542"/>
      <c r="D38" s="165" t="s">
        <v>235</v>
      </c>
      <c r="E38" s="165" t="s">
        <v>215</v>
      </c>
      <c r="F38" s="165" t="s">
        <v>216</v>
      </c>
      <c r="G38" s="184" t="s">
        <v>217</v>
      </c>
      <c r="H38" s="503"/>
    </row>
    <row r="39" spans="1:8" ht="15.75" x14ac:dyDescent="0.25">
      <c r="A39" s="534" t="s">
        <v>236</v>
      </c>
      <c r="B39" s="535"/>
      <c r="C39" s="535"/>
      <c r="D39" s="167">
        <f>+'1.1 localizacion'!$D$35</f>
        <v>0.32</v>
      </c>
      <c r="E39" s="168"/>
      <c r="F39" s="169"/>
      <c r="G39" s="185">
        <f>$H$35*D39</f>
        <v>6777.9997439999997</v>
      </c>
      <c r="H39" s="504"/>
    </row>
    <row r="40" spans="1:8" ht="13.5" thickBot="1" x14ac:dyDescent="0.3">
      <c r="A40" s="534" t="s">
        <v>237</v>
      </c>
      <c r="B40" s="536"/>
      <c r="C40" s="536"/>
      <c r="D40" s="167">
        <f>+'1.1 localizacion'!$D$36</f>
        <v>0.05</v>
      </c>
      <c r="E40" s="171"/>
      <c r="F40" s="171"/>
      <c r="G40" s="185">
        <f t="shared" ref="G40" si="3">$H$35*D40</f>
        <v>1059.0624599999999</v>
      </c>
      <c r="H40" s="504"/>
    </row>
    <row r="41" spans="1:8" ht="14.25" thickTop="1" thickBot="1" x14ac:dyDescent="0.3">
      <c r="A41" s="496"/>
      <c r="B41" s="486"/>
      <c r="C41" s="486"/>
      <c r="D41" s="128"/>
      <c r="E41" s="129"/>
      <c r="F41" s="130"/>
      <c r="G41" s="130" t="s">
        <v>218</v>
      </c>
      <c r="H41" s="131">
        <f>SUM(G39:G40)</f>
        <v>7837.0622039999998</v>
      </c>
    </row>
    <row r="42" spans="1:8" ht="9.75" customHeight="1" thickTop="1" x14ac:dyDescent="0.25">
      <c r="A42" s="160"/>
      <c r="B42" s="160"/>
      <c r="C42" s="160"/>
      <c r="D42" s="160"/>
      <c r="E42" s="160"/>
      <c r="F42" s="172"/>
      <c r="G42" s="172"/>
      <c r="H42" s="160"/>
    </row>
    <row r="43" spans="1:8" ht="9.75" customHeight="1" thickBot="1" x14ac:dyDescent="0.3">
      <c r="A43" s="160"/>
      <c r="B43" s="160"/>
      <c r="C43" s="160"/>
      <c r="D43" s="160"/>
      <c r="E43" s="160"/>
      <c r="F43" s="172"/>
      <c r="G43" s="172"/>
      <c r="H43" s="160"/>
    </row>
    <row r="44" spans="1:8" ht="14.25" thickTop="1" thickBot="1" x14ac:dyDescent="0.3">
      <c r="A44" s="160"/>
      <c r="B44" s="112"/>
      <c r="C44" s="112"/>
      <c r="D44" s="112"/>
      <c r="E44" s="539" t="s">
        <v>238</v>
      </c>
      <c r="F44" s="486"/>
      <c r="G44" s="486"/>
      <c r="H44" s="131">
        <f>ROUND(H41+H35,0)</f>
        <v>29018</v>
      </c>
    </row>
    <row r="45" spans="1:8" ht="9.75" customHeight="1" thickTop="1" x14ac:dyDescent="0.25">
      <c r="A45" s="160"/>
      <c r="B45" s="160"/>
      <c r="C45" s="160"/>
      <c r="D45" s="160"/>
      <c r="E45" s="160"/>
      <c r="F45" s="172"/>
      <c r="G45" s="172"/>
      <c r="H45" s="160"/>
    </row>
  </sheetData>
  <mergeCells count="39">
    <mergeCell ref="A41:C41"/>
    <mergeCell ref="E44:G44"/>
    <mergeCell ref="A14:C14"/>
    <mergeCell ref="A15:C15"/>
    <mergeCell ref="A16:C16"/>
    <mergeCell ref="A17:C17"/>
    <mergeCell ref="A33:B33"/>
    <mergeCell ref="E35:G35"/>
    <mergeCell ref="A38:C38"/>
    <mergeCell ref="A18:C18"/>
    <mergeCell ref="A19:C19"/>
    <mergeCell ref="A21:B21"/>
    <mergeCell ref="H38:H40"/>
    <mergeCell ref="A39:C39"/>
    <mergeCell ref="A40:C40"/>
    <mergeCell ref="A25:B25"/>
    <mergeCell ref="A27:B27"/>
    <mergeCell ref="H27:H32"/>
    <mergeCell ref="A28:B28"/>
    <mergeCell ref="A29:B29"/>
    <mergeCell ref="A30:B30"/>
    <mergeCell ref="A31:B31"/>
    <mergeCell ref="A32:B32"/>
    <mergeCell ref="H21:H24"/>
    <mergeCell ref="A22:B22"/>
    <mergeCell ref="A23:B23"/>
    <mergeCell ref="A24:B24"/>
    <mergeCell ref="A11:C11"/>
    <mergeCell ref="A13:C13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CE52-3B86-4FE5-A050-7E0A0745F9E8}">
  <sheetPr codeName="Hoja17">
    <pageSetUpPr fitToPage="1"/>
  </sheetPr>
  <dimension ref="A1:M46"/>
  <sheetViews>
    <sheetView view="pageBreakPreview" topLeftCell="A29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9" width="11.42578125" style="49" customWidth="1"/>
    <col min="10" max="10" width="46.7109375" style="49" bestFit="1" customWidth="1"/>
    <col min="11" max="25" width="11.42578125" style="49" customWidth="1"/>
    <col min="26" max="16384" width="12.7109375" style="49"/>
  </cols>
  <sheetData>
    <row r="1" spans="1:13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13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13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13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292">
        <v>4.0999999999999996</v>
      </c>
    </row>
    <row r="5" spans="1:13" ht="38.450000000000003" customHeight="1" x14ac:dyDescent="0.25">
      <c r="A5" s="114" t="s">
        <v>211</v>
      </c>
      <c r="B5" s="524" t="str">
        <f>VLOOKUP(H4,'PRESUPUESTO OFICIAL'!A:F,2,0)</f>
        <v>SUMINISTRO E INSTALACION DE CIELO RASO EN PVC. INCLUYE ESTRUCTURA Y DEMAS ELEMENTOS DE FIJACION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13" ht="13.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13" ht="13.5" thickTop="1" x14ac:dyDescent="0.25">
      <c r="A7" s="540" t="s">
        <v>26</v>
      </c>
      <c r="B7" s="541"/>
      <c r="C7" s="542"/>
      <c r="D7" s="165" t="s">
        <v>214</v>
      </c>
      <c r="E7" s="165" t="s">
        <v>215</v>
      </c>
      <c r="F7" s="165" t="s">
        <v>216</v>
      </c>
      <c r="G7" s="184" t="s">
        <v>217</v>
      </c>
      <c r="H7" s="503"/>
    </row>
    <row r="8" spans="1:13" x14ac:dyDescent="0.25">
      <c r="A8" s="561" t="s">
        <v>437</v>
      </c>
      <c r="B8" s="562"/>
      <c r="C8" s="562"/>
      <c r="D8" s="324" t="s">
        <v>439</v>
      </c>
      <c r="E8" s="415">
        <v>5733.5999999999995</v>
      </c>
      <c r="F8" s="416">
        <v>0.67</v>
      </c>
      <c r="G8" s="327">
        <f>+E8*F8</f>
        <v>3841.5119999999997</v>
      </c>
      <c r="H8" s="560"/>
      <c r="J8" s="322"/>
      <c r="K8" s="320" t="s">
        <v>68</v>
      </c>
      <c r="L8" s="321">
        <v>1E-3</v>
      </c>
      <c r="M8" s="323">
        <v>15789</v>
      </c>
    </row>
    <row r="9" spans="1:13" ht="15.75" thickBot="1" x14ac:dyDescent="0.3">
      <c r="A9" s="561" t="s">
        <v>438</v>
      </c>
      <c r="B9" s="562"/>
      <c r="C9" s="562"/>
      <c r="D9" s="324" t="s">
        <v>414</v>
      </c>
      <c r="E9" s="415">
        <v>2443.1999999999998</v>
      </c>
      <c r="F9" s="348">
        <v>1.1000000000000001</v>
      </c>
      <c r="G9" s="327">
        <f>+E9*F9</f>
        <v>2687.52</v>
      </c>
      <c r="H9" s="505"/>
      <c r="J9" s="322"/>
      <c r="K9" s="320" t="s">
        <v>68</v>
      </c>
      <c r="L9" s="321">
        <v>1E-3</v>
      </c>
      <c r="M9" s="323">
        <v>15789</v>
      </c>
    </row>
    <row r="10" spans="1:13" ht="14.25" thickTop="1" thickBot="1" x14ac:dyDescent="0.3">
      <c r="A10" s="496"/>
      <c r="B10" s="486"/>
      <c r="C10" s="486"/>
      <c r="D10" s="128"/>
      <c r="E10" s="129"/>
      <c r="F10" s="130"/>
      <c r="G10" s="130" t="s">
        <v>218</v>
      </c>
      <c r="H10" s="131">
        <f>SUM(G7:G9)</f>
        <v>6529.0319999999992</v>
      </c>
    </row>
    <row r="11" spans="1:13" ht="14.25" thickTop="1" thickBot="1" x14ac:dyDescent="0.3">
      <c r="A11" s="112" t="s">
        <v>219</v>
      </c>
      <c r="B11" s="112"/>
      <c r="C11" s="112"/>
      <c r="D11" s="112"/>
      <c r="E11" s="112"/>
      <c r="F11" s="113"/>
      <c r="G11" s="113"/>
      <c r="H11" s="112"/>
    </row>
    <row r="12" spans="1:13" ht="13.5" thickTop="1" x14ac:dyDescent="0.25">
      <c r="A12" s="540" t="s">
        <v>26</v>
      </c>
      <c r="B12" s="541"/>
      <c r="C12" s="542"/>
      <c r="D12" s="165" t="s">
        <v>25</v>
      </c>
      <c r="E12" s="165" t="s">
        <v>220</v>
      </c>
      <c r="F12" s="165" t="s">
        <v>221</v>
      </c>
      <c r="G12" s="184" t="s">
        <v>217</v>
      </c>
      <c r="H12" s="132"/>
    </row>
    <row r="13" spans="1:13" ht="22.9" customHeight="1" x14ac:dyDescent="0.25">
      <c r="A13" s="410" t="s">
        <v>431</v>
      </c>
      <c r="B13" s="413"/>
      <c r="C13" s="414"/>
      <c r="D13" s="345" t="s">
        <v>13</v>
      </c>
      <c r="E13" s="353">
        <v>1.05</v>
      </c>
      <c r="F13" s="358">
        <v>38000</v>
      </c>
      <c r="G13" s="337">
        <f t="shared" ref="G13:G18" si="0">+F13*E13</f>
        <v>39900</v>
      </c>
      <c r="H13" s="330"/>
    </row>
    <row r="14" spans="1:13" ht="24" customHeight="1" x14ac:dyDescent="0.25">
      <c r="A14" s="411" t="s">
        <v>432</v>
      </c>
      <c r="B14" s="409"/>
      <c r="C14" s="409"/>
      <c r="D14" s="345" t="s">
        <v>15</v>
      </c>
      <c r="E14" s="353">
        <v>0.5</v>
      </c>
      <c r="F14" s="358">
        <v>3500</v>
      </c>
      <c r="G14" s="337">
        <f t="shared" si="0"/>
        <v>1750</v>
      </c>
      <c r="H14" s="330"/>
    </row>
    <row r="15" spans="1:13" ht="24" customHeight="1" x14ac:dyDescent="0.25">
      <c r="A15" s="412" t="s">
        <v>433</v>
      </c>
      <c r="B15" s="409"/>
      <c r="C15" s="409"/>
      <c r="D15" s="345" t="s">
        <v>14</v>
      </c>
      <c r="E15" s="352">
        <v>0.6</v>
      </c>
      <c r="F15" s="358">
        <v>4200</v>
      </c>
      <c r="G15" s="337">
        <f t="shared" si="0"/>
        <v>2520</v>
      </c>
      <c r="H15" s="330"/>
    </row>
    <row r="16" spans="1:13" ht="24" customHeight="1" x14ac:dyDescent="0.25">
      <c r="A16" s="412" t="s">
        <v>434</v>
      </c>
      <c r="B16" s="409"/>
      <c r="C16" s="409"/>
      <c r="D16" s="345" t="s">
        <v>15</v>
      </c>
      <c r="E16" s="352">
        <v>0.8</v>
      </c>
      <c r="F16" s="358">
        <v>12000</v>
      </c>
      <c r="G16" s="337">
        <f t="shared" si="0"/>
        <v>9600</v>
      </c>
      <c r="H16" s="330"/>
    </row>
    <row r="17" spans="1:10" ht="16.5" customHeight="1" x14ac:dyDescent="0.25">
      <c r="A17" s="412" t="s">
        <v>435</v>
      </c>
      <c r="B17" s="409"/>
      <c r="C17" s="409"/>
      <c r="D17" s="345" t="s">
        <v>14</v>
      </c>
      <c r="E17" s="352">
        <v>18</v>
      </c>
      <c r="F17" s="358">
        <v>50</v>
      </c>
      <c r="G17" s="337">
        <f t="shared" si="0"/>
        <v>900</v>
      </c>
      <c r="H17" s="330"/>
    </row>
    <row r="18" spans="1:10" ht="24" customHeight="1" x14ac:dyDescent="0.25">
      <c r="A18" s="412" t="s">
        <v>436</v>
      </c>
      <c r="B18" s="409"/>
      <c r="C18" s="409"/>
      <c r="D18" s="345" t="s">
        <v>14</v>
      </c>
      <c r="E18" s="352">
        <v>18</v>
      </c>
      <c r="F18" s="358">
        <v>50</v>
      </c>
      <c r="G18" s="337">
        <f t="shared" si="0"/>
        <v>900</v>
      </c>
      <c r="H18" s="330"/>
    </row>
    <row r="19" spans="1:10" ht="15.6" customHeight="1" thickBot="1" x14ac:dyDescent="0.3">
      <c r="A19" s="563"/>
      <c r="B19" s="564"/>
      <c r="C19" s="565"/>
      <c r="D19" s="331"/>
      <c r="E19" s="332"/>
      <c r="F19" s="333"/>
      <c r="G19" s="334"/>
      <c r="H19" s="135"/>
    </row>
    <row r="20" spans="1:10" ht="14.25" thickTop="1" thickBot="1" x14ac:dyDescent="0.3">
      <c r="A20" s="496"/>
      <c r="B20" s="486"/>
      <c r="C20" s="486"/>
      <c r="D20" s="129"/>
      <c r="E20" s="129"/>
      <c r="F20" s="130"/>
      <c r="G20" s="130" t="s">
        <v>218</v>
      </c>
      <c r="H20" s="131">
        <f>SUM(G13:G18)</f>
        <v>55570</v>
      </c>
    </row>
    <row r="21" spans="1:10" ht="14.25" thickTop="1" thickBot="1" x14ac:dyDescent="0.3">
      <c r="A21" s="112" t="s">
        <v>222</v>
      </c>
      <c r="B21" s="112"/>
      <c r="C21" s="112"/>
      <c r="D21" s="112"/>
      <c r="E21" s="112"/>
      <c r="F21" s="113"/>
      <c r="G21" s="113"/>
      <c r="H21" s="112"/>
    </row>
    <row r="22" spans="1:10" ht="23.25" thickTop="1" x14ac:dyDescent="0.25">
      <c r="A22" s="533" t="s">
        <v>223</v>
      </c>
      <c r="B22" s="507"/>
      <c r="C22" s="140" t="s">
        <v>224</v>
      </c>
      <c r="D22" s="140" t="s">
        <v>225</v>
      </c>
      <c r="E22" s="140" t="s">
        <v>226</v>
      </c>
      <c r="F22" s="140" t="s">
        <v>227</v>
      </c>
      <c r="G22" s="141" t="s">
        <v>217</v>
      </c>
      <c r="H22" s="528"/>
    </row>
    <row r="23" spans="1:10" ht="15.75" x14ac:dyDescent="0.25">
      <c r="A23" s="531" t="s">
        <v>377</v>
      </c>
      <c r="B23" s="511"/>
      <c r="C23" s="142"/>
      <c r="D23" s="122"/>
      <c r="E23" s="142">
        <v>0.02</v>
      </c>
      <c r="F23" s="143">
        <v>44220</v>
      </c>
      <c r="G23" s="144">
        <f>+E23*F23</f>
        <v>884.4</v>
      </c>
      <c r="H23" s="529"/>
    </row>
    <row r="24" spans="1:10" ht="12.75" x14ac:dyDescent="0.25">
      <c r="A24" s="532"/>
      <c r="B24" s="510"/>
      <c r="C24" s="145"/>
      <c r="D24" s="146"/>
      <c r="E24" s="146"/>
      <c r="F24" s="120"/>
      <c r="G24" s="147"/>
      <c r="H24" s="529"/>
    </row>
    <row r="25" spans="1:10" ht="13.5" thickBot="1" x14ac:dyDescent="0.3">
      <c r="A25" s="512"/>
      <c r="B25" s="513"/>
      <c r="C25" s="148"/>
      <c r="D25" s="149"/>
      <c r="E25" s="149"/>
      <c r="F25" s="125"/>
      <c r="G25" s="127"/>
      <c r="H25" s="530"/>
    </row>
    <row r="26" spans="1:10" ht="12.75" x14ac:dyDescent="0.25">
      <c r="A26" s="496"/>
      <c r="B26" s="486"/>
      <c r="C26" s="150"/>
      <c r="D26" s="151"/>
      <c r="E26" s="129"/>
      <c r="F26" s="130"/>
      <c r="G26" s="130" t="s">
        <v>218</v>
      </c>
      <c r="H26" s="152">
        <f>SUM(G23:G25)</f>
        <v>884.4</v>
      </c>
    </row>
    <row r="27" spans="1:10" ht="14.25" thickTop="1" thickBot="1" x14ac:dyDescent="0.3">
      <c r="A27" s="112" t="s">
        <v>228</v>
      </c>
      <c r="B27" s="112"/>
      <c r="C27" s="112"/>
      <c r="D27" s="112"/>
      <c r="E27" s="112"/>
      <c r="F27" s="113"/>
      <c r="G27" s="113"/>
      <c r="H27" s="112"/>
    </row>
    <row r="28" spans="1:10" ht="14.25" thickTop="1" thickBot="1" x14ac:dyDescent="0.3">
      <c r="A28" s="497" t="s">
        <v>229</v>
      </c>
      <c r="B28" s="499"/>
      <c r="C28" s="118" t="s">
        <v>230</v>
      </c>
      <c r="D28" s="118" t="s">
        <v>231</v>
      </c>
      <c r="E28" s="118" t="s">
        <v>232</v>
      </c>
      <c r="F28" s="118" t="s">
        <v>216</v>
      </c>
      <c r="G28" s="119" t="s">
        <v>217</v>
      </c>
      <c r="H28" s="503"/>
    </row>
    <row r="29" spans="1:10" ht="15.75" thickTop="1" x14ac:dyDescent="0.25">
      <c r="A29" s="531" t="s">
        <v>365</v>
      </c>
      <c r="B29" s="511"/>
      <c r="C29" s="154">
        <v>173333</v>
      </c>
      <c r="D29" s="153">
        <v>1.8</v>
      </c>
      <c r="E29" s="143">
        <f>+C29*D29</f>
        <v>311999.40000000002</v>
      </c>
      <c r="F29" s="180">
        <v>7.99</v>
      </c>
      <c r="G29" s="181">
        <f>+E29/F29</f>
        <v>39048.735919899875</v>
      </c>
      <c r="H29" s="504"/>
      <c r="J29" s="322"/>
    </row>
    <row r="30" spans="1:10" x14ac:dyDescent="0.25">
      <c r="A30" s="531"/>
      <c r="B30" s="511"/>
      <c r="C30" s="143"/>
      <c r="D30" s="153"/>
      <c r="E30" s="182"/>
      <c r="F30" s="183"/>
      <c r="G30" s="181">
        <f>+F30*C30</f>
        <v>0</v>
      </c>
      <c r="H30" s="504"/>
      <c r="J30" s="322"/>
    </row>
    <row r="31" spans="1:10" ht="12.75" x14ac:dyDescent="0.25">
      <c r="A31" s="544"/>
      <c r="B31" s="511"/>
      <c r="C31" s="154"/>
      <c r="D31" s="153"/>
      <c r="E31" s="143"/>
      <c r="F31" s="155"/>
      <c r="G31" s="144"/>
      <c r="H31" s="504"/>
    </row>
    <row r="32" spans="1:10" ht="12.75" x14ac:dyDescent="0.25">
      <c r="A32" s="531"/>
      <c r="B32" s="511"/>
      <c r="C32" s="154"/>
      <c r="D32" s="153"/>
      <c r="E32" s="143"/>
      <c r="F32" s="155"/>
      <c r="G32" s="144"/>
      <c r="H32" s="504"/>
    </row>
    <row r="33" spans="1:8" ht="13.5" thickBot="1" x14ac:dyDescent="0.3">
      <c r="A33" s="512"/>
      <c r="B33" s="514"/>
      <c r="C33" s="156"/>
      <c r="D33" s="157"/>
      <c r="E33" s="149"/>
      <c r="F33" s="126"/>
      <c r="G33" s="158"/>
      <c r="H33" s="505"/>
    </row>
    <row r="34" spans="1:8" ht="14.25" thickTop="1" thickBot="1" x14ac:dyDescent="0.3">
      <c r="A34" s="496"/>
      <c r="B34" s="486"/>
      <c r="C34" s="150"/>
      <c r="D34" s="129"/>
      <c r="E34" s="159"/>
      <c r="F34" s="130"/>
      <c r="G34" s="130" t="s">
        <v>218</v>
      </c>
      <c r="H34" s="131">
        <f>SUM(G29:G33)</f>
        <v>39048.735919899875</v>
      </c>
    </row>
    <row r="35" spans="1:8" ht="14.25" thickTop="1" thickBot="1" x14ac:dyDescent="0.3">
      <c r="A35" s="160"/>
      <c r="B35" s="160"/>
      <c r="C35" s="150"/>
      <c r="D35" s="129"/>
      <c r="E35" s="159"/>
      <c r="F35" s="161"/>
      <c r="G35" s="150"/>
      <c r="H35" s="162"/>
    </row>
    <row r="36" spans="1:8" ht="14.25" thickTop="1" thickBot="1" x14ac:dyDescent="0.3">
      <c r="A36" s="160"/>
      <c r="B36" s="112"/>
      <c r="C36" s="112"/>
      <c r="D36" s="112"/>
      <c r="E36" s="539" t="s">
        <v>233</v>
      </c>
      <c r="F36" s="486"/>
      <c r="G36" s="486"/>
      <c r="H36" s="131">
        <f>ROUND((+H10+H20+H26+H34),4)</f>
        <v>102032.1679</v>
      </c>
    </row>
    <row r="37" spans="1:8" ht="13.5" thickTop="1" x14ac:dyDescent="0.25">
      <c r="A37" s="160"/>
      <c r="B37" s="160"/>
      <c r="C37" s="160"/>
      <c r="D37" s="113"/>
      <c r="E37" s="113"/>
      <c r="F37" s="113"/>
      <c r="G37" s="113"/>
      <c r="H37" s="164"/>
    </row>
    <row r="38" spans="1:8" ht="13.5" thickBot="1" x14ac:dyDescent="0.3">
      <c r="A38" s="112" t="s">
        <v>234</v>
      </c>
      <c r="B38" s="112"/>
      <c r="C38" s="112"/>
      <c r="D38" s="112"/>
      <c r="E38" s="112"/>
      <c r="F38" s="113"/>
      <c r="G38" s="113"/>
      <c r="H38" s="112"/>
    </row>
    <row r="39" spans="1:8" ht="13.5" thickTop="1" x14ac:dyDescent="0.25">
      <c r="A39" s="540" t="s">
        <v>26</v>
      </c>
      <c r="B39" s="541"/>
      <c r="C39" s="542"/>
      <c r="D39" s="165" t="s">
        <v>235</v>
      </c>
      <c r="E39" s="165" t="s">
        <v>215</v>
      </c>
      <c r="F39" s="165" t="s">
        <v>216</v>
      </c>
      <c r="G39" s="184" t="s">
        <v>217</v>
      </c>
      <c r="H39" s="503"/>
    </row>
    <row r="40" spans="1:8" ht="15.75" x14ac:dyDescent="0.25">
      <c r="A40" s="534" t="s">
        <v>236</v>
      </c>
      <c r="B40" s="535"/>
      <c r="C40" s="535"/>
      <c r="D40" s="167">
        <f>+'1.1 localizacion'!$D$35</f>
        <v>0.32</v>
      </c>
      <c r="E40" s="168"/>
      <c r="F40" s="169"/>
      <c r="G40" s="185">
        <f>$H$36*D40</f>
        <v>32650.293728000001</v>
      </c>
      <c r="H40" s="504"/>
    </row>
    <row r="41" spans="1:8" ht="13.5" thickBot="1" x14ac:dyDescent="0.3">
      <c r="A41" s="534" t="s">
        <v>237</v>
      </c>
      <c r="B41" s="536"/>
      <c r="C41" s="536"/>
      <c r="D41" s="167">
        <v>0.05</v>
      </c>
      <c r="E41" s="171"/>
      <c r="F41" s="171"/>
      <c r="G41" s="185">
        <f t="shared" ref="G41" si="1">$H$36*D41</f>
        <v>5101.6083950000002</v>
      </c>
      <c r="H41" s="504"/>
    </row>
    <row r="42" spans="1:8" ht="14.25" thickTop="1" thickBot="1" x14ac:dyDescent="0.3">
      <c r="A42" s="496"/>
      <c r="B42" s="486"/>
      <c r="C42" s="486"/>
      <c r="D42" s="128"/>
      <c r="E42" s="129"/>
      <c r="F42" s="130"/>
      <c r="G42" s="130" t="s">
        <v>218</v>
      </c>
      <c r="H42" s="131">
        <f>SUM(G40:G41)</f>
        <v>37751.902123</v>
      </c>
    </row>
    <row r="43" spans="1:8" ht="9.75" customHeight="1" thickTop="1" x14ac:dyDescent="0.25">
      <c r="A43" s="160"/>
      <c r="B43" s="160"/>
      <c r="C43" s="160"/>
      <c r="D43" s="160"/>
      <c r="E43" s="160"/>
      <c r="F43" s="172"/>
      <c r="G43" s="172"/>
      <c r="H43" s="160"/>
    </row>
    <row r="44" spans="1:8" ht="9.75" customHeight="1" thickBot="1" x14ac:dyDescent="0.3">
      <c r="A44" s="160"/>
      <c r="B44" s="160"/>
      <c r="C44" s="160"/>
      <c r="D44" s="160"/>
      <c r="E44" s="160"/>
      <c r="F44" s="172"/>
      <c r="G44" s="172"/>
      <c r="H44" s="160"/>
    </row>
    <row r="45" spans="1:8" ht="14.25" thickTop="1" thickBot="1" x14ac:dyDescent="0.3">
      <c r="A45" s="160"/>
      <c r="B45" s="112"/>
      <c r="C45" s="112"/>
      <c r="D45" s="112"/>
      <c r="E45" s="539" t="s">
        <v>238</v>
      </c>
      <c r="F45" s="486"/>
      <c r="G45" s="486"/>
      <c r="H45" s="131">
        <f>ROUND(H42+H36,0)</f>
        <v>139784</v>
      </c>
    </row>
    <row r="46" spans="1:8" ht="9.75" customHeight="1" thickTop="1" x14ac:dyDescent="0.25">
      <c r="A46" s="160"/>
      <c r="B46" s="160"/>
      <c r="C46" s="160"/>
      <c r="D46" s="160"/>
      <c r="E46" s="160"/>
      <c r="F46" s="172"/>
      <c r="G46" s="172"/>
      <c r="H46" s="160"/>
    </row>
  </sheetData>
  <mergeCells count="34">
    <mergeCell ref="A42:C42"/>
    <mergeCell ref="E45:G45"/>
    <mergeCell ref="A34:B34"/>
    <mergeCell ref="E36:G36"/>
    <mergeCell ref="A39:C39"/>
    <mergeCell ref="H39:H41"/>
    <mergeCell ref="A40:C40"/>
    <mergeCell ref="A41:C41"/>
    <mergeCell ref="A26:B26"/>
    <mergeCell ref="A28:B28"/>
    <mergeCell ref="H28:H33"/>
    <mergeCell ref="A29:B29"/>
    <mergeCell ref="A30:B30"/>
    <mergeCell ref="A31:B31"/>
    <mergeCell ref="A32:B32"/>
    <mergeCell ref="A33:B33"/>
    <mergeCell ref="H22:H25"/>
    <mergeCell ref="A23:B23"/>
    <mergeCell ref="A24:B24"/>
    <mergeCell ref="A25:B25"/>
    <mergeCell ref="A10:C10"/>
    <mergeCell ref="A12:C12"/>
    <mergeCell ref="A19:C19"/>
    <mergeCell ref="A20:C20"/>
    <mergeCell ref="A22:B22"/>
    <mergeCell ref="A7:C7"/>
    <mergeCell ref="H7:H9"/>
    <mergeCell ref="A9:C9"/>
    <mergeCell ref="A8:C8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scale="9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AF46D-3A7C-4EF3-A946-E31DF5D459FF}">
  <sheetPr codeName="Hoja18"/>
  <dimension ref="A1:H50"/>
  <sheetViews>
    <sheetView topLeftCell="A37" workbookViewId="0">
      <selection activeCell="D42" sqref="D42"/>
    </sheetView>
  </sheetViews>
  <sheetFormatPr baseColWidth="10" defaultRowHeight="15" x14ac:dyDescent="0.25"/>
  <sheetData>
    <row r="1" spans="1:8" ht="15.75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75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x14ac:dyDescent="0.25">
      <c r="A3" s="112"/>
      <c r="B3" s="112"/>
      <c r="C3" s="112"/>
      <c r="D3" s="112"/>
      <c r="E3" s="112"/>
      <c r="F3" s="113"/>
      <c r="G3" s="113"/>
      <c r="H3" s="112"/>
    </row>
    <row r="4" spans="1:8" ht="38.25" customHeight="1" x14ac:dyDescent="0.25">
      <c r="A4" s="114" t="s">
        <v>209</v>
      </c>
      <c r="B4" s="523" t="s">
        <v>588</v>
      </c>
      <c r="C4" s="486"/>
      <c r="D4" s="486"/>
      <c r="E4" s="486"/>
      <c r="F4" s="486"/>
      <c r="G4" s="115" t="s">
        <v>210</v>
      </c>
      <c r="H4" s="292">
        <v>3.13</v>
      </c>
    </row>
    <row r="5" spans="1:8" ht="38.25" customHeight="1" x14ac:dyDescent="0.25">
      <c r="A5" s="114" t="s">
        <v>211</v>
      </c>
      <c r="B5" s="524" t="s">
        <v>589</v>
      </c>
      <c r="C5" s="486"/>
      <c r="D5" s="486"/>
      <c r="E5" s="486"/>
      <c r="F5" s="486"/>
      <c r="G5" s="113" t="s">
        <v>212</v>
      </c>
      <c r="H5" s="117" t="s">
        <v>13</v>
      </c>
    </row>
    <row r="6" spans="1:8" ht="15.7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6.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5.75" thickTop="1" x14ac:dyDescent="0.25">
      <c r="A8" s="531" t="s">
        <v>239</v>
      </c>
      <c r="B8" s="510"/>
      <c r="C8" s="511"/>
      <c r="D8" s="124"/>
      <c r="E8" s="146"/>
      <c r="F8" s="146"/>
      <c r="G8" s="288">
        <v>270.40489666666673</v>
      </c>
      <c r="H8" s="504"/>
    </row>
    <row r="9" spans="1:8" ht="15.75" x14ac:dyDescent="0.25">
      <c r="A9" s="509" t="s">
        <v>280</v>
      </c>
      <c r="B9" s="510"/>
      <c r="C9" s="511"/>
      <c r="D9" s="124" t="s">
        <v>281</v>
      </c>
      <c r="E9" s="121">
        <v>450</v>
      </c>
      <c r="F9" s="122">
        <v>1.5</v>
      </c>
      <c r="G9" s="285">
        <v>300</v>
      </c>
      <c r="H9" s="504"/>
    </row>
    <row r="10" spans="1:8" ht="15.75" thickBot="1" x14ac:dyDescent="0.3">
      <c r="A10" s="549"/>
      <c r="B10" s="550"/>
      <c r="C10" s="551"/>
      <c r="D10" s="125"/>
      <c r="E10" s="286"/>
      <c r="F10" s="126"/>
      <c r="G10" s="287"/>
      <c r="H10" s="505"/>
    </row>
    <row r="11" spans="1:8" ht="16.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v>570.40489666666667</v>
      </c>
    </row>
    <row r="12" spans="1:8" ht="16.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6.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5.75" thickTop="1" x14ac:dyDescent="0.25">
      <c r="A14" s="554" t="s">
        <v>328</v>
      </c>
      <c r="B14" s="555" t="s">
        <v>328</v>
      </c>
      <c r="C14" s="556" t="s">
        <v>328</v>
      </c>
      <c r="D14" s="178" t="s">
        <v>14</v>
      </c>
      <c r="E14" s="175">
        <v>59900</v>
      </c>
      <c r="F14" s="290">
        <v>0.4</v>
      </c>
      <c r="G14" s="177">
        <v>23960</v>
      </c>
      <c r="H14" s="135"/>
    </row>
    <row r="15" spans="1:8" x14ac:dyDescent="0.25">
      <c r="A15" s="554" t="s">
        <v>329</v>
      </c>
      <c r="B15" s="555" t="s">
        <v>329</v>
      </c>
      <c r="C15" s="556" t="s">
        <v>329</v>
      </c>
      <c r="D15" s="178" t="s">
        <v>14</v>
      </c>
      <c r="E15" s="175">
        <v>104901</v>
      </c>
      <c r="F15" s="290">
        <v>0.06</v>
      </c>
      <c r="G15" s="177">
        <v>6294.0599999999995</v>
      </c>
      <c r="H15" s="135"/>
    </row>
    <row r="16" spans="1:8" x14ac:dyDescent="0.25">
      <c r="A16" s="554" t="s">
        <v>330</v>
      </c>
      <c r="B16" s="555" t="s">
        <v>330</v>
      </c>
      <c r="C16" s="556" t="s">
        <v>330</v>
      </c>
      <c r="D16" s="178" t="s">
        <v>14</v>
      </c>
      <c r="E16" s="175">
        <v>12900</v>
      </c>
      <c r="F16" s="290">
        <v>8.9999999999999993E-3</v>
      </c>
      <c r="G16" s="177">
        <v>116.1</v>
      </c>
      <c r="H16" s="135"/>
    </row>
    <row r="17" spans="1:8" x14ac:dyDescent="0.25">
      <c r="A17" s="554" t="s">
        <v>331</v>
      </c>
      <c r="B17" s="555" t="s">
        <v>331</v>
      </c>
      <c r="C17" s="556" t="s">
        <v>331</v>
      </c>
      <c r="D17" s="178" t="s">
        <v>14</v>
      </c>
      <c r="E17" s="175">
        <v>3601</v>
      </c>
      <c r="F17" s="290">
        <v>0.4</v>
      </c>
      <c r="G17" s="177">
        <v>1440.4</v>
      </c>
      <c r="H17" s="135"/>
    </row>
    <row r="18" spans="1:8" x14ac:dyDescent="0.25">
      <c r="A18" s="554" t="s">
        <v>332</v>
      </c>
      <c r="B18" s="555" t="s">
        <v>332</v>
      </c>
      <c r="C18" s="556" t="s">
        <v>332</v>
      </c>
      <c r="D18" s="178" t="s">
        <v>14</v>
      </c>
      <c r="E18" s="175">
        <v>3650</v>
      </c>
      <c r="F18" s="290">
        <v>1</v>
      </c>
      <c r="G18" s="177">
        <v>3650</v>
      </c>
      <c r="H18" s="135"/>
    </row>
    <row r="19" spans="1:8" x14ac:dyDescent="0.25">
      <c r="A19" s="554" t="s">
        <v>333</v>
      </c>
      <c r="B19" s="555" t="s">
        <v>333</v>
      </c>
      <c r="C19" s="556" t="s">
        <v>333</v>
      </c>
      <c r="D19" s="178" t="s">
        <v>14</v>
      </c>
      <c r="E19" s="175">
        <v>2275</v>
      </c>
      <c r="F19" s="290">
        <v>0.3</v>
      </c>
      <c r="G19" s="177">
        <v>682.5</v>
      </c>
      <c r="H19" s="135"/>
    </row>
    <row r="20" spans="1:8" x14ac:dyDescent="0.25">
      <c r="A20" s="554" t="s">
        <v>339</v>
      </c>
      <c r="B20" s="555" t="s">
        <v>339</v>
      </c>
      <c r="C20" s="556" t="s">
        <v>339</v>
      </c>
      <c r="D20" s="178" t="s">
        <v>13</v>
      </c>
      <c r="E20" s="175">
        <v>13389</v>
      </c>
      <c r="F20" s="290">
        <v>1</v>
      </c>
      <c r="G20" s="177">
        <v>13389</v>
      </c>
      <c r="H20" s="135"/>
    </row>
    <row r="21" spans="1:8" x14ac:dyDescent="0.25">
      <c r="A21" s="554" t="s">
        <v>335</v>
      </c>
      <c r="B21" s="555" t="s">
        <v>335</v>
      </c>
      <c r="C21" s="556" t="s">
        <v>335</v>
      </c>
      <c r="D21" s="178" t="s">
        <v>14</v>
      </c>
      <c r="E21" s="175">
        <v>42</v>
      </c>
      <c r="F21" s="290">
        <v>6</v>
      </c>
      <c r="G21" s="177">
        <v>252</v>
      </c>
      <c r="H21" s="135"/>
    </row>
    <row r="22" spans="1:8" x14ac:dyDescent="0.25">
      <c r="A22" s="554" t="s">
        <v>337</v>
      </c>
      <c r="B22" s="555" t="s">
        <v>337</v>
      </c>
      <c r="C22" s="556" t="s">
        <v>337</v>
      </c>
      <c r="D22" s="178" t="s">
        <v>14</v>
      </c>
      <c r="E22" s="175">
        <v>77</v>
      </c>
      <c r="F22" s="290">
        <v>10</v>
      </c>
      <c r="G22" s="177">
        <v>770</v>
      </c>
      <c r="H22" s="135"/>
    </row>
    <row r="23" spans="1:8" ht="15.75" thickBot="1" x14ac:dyDescent="0.3">
      <c r="A23" s="549"/>
      <c r="B23" s="550"/>
      <c r="C23" s="551"/>
      <c r="D23" s="125"/>
      <c r="E23" s="156"/>
      <c r="F23" s="291"/>
      <c r="G23" s="287"/>
      <c r="H23" s="135"/>
    </row>
    <row r="24" spans="1:8" ht="16.5" thickTop="1" thickBot="1" x14ac:dyDescent="0.3">
      <c r="A24" s="496"/>
      <c r="B24" s="486"/>
      <c r="C24" s="486"/>
      <c r="D24" s="129"/>
      <c r="E24" s="129"/>
      <c r="F24" s="130"/>
      <c r="G24" s="130" t="s">
        <v>218</v>
      </c>
      <c r="H24" s="131">
        <v>50554.06</v>
      </c>
    </row>
    <row r="25" spans="1:8" ht="16.5" thickTop="1" thickBot="1" x14ac:dyDescent="0.3">
      <c r="A25" s="112" t="s">
        <v>222</v>
      </c>
      <c r="B25" s="112"/>
      <c r="C25" s="112"/>
      <c r="D25" s="112"/>
      <c r="E25" s="112"/>
      <c r="F25" s="113"/>
      <c r="G25" s="113"/>
      <c r="H25" s="112"/>
    </row>
    <row r="26" spans="1:8" ht="23.25" thickTop="1" x14ac:dyDescent="0.25">
      <c r="A26" s="533" t="s">
        <v>223</v>
      </c>
      <c r="B26" s="507"/>
      <c r="C26" s="140" t="s">
        <v>224</v>
      </c>
      <c r="D26" s="140" t="s">
        <v>225</v>
      </c>
      <c r="E26" s="140" t="s">
        <v>226</v>
      </c>
      <c r="F26" s="140" t="s">
        <v>227</v>
      </c>
      <c r="G26" s="141" t="s">
        <v>217</v>
      </c>
      <c r="H26" s="528"/>
    </row>
    <row r="27" spans="1:8" ht="15.75" x14ac:dyDescent="0.25">
      <c r="A27" s="531"/>
      <c r="B27" s="511"/>
      <c r="C27" s="142"/>
      <c r="D27" s="122"/>
      <c r="E27" s="142"/>
      <c r="F27" s="143"/>
      <c r="G27" s="144"/>
      <c r="H27" s="529"/>
    </row>
    <row r="28" spans="1:8" x14ac:dyDescent="0.25">
      <c r="A28" s="532"/>
      <c r="B28" s="510"/>
      <c r="C28" s="145"/>
      <c r="D28" s="146"/>
      <c r="E28" s="146"/>
      <c r="F28" s="120"/>
      <c r="G28" s="147"/>
      <c r="H28" s="529"/>
    </row>
    <row r="29" spans="1:8" ht="15.75" thickBot="1" x14ac:dyDescent="0.3">
      <c r="A29" s="512"/>
      <c r="B29" s="513"/>
      <c r="C29" s="148"/>
      <c r="D29" s="149"/>
      <c r="E29" s="149"/>
      <c r="F29" s="125"/>
      <c r="G29" s="127"/>
      <c r="H29" s="530"/>
    </row>
    <row r="30" spans="1:8" ht="16.5" thickTop="1" thickBot="1" x14ac:dyDescent="0.3">
      <c r="A30" s="496"/>
      <c r="B30" s="486"/>
      <c r="C30" s="150"/>
      <c r="D30" s="151"/>
      <c r="E30" s="129"/>
      <c r="F30" s="130"/>
      <c r="G30" s="130" t="s">
        <v>218</v>
      </c>
      <c r="H30" s="152">
        <v>0</v>
      </c>
    </row>
    <row r="31" spans="1:8" ht="16.5" thickTop="1" thickBot="1" x14ac:dyDescent="0.3">
      <c r="A31" s="112" t="s">
        <v>228</v>
      </c>
      <c r="B31" s="112"/>
      <c r="C31" s="112"/>
      <c r="D31" s="112"/>
      <c r="E31" s="112"/>
      <c r="F31" s="113"/>
      <c r="G31" s="113"/>
      <c r="H31" s="112"/>
    </row>
    <row r="32" spans="1:8" ht="16.5" thickTop="1" thickBot="1" x14ac:dyDescent="0.3">
      <c r="A32" s="497" t="s">
        <v>229</v>
      </c>
      <c r="B32" s="499"/>
      <c r="C32" s="118" t="s">
        <v>230</v>
      </c>
      <c r="D32" s="118" t="s">
        <v>231</v>
      </c>
      <c r="E32" s="118" t="s">
        <v>232</v>
      </c>
      <c r="F32" s="118" t="s">
        <v>216</v>
      </c>
      <c r="G32" s="119" t="s">
        <v>217</v>
      </c>
      <c r="H32" s="503"/>
    </row>
    <row r="33" spans="1:8" ht="15.75" thickTop="1" x14ac:dyDescent="0.25">
      <c r="A33" s="531" t="s">
        <v>241</v>
      </c>
      <c r="B33" s="511"/>
      <c r="C33" s="154">
        <v>94900</v>
      </c>
      <c r="D33" s="153">
        <v>1.7996000000000001</v>
      </c>
      <c r="E33" s="143">
        <v>170782.04</v>
      </c>
      <c r="F33" s="180">
        <v>60</v>
      </c>
      <c r="G33" s="181">
        <v>2846.3673333333336</v>
      </c>
      <c r="H33" s="504"/>
    </row>
    <row r="34" spans="1:8" x14ac:dyDescent="0.25">
      <c r="A34" s="531" t="s">
        <v>242</v>
      </c>
      <c r="B34" s="511"/>
      <c r="C34" s="143">
        <v>85410</v>
      </c>
      <c r="D34" s="153">
        <v>1.7996000000000001</v>
      </c>
      <c r="E34" s="182">
        <v>153703.83600000001</v>
      </c>
      <c r="F34" s="183">
        <v>60</v>
      </c>
      <c r="G34" s="181">
        <v>2561.7306000000003</v>
      </c>
      <c r="H34" s="504"/>
    </row>
    <row r="35" spans="1:8" x14ac:dyDescent="0.25">
      <c r="A35" s="544"/>
      <c r="B35" s="511"/>
      <c r="C35" s="154"/>
      <c r="D35" s="153"/>
      <c r="E35" s="143"/>
      <c r="F35" s="155"/>
      <c r="G35" s="144"/>
      <c r="H35" s="504"/>
    </row>
    <row r="36" spans="1:8" x14ac:dyDescent="0.25">
      <c r="A36" s="531"/>
      <c r="B36" s="511"/>
      <c r="C36" s="154"/>
      <c r="D36" s="153"/>
      <c r="E36" s="143"/>
      <c r="F36" s="155"/>
      <c r="G36" s="144"/>
      <c r="H36" s="504"/>
    </row>
    <row r="37" spans="1:8" ht="15.75" thickBot="1" x14ac:dyDescent="0.3">
      <c r="A37" s="512"/>
      <c r="B37" s="514"/>
      <c r="C37" s="156"/>
      <c r="D37" s="157"/>
      <c r="E37" s="149"/>
      <c r="F37" s="126"/>
      <c r="G37" s="158"/>
      <c r="H37" s="505"/>
    </row>
    <row r="38" spans="1:8" ht="16.5" thickTop="1" thickBot="1" x14ac:dyDescent="0.3">
      <c r="A38" s="496"/>
      <c r="B38" s="486"/>
      <c r="C38" s="150"/>
      <c r="D38" s="129"/>
      <c r="E38" s="159"/>
      <c r="F38" s="130"/>
      <c r="G38" s="130" t="s">
        <v>218</v>
      </c>
      <c r="H38" s="131">
        <v>5408.0979333333344</v>
      </c>
    </row>
    <row r="39" spans="1:8" ht="16.5" thickTop="1" thickBot="1" x14ac:dyDescent="0.3">
      <c r="A39" s="160"/>
      <c r="B39" s="160"/>
      <c r="C39" s="150"/>
      <c r="D39" s="129"/>
      <c r="E39" s="159"/>
      <c r="F39" s="161"/>
      <c r="G39" s="150"/>
      <c r="H39" s="162"/>
    </row>
    <row r="40" spans="1:8" ht="16.5" thickTop="1" thickBot="1" x14ac:dyDescent="0.3">
      <c r="A40" s="160"/>
      <c r="B40" s="112"/>
      <c r="C40" s="112"/>
      <c r="D40" s="112"/>
      <c r="E40" s="539" t="s">
        <v>233</v>
      </c>
      <c r="F40" s="486"/>
      <c r="G40" s="486"/>
      <c r="H40" s="131">
        <v>56532.5628</v>
      </c>
    </row>
    <row r="41" spans="1:8" ht="15.75" thickTop="1" x14ac:dyDescent="0.25">
      <c r="A41" s="160"/>
      <c r="B41" s="160"/>
      <c r="C41" s="160"/>
      <c r="D41" s="113"/>
      <c r="E41" s="113"/>
      <c r="F41" s="113"/>
      <c r="G41" s="113"/>
      <c r="H41" s="164"/>
    </row>
    <row r="42" spans="1:8" ht="15.75" thickBot="1" x14ac:dyDescent="0.3">
      <c r="A42" s="112" t="s">
        <v>234</v>
      </c>
      <c r="B42" s="112"/>
      <c r="C42" s="112"/>
      <c r="D42" s="112"/>
      <c r="E42" s="112"/>
      <c r="F42" s="113"/>
      <c r="G42" s="113"/>
      <c r="H42" s="112"/>
    </row>
    <row r="43" spans="1:8" ht="15.75" thickTop="1" x14ac:dyDescent="0.25">
      <c r="A43" s="540" t="s">
        <v>26</v>
      </c>
      <c r="B43" s="541"/>
      <c r="C43" s="542"/>
      <c r="D43" s="165" t="s">
        <v>235</v>
      </c>
      <c r="E43" s="165" t="s">
        <v>215</v>
      </c>
      <c r="F43" s="165" t="s">
        <v>216</v>
      </c>
      <c r="G43" s="184" t="s">
        <v>217</v>
      </c>
      <c r="H43" s="503"/>
    </row>
    <row r="44" spans="1:8" ht="15.75" x14ac:dyDescent="0.25">
      <c r="A44" s="534" t="s">
        <v>236</v>
      </c>
      <c r="B44" s="535"/>
      <c r="C44" s="535"/>
      <c r="D44" s="167">
        <v>0.32</v>
      </c>
      <c r="E44" s="168"/>
      <c r="F44" s="169"/>
      <c r="G44" s="185">
        <v>18090.420096000002</v>
      </c>
      <c r="H44" s="504"/>
    </row>
    <row r="45" spans="1:8" ht="15.75" thickBot="1" x14ac:dyDescent="0.3">
      <c r="A45" s="534" t="s">
        <v>237</v>
      </c>
      <c r="B45" s="536"/>
      <c r="C45" s="536"/>
      <c r="D45" s="167">
        <v>0.05</v>
      </c>
      <c r="E45" s="171"/>
      <c r="F45" s="171"/>
      <c r="G45" s="185">
        <v>2826.6281400000003</v>
      </c>
      <c r="H45" s="504"/>
    </row>
    <row r="46" spans="1:8" ht="16.5" thickTop="1" thickBot="1" x14ac:dyDescent="0.3">
      <c r="A46" s="496"/>
      <c r="B46" s="486"/>
      <c r="C46" s="486"/>
      <c r="D46" s="128"/>
      <c r="E46" s="129"/>
      <c r="F46" s="130"/>
      <c r="G46" s="130" t="s">
        <v>218</v>
      </c>
      <c r="H46" s="131">
        <v>20917.048236000002</v>
      </c>
    </row>
    <row r="47" spans="1:8" ht="15.75" thickTop="1" x14ac:dyDescent="0.25">
      <c r="A47" s="160"/>
      <c r="B47" s="160"/>
      <c r="C47" s="160"/>
      <c r="D47" s="160"/>
      <c r="E47" s="160"/>
      <c r="F47" s="172"/>
      <c r="G47" s="172"/>
      <c r="H47" s="160"/>
    </row>
    <row r="48" spans="1:8" ht="15.75" thickBot="1" x14ac:dyDescent="0.3">
      <c r="A48" s="160"/>
      <c r="B48" s="160"/>
      <c r="C48" s="160"/>
      <c r="D48" s="160"/>
      <c r="E48" s="160"/>
      <c r="F48" s="172"/>
      <c r="G48" s="172"/>
      <c r="H48" s="160"/>
    </row>
    <row r="49" spans="1:8" ht="16.5" thickTop="1" thickBot="1" x14ac:dyDescent="0.3">
      <c r="A49" s="160"/>
      <c r="B49" s="112"/>
      <c r="C49" s="112"/>
      <c r="D49" s="112"/>
      <c r="E49" s="539" t="s">
        <v>238</v>
      </c>
      <c r="F49" s="486"/>
      <c r="G49" s="486"/>
      <c r="H49" s="131">
        <f>+H46+H40</f>
        <v>77449.611036000002</v>
      </c>
    </row>
    <row r="50" spans="1:8" ht="15.75" thickTop="1" x14ac:dyDescent="0.25">
      <c r="A50" s="160"/>
      <c r="B50" s="160"/>
      <c r="C50" s="160"/>
      <c r="D50" s="160"/>
      <c r="E50" s="160"/>
      <c r="F50" s="172"/>
      <c r="G50" s="172"/>
      <c r="H50" s="160"/>
    </row>
  </sheetData>
  <mergeCells count="44"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23:C23"/>
    <mergeCell ref="A11:C11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4:C24"/>
    <mergeCell ref="A26:B26"/>
    <mergeCell ref="H26:H29"/>
    <mergeCell ref="A27:B27"/>
    <mergeCell ref="A28:B28"/>
    <mergeCell ref="A29:B29"/>
    <mergeCell ref="H43:H45"/>
    <mergeCell ref="A44:C44"/>
    <mergeCell ref="A45:C45"/>
    <mergeCell ref="A30:B30"/>
    <mergeCell ref="A32:B32"/>
    <mergeCell ref="H32:H37"/>
    <mergeCell ref="A33:B33"/>
    <mergeCell ref="A34:B34"/>
    <mergeCell ref="A35:B35"/>
    <mergeCell ref="A36:B36"/>
    <mergeCell ref="A37:B37"/>
    <mergeCell ref="A46:C46"/>
    <mergeCell ref="E49:G49"/>
    <mergeCell ref="A38:B38"/>
    <mergeCell ref="E40:G40"/>
    <mergeCell ref="A43:C4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A200E-ECF1-490A-B206-8D06F2542471}">
  <sheetPr codeName="Hoja19"/>
  <dimension ref="A1:H44"/>
  <sheetViews>
    <sheetView workbookViewId="0">
      <selection activeCell="D42" sqref="D42"/>
    </sheetView>
  </sheetViews>
  <sheetFormatPr baseColWidth="10" defaultRowHeight="15" x14ac:dyDescent="0.25"/>
  <sheetData>
    <row r="1" spans="1:8" ht="15.75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8" ht="15.75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8" x14ac:dyDescent="0.25">
      <c r="A3" s="112"/>
      <c r="B3" s="112"/>
      <c r="C3" s="112"/>
      <c r="D3" s="112"/>
      <c r="E3" s="112"/>
      <c r="F3" s="113"/>
      <c r="G3" s="113"/>
      <c r="H3" s="112"/>
    </row>
    <row r="4" spans="1:8" ht="21.75" customHeight="1" x14ac:dyDescent="0.25">
      <c r="A4" s="114" t="s">
        <v>209</v>
      </c>
      <c r="B4" s="523" t="s">
        <v>588</v>
      </c>
      <c r="C4" s="486"/>
      <c r="D4" s="486"/>
      <c r="E4" s="486"/>
      <c r="F4" s="486"/>
      <c r="G4" s="115" t="s">
        <v>210</v>
      </c>
      <c r="H4" s="292">
        <v>3.15</v>
      </c>
    </row>
    <row r="5" spans="1:8" ht="24" x14ac:dyDescent="0.25">
      <c r="A5" s="114" t="s">
        <v>211</v>
      </c>
      <c r="B5" s="524" t="s">
        <v>590</v>
      </c>
      <c r="C5" s="486"/>
      <c r="D5" s="486"/>
      <c r="E5" s="486"/>
      <c r="F5" s="486"/>
      <c r="G5" s="113" t="s">
        <v>212</v>
      </c>
      <c r="H5" s="117" t="s">
        <v>13</v>
      </c>
    </row>
    <row r="6" spans="1:8" ht="15.75" thickBot="1" x14ac:dyDescent="0.3">
      <c r="A6" s="112" t="s">
        <v>213</v>
      </c>
      <c r="B6" s="112"/>
      <c r="C6" s="112"/>
      <c r="D6" s="112"/>
      <c r="E6" s="112"/>
      <c r="F6" s="113"/>
      <c r="G6" s="113"/>
      <c r="H6" s="112"/>
    </row>
    <row r="7" spans="1:8" ht="16.5" thickTop="1" thickBot="1" x14ac:dyDescent="0.3">
      <c r="A7" s="497" t="s">
        <v>26</v>
      </c>
      <c r="B7" s="498"/>
      <c r="C7" s="499"/>
      <c r="D7" s="118" t="s">
        <v>214</v>
      </c>
      <c r="E7" s="118" t="s">
        <v>215</v>
      </c>
      <c r="F7" s="118" t="s">
        <v>216</v>
      </c>
      <c r="G7" s="119" t="s">
        <v>217</v>
      </c>
      <c r="H7" s="503"/>
    </row>
    <row r="8" spans="1:8" ht="15.75" thickTop="1" x14ac:dyDescent="0.25">
      <c r="A8" s="531" t="s">
        <v>239</v>
      </c>
      <c r="B8" s="510"/>
      <c r="C8" s="511"/>
      <c r="D8" s="124"/>
      <c r="E8" s="146"/>
      <c r="F8" s="146"/>
      <c r="G8" s="288">
        <v>202.80367250000003</v>
      </c>
      <c r="H8" s="504"/>
    </row>
    <row r="9" spans="1:8" ht="15.75" x14ac:dyDescent="0.25">
      <c r="A9" s="509" t="s">
        <v>280</v>
      </c>
      <c r="B9" s="510"/>
      <c r="C9" s="511"/>
      <c r="D9" s="124" t="s">
        <v>281</v>
      </c>
      <c r="E9" s="121">
        <v>450</v>
      </c>
      <c r="F9" s="122">
        <v>5</v>
      </c>
      <c r="G9" s="285">
        <v>90</v>
      </c>
      <c r="H9" s="504"/>
    </row>
    <row r="10" spans="1:8" ht="15.75" thickBot="1" x14ac:dyDescent="0.3">
      <c r="A10" s="549"/>
      <c r="B10" s="550"/>
      <c r="C10" s="551"/>
      <c r="D10" s="125"/>
      <c r="E10" s="286"/>
      <c r="F10" s="126"/>
      <c r="G10" s="287"/>
      <c r="H10" s="505"/>
    </row>
    <row r="11" spans="1:8" ht="16.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v>292.80367250000006</v>
      </c>
    </row>
    <row r="12" spans="1:8" ht="16.5" thickTop="1" thickBot="1" x14ac:dyDescent="0.3">
      <c r="A12" s="112" t="s">
        <v>219</v>
      </c>
      <c r="B12" s="112"/>
      <c r="C12" s="112"/>
      <c r="D12" s="112"/>
      <c r="E12" s="112"/>
      <c r="F12" s="113"/>
      <c r="G12" s="113"/>
      <c r="H12" s="112"/>
    </row>
    <row r="13" spans="1:8" ht="16.5" thickTop="1" thickBot="1" x14ac:dyDescent="0.3">
      <c r="A13" s="497" t="s">
        <v>26</v>
      </c>
      <c r="B13" s="498"/>
      <c r="C13" s="499"/>
      <c r="D13" s="118" t="s">
        <v>25</v>
      </c>
      <c r="E13" s="118" t="s">
        <v>220</v>
      </c>
      <c r="F13" s="118" t="s">
        <v>221</v>
      </c>
      <c r="G13" s="119" t="s">
        <v>217</v>
      </c>
      <c r="H13" s="132"/>
    </row>
    <row r="14" spans="1:8" ht="15.75" thickTop="1" x14ac:dyDescent="0.25">
      <c r="A14" s="554" t="s">
        <v>343</v>
      </c>
      <c r="B14" s="555" t="s">
        <v>343</v>
      </c>
      <c r="C14" s="556" t="s">
        <v>343</v>
      </c>
      <c r="D14" s="178" t="s">
        <v>13</v>
      </c>
      <c r="E14" s="175">
        <v>14850</v>
      </c>
      <c r="F14" s="290">
        <v>1.05</v>
      </c>
      <c r="G14" s="177">
        <v>15592.5</v>
      </c>
      <c r="H14" s="135"/>
    </row>
    <row r="15" spans="1:8" x14ac:dyDescent="0.25">
      <c r="A15" s="554"/>
      <c r="B15" s="555"/>
      <c r="C15" s="556"/>
      <c r="D15" s="178"/>
      <c r="E15" s="175"/>
      <c r="F15" s="290"/>
      <c r="G15" s="177">
        <v>0</v>
      </c>
      <c r="H15" s="135"/>
    </row>
    <row r="16" spans="1:8" x14ac:dyDescent="0.25">
      <c r="A16" s="554"/>
      <c r="B16" s="555"/>
      <c r="C16" s="556"/>
      <c r="D16" s="178"/>
      <c r="E16" s="175"/>
      <c r="F16" s="290"/>
      <c r="G16" s="177">
        <v>0</v>
      </c>
      <c r="H16" s="135"/>
    </row>
    <row r="17" spans="1:8" ht="15.75" thickBot="1" x14ac:dyDescent="0.3">
      <c r="A17" s="549"/>
      <c r="B17" s="550"/>
      <c r="C17" s="551"/>
      <c r="D17" s="125"/>
      <c r="E17" s="156"/>
      <c r="F17" s="291"/>
      <c r="G17" s="287"/>
      <c r="H17" s="135"/>
    </row>
    <row r="18" spans="1:8" ht="16.5" thickTop="1" thickBot="1" x14ac:dyDescent="0.3">
      <c r="A18" s="496"/>
      <c r="B18" s="486"/>
      <c r="C18" s="486"/>
      <c r="D18" s="129"/>
      <c r="E18" s="129"/>
      <c r="F18" s="130"/>
      <c r="G18" s="130" t="s">
        <v>218</v>
      </c>
      <c r="H18" s="131">
        <v>15592.5</v>
      </c>
    </row>
    <row r="19" spans="1:8" ht="16.5" thickTop="1" thickBot="1" x14ac:dyDescent="0.3">
      <c r="A19" s="112" t="s">
        <v>222</v>
      </c>
      <c r="B19" s="112"/>
      <c r="C19" s="112"/>
      <c r="D19" s="112"/>
      <c r="E19" s="112"/>
      <c r="F19" s="113"/>
      <c r="G19" s="113"/>
      <c r="H19" s="112"/>
    </row>
    <row r="20" spans="1:8" ht="23.25" thickTop="1" x14ac:dyDescent="0.25">
      <c r="A20" s="533" t="s">
        <v>223</v>
      </c>
      <c r="B20" s="507"/>
      <c r="C20" s="140" t="s">
        <v>224</v>
      </c>
      <c r="D20" s="140" t="s">
        <v>225</v>
      </c>
      <c r="E20" s="140" t="s">
        <v>226</v>
      </c>
      <c r="F20" s="140" t="s">
        <v>227</v>
      </c>
      <c r="G20" s="141" t="s">
        <v>217</v>
      </c>
      <c r="H20" s="528"/>
    </row>
    <row r="21" spans="1:8" ht="15.75" x14ac:dyDescent="0.25">
      <c r="A21" s="531"/>
      <c r="B21" s="511"/>
      <c r="C21" s="142"/>
      <c r="D21" s="122"/>
      <c r="E21" s="142"/>
      <c r="F21" s="143"/>
      <c r="G21" s="144"/>
      <c r="H21" s="529"/>
    </row>
    <row r="22" spans="1:8" x14ac:dyDescent="0.25">
      <c r="A22" s="532"/>
      <c r="B22" s="510"/>
      <c r="C22" s="145"/>
      <c r="D22" s="146"/>
      <c r="E22" s="146"/>
      <c r="F22" s="120"/>
      <c r="G22" s="147"/>
      <c r="H22" s="529"/>
    </row>
    <row r="23" spans="1:8" ht="15.75" thickBot="1" x14ac:dyDescent="0.3">
      <c r="A23" s="512"/>
      <c r="B23" s="513"/>
      <c r="C23" s="148"/>
      <c r="D23" s="149"/>
      <c r="E23" s="149"/>
      <c r="F23" s="125"/>
      <c r="G23" s="127"/>
      <c r="H23" s="530"/>
    </row>
    <row r="24" spans="1:8" ht="16.5" thickTop="1" thickBot="1" x14ac:dyDescent="0.3">
      <c r="A24" s="496"/>
      <c r="B24" s="486"/>
      <c r="C24" s="150"/>
      <c r="D24" s="151"/>
      <c r="E24" s="129"/>
      <c r="F24" s="130"/>
      <c r="G24" s="130" t="s">
        <v>218</v>
      </c>
      <c r="H24" s="152">
        <v>0</v>
      </c>
    </row>
    <row r="25" spans="1:8" ht="16.5" thickTop="1" thickBot="1" x14ac:dyDescent="0.3">
      <c r="A25" s="112" t="s">
        <v>228</v>
      </c>
      <c r="B25" s="112"/>
      <c r="C25" s="112"/>
      <c r="D25" s="112"/>
      <c r="E25" s="112"/>
      <c r="F25" s="113"/>
      <c r="G25" s="113"/>
      <c r="H25" s="112"/>
    </row>
    <row r="26" spans="1:8" ht="16.5" thickTop="1" thickBot="1" x14ac:dyDescent="0.3">
      <c r="A26" s="497" t="s">
        <v>229</v>
      </c>
      <c r="B26" s="499"/>
      <c r="C26" s="118" t="s">
        <v>230</v>
      </c>
      <c r="D26" s="118" t="s">
        <v>231</v>
      </c>
      <c r="E26" s="118" t="s">
        <v>232</v>
      </c>
      <c r="F26" s="118" t="s">
        <v>216</v>
      </c>
      <c r="G26" s="119" t="s">
        <v>217</v>
      </c>
      <c r="H26" s="503"/>
    </row>
    <row r="27" spans="1:8" ht="15.75" thickTop="1" x14ac:dyDescent="0.25">
      <c r="A27" s="531" t="s">
        <v>241</v>
      </c>
      <c r="B27" s="511"/>
      <c r="C27" s="154">
        <v>94900</v>
      </c>
      <c r="D27" s="153">
        <v>1.7996000000000001</v>
      </c>
      <c r="E27" s="143">
        <v>170782.04</v>
      </c>
      <c r="F27" s="180">
        <v>80</v>
      </c>
      <c r="G27" s="181">
        <v>2134.7755000000002</v>
      </c>
      <c r="H27" s="504"/>
    </row>
    <row r="28" spans="1:8" x14ac:dyDescent="0.25">
      <c r="A28" s="531" t="s">
        <v>242</v>
      </c>
      <c r="B28" s="511"/>
      <c r="C28" s="143">
        <v>85410</v>
      </c>
      <c r="D28" s="153">
        <v>1.7996000000000001</v>
      </c>
      <c r="E28" s="182">
        <v>153703.83600000001</v>
      </c>
      <c r="F28" s="183">
        <v>80</v>
      </c>
      <c r="G28" s="181">
        <v>1921.2979500000001</v>
      </c>
      <c r="H28" s="504"/>
    </row>
    <row r="29" spans="1:8" x14ac:dyDescent="0.25">
      <c r="A29" s="544"/>
      <c r="B29" s="511"/>
      <c r="C29" s="154"/>
      <c r="D29" s="153"/>
      <c r="E29" s="143"/>
      <c r="F29" s="155"/>
      <c r="G29" s="144"/>
      <c r="H29" s="504"/>
    </row>
    <row r="30" spans="1:8" x14ac:dyDescent="0.25">
      <c r="A30" s="531"/>
      <c r="B30" s="511"/>
      <c r="C30" s="154"/>
      <c r="D30" s="153"/>
      <c r="E30" s="143"/>
      <c r="F30" s="155"/>
      <c r="G30" s="144"/>
      <c r="H30" s="504"/>
    </row>
    <row r="31" spans="1:8" ht="15.75" thickBot="1" x14ac:dyDescent="0.3">
      <c r="A31" s="512"/>
      <c r="B31" s="514"/>
      <c r="C31" s="156"/>
      <c r="D31" s="157"/>
      <c r="E31" s="149"/>
      <c r="F31" s="126"/>
      <c r="G31" s="158"/>
      <c r="H31" s="505"/>
    </row>
    <row r="32" spans="1:8" ht="16.5" thickTop="1" thickBot="1" x14ac:dyDescent="0.3">
      <c r="A32" s="496"/>
      <c r="B32" s="486"/>
      <c r="C32" s="150"/>
      <c r="D32" s="129"/>
      <c r="E32" s="159"/>
      <c r="F32" s="130"/>
      <c r="G32" s="130" t="s">
        <v>218</v>
      </c>
      <c r="H32" s="131">
        <v>4056.0734500000003</v>
      </c>
    </row>
    <row r="33" spans="1:8" ht="16.5" thickTop="1" thickBot="1" x14ac:dyDescent="0.3">
      <c r="A33" s="160"/>
      <c r="B33" s="160"/>
      <c r="C33" s="150"/>
      <c r="D33" s="129"/>
      <c r="E33" s="159"/>
      <c r="F33" s="161"/>
      <c r="G33" s="150"/>
      <c r="H33" s="162"/>
    </row>
    <row r="34" spans="1:8" ht="16.5" thickTop="1" thickBot="1" x14ac:dyDescent="0.3">
      <c r="A34" s="160"/>
      <c r="B34" s="112"/>
      <c r="C34" s="112"/>
      <c r="D34" s="112"/>
      <c r="E34" s="539" t="s">
        <v>233</v>
      </c>
      <c r="F34" s="486"/>
      <c r="G34" s="486"/>
      <c r="H34" s="131">
        <v>19941.377100000002</v>
      </c>
    </row>
    <row r="35" spans="1:8" ht="15.75" thickTop="1" x14ac:dyDescent="0.25">
      <c r="A35" s="160"/>
      <c r="B35" s="160"/>
      <c r="C35" s="160"/>
      <c r="D35" s="113"/>
      <c r="E35" s="113"/>
      <c r="F35" s="113"/>
      <c r="G35" s="113"/>
      <c r="H35" s="164"/>
    </row>
    <row r="36" spans="1:8" ht="15.75" thickBot="1" x14ac:dyDescent="0.3">
      <c r="A36" s="112" t="s">
        <v>234</v>
      </c>
      <c r="B36" s="112"/>
      <c r="C36" s="112"/>
      <c r="D36" s="112"/>
      <c r="E36" s="112"/>
      <c r="F36" s="113"/>
      <c r="G36" s="113"/>
      <c r="H36" s="112"/>
    </row>
    <row r="37" spans="1:8" ht="15.75" thickTop="1" x14ac:dyDescent="0.25">
      <c r="A37" s="540" t="s">
        <v>26</v>
      </c>
      <c r="B37" s="541"/>
      <c r="C37" s="542"/>
      <c r="D37" s="165" t="s">
        <v>235</v>
      </c>
      <c r="E37" s="165" t="s">
        <v>215</v>
      </c>
      <c r="F37" s="165" t="s">
        <v>216</v>
      </c>
      <c r="G37" s="184" t="s">
        <v>217</v>
      </c>
      <c r="H37" s="503"/>
    </row>
    <row r="38" spans="1:8" ht="15.75" x14ac:dyDescent="0.25">
      <c r="A38" s="534" t="s">
        <v>236</v>
      </c>
      <c r="B38" s="535"/>
      <c r="C38" s="535"/>
      <c r="D38" s="167">
        <v>0.32</v>
      </c>
      <c r="E38" s="168"/>
      <c r="F38" s="169"/>
      <c r="G38" s="185">
        <v>6381.2406720000008</v>
      </c>
      <c r="H38" s="504"/>
    </row>
    <row r="39" spans="1:8" ht="15.75" thickBot="1" x14ac:dyDescent="0.3">
      <c r="A39" s="534" t="s">
        <v>237</v>
      </c>
      <c r="B39" s="536"/>
      <c r="C39" s="536"/>
      <c r="D39" s="167">
        <v>0.05</v>
      </c>
      <c r="E39" s="171"/>
      <c r="F39" s="171"/>
      <c r="G39" s="185">
        <v>997.0688550000001</v>
      </c>
      <c r="H39" s="504"/>
    </row>
    <row r="40" spans="1:8" ht="16.5" thickTop="1" thickBot="1" x14ac:dyDescent="0.3">
      <c r="A40" s="496"/>
      <c r="B40" s="486"/>
      <c r="C40" s="486"/>
      <c r="D40" s="128"/>
      <c r="E40" s="129"/>
      <c r="F40" s="130"/>
      <c r="G40" s="130" t="s">
        <v>218</v>
      </c>
      <c r="H40" s="131">
        <v>7378.3095270000013</v>
      </c>
    </row>
    <row r="41" spans="1:8" ht="15.75" thickTop="1" x14ac:dyDescent="0.25">
      <c r="A41" s="160"/>
      <c r="B41" s="160"/>
      <c r="C41" s="160"/>
      <c r="D41" s="160"/>
      <c r="E41" s="160"/>
      <c r="F41" s="172"/>
      <c r="G41" s="172"/>
      <c r="H41" s="160"/>
    </row>
    <row r="42" spans="1:8" ht="15.75" thickBot="1" x14ac:dyDescent="0.3">
      <c r="A42" s="160"/>
      <c r="B42" s="160"/>
      <c r="C42" s="160"/>
      <c r="D42" s="160"/>
      <c r="E42" s="160"/>
      <c r="F42" s="172"/>
      <c r="G42" s="172"/>
      <c r="H42" s="160"/>
    </row>
    <row r="43" spans="1:8" ht="16.5" thickTop="1" thickBot="1" x14ac:dyDescent="0.3">
      <c r="A43" s="160"/>
      <c r="B43" s="112"/>
      <c r="C43" s="112"/>
      <c r="D43" s="112"/>
      <c r="E43" s="539" t="s">
        <v>238</v>
      </c>
      <c r="F43" s="486"/>
      <c r="G43" s="486"/>
      <c r="H43" s="131">
        <f>+H40+H34</f>
        <v>27319.686627000003</v>
      </c>
    </row>
    <row r="44" spans="1:8" ht="15.75" thickTop="1" x14ac:dyDescent="0.25">
      <c r="A44" s="160"/>
      <c r="B44" s="160"/>
      <c r="C44" s="160"/>
      <c r="D44" s="160"/>
      <c r="E44" s="160"/>
      <c r="F44" s="172"/>
      <c r="G44" s="172"/>
      <c r="H44" s="160"/>
    </row>
  </sheetData>
  <mergeCells count="38"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8:C18"/>
    <mergeCell ref="A20:B20"/>
    <mergeCell ref="H20:H23"/>
    <mergeCell ref="A21:B21"/>
    <mergeCell ref="A22:B22"/>
    <mergeCell ref="A23:B23"/>
    <mergeCell ref="H37:H39"/>
    <mergeCell ref="A38:C38"/>
    <mergeCell ref="A39:C39"/>
    <mergeCell ref="A24:B24"/>
    <mergeCell ref="A26:B26"/>
    <mergeCell ref="H26:H31"/>
    <mergeCell ref="A27:B27"/>
    <mergeCell ref="A28:B28"/>
    <mergeCell ref="A29:B29"/>
    <mergeCell ref="A30:B30"/>
    <mergeCell ref="A31:B31"/>
    <mergeCell ref="A40:C40"/>
    <mergeCell ref="E43:G43"/>
    <mergeCell ref="A32:B32"/>
    <mergeCell ref="E34:G34"/>
    <mergeCell ref="A37:C3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566E-FB8D-4CFD-B873-EB955EF04C5E}">
  <sheetPr codeName="Hoja20">
    <pageSetUpPr fitToPage="1"/>
  </sheetPr>
  <dimension ref="A1:N43"/>
  <sheetViews>
    <sheetView view="pageBreakPreview" topLeftCell="A26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9" width="11.42578125" style="49" customWidth="1"/>
    <col min="10" max="10" width="46.7109375" style="49" bestFit="1" customWidth="1"/>
    <col min="11" max="25" width="11.42578125" style="49" customWidth="1"/>
    <col min="26" max="16384" width="12.7109375" style="49"/>
  </cols>
  <sheetData>
    <row r="1" spans="1:14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14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14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14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292">
        <v>4.0999999999999996</v>
      </c>
    </row>
    <row r="5" spans="1:14" ht="38.450000000000003" customHeight="1" x14ac:dyDescent="0.25">
      <c r="A5" s="114" t="s">
        <v>211</v>
      </c>
      <c r="B5" s="524" t="str">
        <f>VLOOKUP(H4,'PRESUPUESTO OFICIAL'!A:F,2,0)</f>
        <v>SUMINISTRO E INSTALACION DE CIELO RASO EN PVC. INCLUYE ESTRUCTURA Y DEMAS ELEMENTOS DE FIJACION</v>
      </c>
      <c r="C5" s="486"/>
      <c r="D5" s="486"/>
      <c r="E5" s="486"/>
      <c r="F5" s="486"/>
      <c r="G5" s="113" t="s">
        <v>212</v>
      </c>
      <c r="H5" s="117" t="str">
        <f>VLOOKUP(H4,'PRESUPUESTO OFICIAL'!A:F,3,0)</f>
        <v>M2</v>
      </c>
    </row>
    <row r="6" spans="1:14" ht="13.5" thickBot="1" x14ac:dyDescent="0.3">
      <c r="A6" s="112" t="s">
        <v>385</v>
      </c>
      <c r="B6" s="112"/>
      <c r="C6" s="112"/>
      <c r="D6" s="112"/>
      <c r="E6" s="112"/>
      <c r="F6" s="113"/>
      <c r="G6" s="113"/>
      <c r="H6" s="112"/>
    </row>
    <row r="7" spans="1:14" ht="15.75" thickTop="1" x14ac:dyDescent="0.25">
      <c r="A7" s="540" t="s">
        <v>26</v>
      </c>
      <c r="B7" s="541"/>
      <c r="C7" s="542"/>
      <c r="D7" s="165" t="s">
        <v>214</v>
      </c>
      <c r="E7" s="165" t="s">
        <v>215</v>
      </c>
      <c r="F7" s="165" t="s">
        <v>216</v>
      </c>
      <c r="G7" s="184" t="s">
        <v>217</v>
      </c>
      <c r="H7" s="503"/>
      <c r="J7" s="338"/>
      <c r="K7"/>
      <c r="L7"/>
      <c r="M7"/>
      <c r="N7"/>
    </row>
    <row r="8" spans="1:14" x14ac:dyDescent="0.25">
      <c r="A8" s="534" t="s">
        <v>380</v>
      </c>
      <c r="B8" s="535"/>
      <c r="C8" s="535"/>
      <c r="D8" s="324" t="s">
        <v>14</v>
      </c>
      <c r="E8" s="325">
        <v>129956</v>
      </c>
      <c r="F8" s="326">
        <v>1</v>
      </c>
      <c r="G8" s="327">
        <f>+E8*F8</f>
        <v>129956</v>
      </c>
      <c r="H8" s="560"/>
      <c r="J8" s="322"/>
      <c r="K8" s="320"/>
      <c r="L8" s="321"/>
      <c r="M8" s="323"/>
      <c r="N8" s="339"/>
    </row>
    <row r="9" spans="1:14" ht="21" customHeight="1" x14ac:dyDescent="0.25">
      <c r="A9" s="567" t="s">
        <v>381</v>
      </c>
      <c r="B9" s="535"/>
      <c r="C9" s="535"/>
      <c r="D9" s="324" t="s">
        <v>14</v>
      </c>
      <c r="E9" s="168">
        <v>21672</v>
      </c>
      <c r="F9" s="328">
        <v>0.05</v>
      </c>
      <c r="G9" s="327">
        <f t="shared" ref="G9" si="0">+E9*F9</f>
        <v>1083.6000000000001</v>
      </c>
      <c r="H9" s="560"/>
      <c r="J9" s="322"/>
      <c r="K9" s="320"/>
      <c r="L9" s="321"/>
      <c r="M9" s="323"/>
      <c r="N9" s="339"/>
    </row>
    <row r="10" spans="1:14" ht="15.75" thickBot="1" x14ac:dyDescent="0.3">
      <c r="A10" s="534"/>
      <c r="B10" s="535"/>
      <c r="C10" s="535"/>
      <c r="D10" s="324"/>
      <c r="E10" s="329"/>
      <c r="F10" s="326"/>
      <c r="G10" s="327"/>
      <c r="H10" s="560"/>
      <c r="J10"/>
      <c r="K10"/>
      <c r="L10"/>
      <c r="M10" s="340"/>
      <c r="N10" s="341"/>
    </row>
    <row r="11" spans="1:14" ht="16.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SUM(G7:G10)</f>
        <v>131039.6</v>
      </c>
      <c r="J11"/>
      <c r="K11"/>
      <c r="L11"/>
      <c r="M11" s="340"/>
      <c r="N11" s="341"/>
    </row>
    <row r="12" spans="1:14" ht="16.5" thickTop="1" thickBot="1" x14ac:dyDescent="0.3">
      <c r="A12" s="112" t="s">
        <v>386</v>
      </c>
      <c r="B12" s="112"/>
      <c r="C12" s="112"/>
      <c r="D12" s="112"/>
      <c r="E12" s="112"/>
      <c r="F12" s="113"/>
      <c r="G12" s="113"/>
      <c r="H12" s="112"/>
      <c r="J12" s="338"/>
      <c r="K12"/>
      <c r="L12"/>
      <c r="M12"/>
      <c r="N12"/>
    </row>
    <row r="13" spans="1:14" ht="15.75" thickTop="1" x14ac:dyDescent="0.25">
      <c r="A13" s="540" t="s">
        <v>26</v>
      </c>
      <c r="B13" s="541"/>
      <c r="C13" s="542"/>
      <c r="D13" s="165" t="s">
        <v>25</v>
      </c>
      <c r="E13" s="165" t="s">
        <v>220</v>
      </c>
      <c r="F13" s="165" t="s">
        <v>221</v>
      </c>
      <c r="G13" s="184" t="s">
        <v>217</v>
      </c>
      <c r="H13" s="132"/>
      <c r="J13" s="322"/>
      <c r="K13" s="320"/>
      <c r="L13" s="321"/>
      <c r="M13" s="323"/>
      <c r="N13" s="339"/>
    </row>
    <row r="14" spans="1:14" ht="22.9" customHeight="1" x14ac:dyDescent="0.25">
      <c r="A14" s="566" t="s">
        <v>382</v>
      </c>
      <c r="B14" s="566"/>
      <c r="C14" s="566"/>
      <c r="D14" s="335" t="s">
        <v>68</v>
      </c>
      <c r="E14" s="335">
        <v>287105</v>
      </c>
      <c r="F14" s="336">
        <v>1.8E-3</v>
      </c>
      <c r="G14" s="337">
        <f t="shared" ref="G14:G15" si="1">+F14*E14</f>
        <v>516.78899999999999</v>
      </c>
      <c r="H14" s="330"/>
      <c r="J14"/>
      <c r="K14"/>
      <c r="L14"/>
      <c r="M14" s="340"/>
      <c r="N14" s="341"/>
    </row>
    <row r="15" spans="1:14" ht="24" customHeight="1" x14ac:dyDescent="0.25">
      <c r="A15" s="566" t="s">
        <v>383</v>
      </c>
      <c r="B15" s="566" t="s">
        <v>322</v>
      </c>
      <c r="C15" s="566" t="s">
        <v>322</v>
      </c>
      <c r="D15" s="335" t="s">
        <v>68</v>
      </c>
      <c r="E15" s="335">
        <v>307713</v>
      </c>
      <c r="F15" s="336">
        <v>1.8E-3</v>
      </c>
      <c r="G15" s="337">
        <f t="shared" si="1"/>
        <v>553.88339999999994</v>
      </c>
      <c r="H15" s="330"/>
    </row>
    <row r="16" spans="1:14" ht="15.6" customHeight="1" thickBot="1" x14ac:dyDescent="0.3">
      <c r="A16" s="563"/>
      <c r="B16" s="564"/>
      <c r="C16" s="565"/>
      <c r="D16" s="331"/>
      <c r="E16" s="332"/>
      <c r="F16" s="333"/>
      <c r="G16" s="334"/>
      <c r="H16" s="135"/>
    </row>
    <row r="17" spans="1:10" ht="12.75" x14ac:dyDescent="0.25">
      <c r="A17" s="496"/>
      <c r="B17" s="486"/>
      <c r="C17" s="486"/>
      <c r="D17" s="129"/>
      <c r="E17" s="129"/>
      <c r="F17" s="130"/>
      <c r="G17" s="130" t="s">
        <v>218</v>
      </c>
      <c r="H17" s="131">
        <f>SUM(G14:G15)</f>
        <v>1070.6723999999999</v>
      </c>
    </row>
    <row r="18" spans="1:10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10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10" ht="15.75" x14ac:dyDescent="0.25">
      <c r="A20" s="531" t="s">
        <v>377</v>
      </c>
      <c r="B20" s="511"/>
      <c r="C20" s="142"/>
      <c r="D20" s="122"/>
      <c r="E20" s="142">
        <v>0.01</v>
      </c>
      <c r="F20" s="143">
        <v>37963</v>
      </c>
      <c r="G20" s="144">
        <f>+E20*F20</f>
        <v>379.63</v>
      </c>
      <c r="H20" s="529"/>
    </row>
    <row r="21" spans="1:10" ht="12.75" x14ac:dyDescent="0.25">
      <c r="A21" s="532"/>
      <c r="B21" s="510"/>
      <c r="C21" s="145"/>
      <c r="D21" s="146"/>
      <c r="E21" s="146"/>
      <c r="F21" s="120"/>
      <c r="G21" s="147"/>
      <c r="H21" s="529"/>
    </row>
    <row r="22" spans="1:10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10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379.63</v>
      </c>
    </row>
    <row r="24" spans="1:10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10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10" ht="15.75" thickTop="1" x14ac:dyDescent="0.25">
      <c r="A26" s="531" t="s">
        <v>384</v>
      </c>
      <c r="B26" s="511"/>
      <c r="C26" s="154">
        <v>223826</v>
      </c>
      <c r="D26" s="153"/>
      <c r="E26" s="143"/>
      <c r="F26" s="180">
        <v>0.1774</v>
      </c>
      <c r="G26" s="181">
        <f>+C26*F26</f>
        <v>39706.732400000001</v>
      </c>
      <c r="H26" s="504"/>
      <c r="J26" s="322"/>
    </row>
    <row r="27" spans="1:10" x14ac:dyDescent="0.25">
      <c r="A27" s="531"/>
      <c r="B27" s="511"/>
      <c r="C27" s="143"/>
      <c r="D27" s="153"/>
      <c r="E27" s="182"/>
      <c r="F27" s="183"/>
      <c r="G27" s="181">
        <f>+F27*C27</f>
        <v>0</v>
      </c>
      <c r="H27" s="504"/>
      <c r="J27" s="322"/>
    </row>
    <row r="28" spans="1:10" ht="12.75" x14ac:dyDescent="0.25">
      <c r="A28" s="544"/>
      <c r="B28" s="511"/>
      <c r="C28" s="154"/>
      <c r="D28" s="153"/>
      <c r="E28" s="143"/>
      <c r="F28" s="155"/>
      <c r="G28" s="144"/>
      <c r="H28" s="504"/>
    </row>
    <row r="29" spans="1:10" ht="12.75" x14ac:dyDescent="0.25">
      <c r="A29" s="531"/>
      <c r="B29" s="511"/>
      <c r="C29" s="154"/>
      <c r="D29" s="153"/>
      <c r="E29" s="143"/>
      <c r="F29" s="155"/>
      <c r="G29" s="144"/>
      <c r="H29" s="504"/>
    </row>
    <row r="30" spans="1:10" ht="13.5" thickBot="1" x14ac:dyDescent="0.3">
      <c r="A30" s="512"/>
      <c r="B30" s="514"/>
      <c r="C30" s="156"/>
      <c r="D30" s="157"/>
      <c r="E30" s="149"/>
      <c r="F30" s="126"/>
      <c r="G30" s="158"/>
      <c r="H30" s="505"/>
    </row>
    <row r="31" spans="1:10" ht="14.25" thickTop="1" thickBot="1" x14ac:dyDescent="0.3">
      <c r="A31" s="496"/>
      <c r="B31" s="486"/>
      <c r="C31" s="150"/>
      <c r="D31" s="129"/>
      <c r="E31" s="159"/>
      <c r="F31" s="130"/>
      <c r="G31" s="130" t="s">
        <v>218</v>
      </c>
      <c r="H31" s="131">
        <f>SUM(G26:G30)</f>
        <v>39706.732400000001</v>
      </c>
    </row>
    <row r="32" spans="1:10" ht="14.25" thickTop="1" thickBot="1" x14ac:dyDescent="0.3">
      <c r="A32" s="160"/>
      <c r="B32" s="160"/>
      <c r="C32" s="150"/>
      <c r="D32" s="129"/>
      <c r="E32" s="159"/>
      <c r="F32" s="161"/>
      <c r="G32" s="150"/>
      <c r="H32" s="162"/>
    </row>
    <row r="33" spans="1:8" ht="14.25" thickTop="1" thickBot="1" x14ac:dyDescent="0.3">
      <c r="A33" s="160"/>
      <c r="B33" s="112"/>
      <c r="C33" s="112"/>
      <c r="D33" s="112"/>
      <c r="E33" s="539" t="s">
        <v>233</v>
      </c>
      <c r="F33" s="486"/>
      <c r="G33" s="486"/>
      <c r="H33" s="131">
        <f>ROUND((+H11+H17+H23+H31),4)</f>
        <v>172196.6348</v>
      </c>
    </row>
    <row r="34" spans="1:8" ht="13.5" thickTop="1" x14ac:dyDescent="0.25">
      <c r="A34" s="160"/>
      <c r="B34" s="160"/>
      <c r="C34" s="160"/>
      <c r="D34" s="113"/>
      <c r="E34" s="113"/>
      <c r="F34" s="113"/>
      <c r="G34" s="113"/>
      <c r="H34" s="164"/>
    </row>
    <row r="35" spans="1:8" ht="13.5" thickBot="1" x14ac:dyDescent="0.3">
      <c r="A35" s="112" t="s">
        <v>234</v>
      </c>
      <c r="B35" s="112"/>
      <c r="C35" s="112"/>
      <c r="D35" s="112"/>
      <c r="E35" s="112"/>
      <c r="F35" s="113"/>
      <c r="G35" s="113"/>
      <c r="H35" s="112"/>
    </row>
    <row r="36" spans="1:8" ht="13.5" thickTop="1" x14ac:dyDescent="0.25">
      <c r="A36" s="540" t="s">
        <v>26</v>
      </c>
      <c r="B36" s="541"/>
      <c r="C36" s="542"/>
      <c r="D36" s="165" t="s">
        <v>235</v>
      </c>
      <c r="E36" s="165" t="s">
        <v>215</v>
      </c>
      <c r="F36" s="165" t="s">
        <v>216</v>
      </c>
      <c r="G36" s="184" t="s">
        <v>217</v>
      </c>
      <c r="H36" s="503"/>
    </row>
    <row r="37" spans="1:8" ht="15.75" x14ac:dyDescent="0.25">
      <c r="A37" s="534" t="s">
        <v>236</v>
      </c>
      <c r="B37" s="535"/>
      <c r="C37" s="535"/>
      <c r="D37" s="167">
        <f>+'1.1 localizacion'!$D$35</f>
        <v>0.32</v>
      </c>
      <c r="E37" s="168"/>
      <c r="F37" s="169"/>
      <c r="G37" s="185">
        <f>$H$33*D37</f>
        <v>55102.923135999998</v>
      </c>
      <c r="H37" s="504"/>
    </row>
    <row r="38" spans="1:8" ht="13.5" thickBot="1" x14ac:dyDescent="0.3">
      <c r="A38" s="534" t="s">
        <v>237</v>
      </c>
      <c r="B38" s="536"/>
      <c r="C38" s="536"/>
      <c r="D38" s="167">
        <f>+'1.1 localizacion'!$D$36</f>
        <v>0.05</v>
      </c>
      <c r="E38" s="171"/>
      <c r="F38" s="171"/>
      <c r="G38" s="185">
        <f t="shared" ref="G38" si="2">$H$33*D38</f>
        <v>8609.8317399999996</v>
      </c>
      <c r="H38" s="504"/>
    </row>
    <row r="39" spans="1:8" ht="14.25" thickTop="1" thickBot="1" x14ac:dyDescent="0.3">
      <c r="A39" s="496"/>
      <c r="B39" s="486"/>
      <c r="C39" s="486"/>
      <c r="D39" s="128"/>
      <c r="E39" s="129"/>
      <c r="F39" s="130"/>
      <c r="G39" s="130" t="s">
        <v>218</v>
      </c>
      <c r="H39" s="131">
        <f>SUM(G37:G38)</f>
        <v>63712.754875999999</v>
      </c>
    </row>
    <row r="40" spans="1:8" ht="9.75" customHeight="1" thickTop="1" x14ac:dyDescent="0.25">
      <c r="A40" s="160"/>
      <c r="B40" s="160"/>
      <c r="C40" s="160"/>
      <c r="D40" s="160"/>
      <c r="E40" s="160"/>
      <c r="F40" s="172"/>
      <c r="G40" s="172"/>
      <c r="H40" s="160"/>
    </row>
    <row r="41" spans="1:8" ht="9.75" customHeight="1" thickBot="1" x14ac:dyDescent="0.3">
      <c r="A41" s="160"/>
      <c r="B41" s="160"/>
      <c r="C41" s="160"/>
      <c r="D41" s="160"/>
      <c r="E41" s="160"/>
      <c r="F41" s="172"/>
      <c r="G41" s="172"/>
      <c r="H41" s="160"/>
    </row>
    <row r="42" spans="1:8" ht="14.25" thickTop="1" thickBot="1" x14ac:dyDescent="0.3">
      <c r="A42" s="160"/>
      <c r="B42" s="112"/>
      <c r="C42" s="112"/>
      <c r="D42" s="112"/>
      <c r="E42" s="539" t="s">
        <v>238</v>
      </c>
      <c r="F42" s="486"/>
      <c r="G42" s="486"/>
      <c r="H42" s="131">
        <f>ROUND(H39+H33,0)</f>
        <v>235909</v>
      </c>
    </row>
    <row r="43" spans="1:8" ht="9.75" customHeight="1" thickTop="1" x14ac:dyDescent="0.25">
      <c r="A43" s="160"/>
      <c r="B43" s="160"/>
      <c r="C43" s="160"/>
      <c r="D43" s="160"/>
      <c r="E43" s="160"/>
      <c r="F43" s="172"/>
      <c r="G43" s="172"/>
      <c r="H43" s="160"/>
    </row>
  </sheetData>
  <mergeCells count="37">
    <mergeCell ref="A39:C39"/>
    <mergeCell ref="E42:G42"/>
    <mergeCell ref="A31:B31"/>
    <mergeCell ref="E33:G33"/>
    <mergeCell ref="A36:C36"/>
    <mergeCell ref="H36:H38"/>
    <mergeCell ref="A37:C37"/>
    <mergeCell ref="A38:C38"/>
    <mergeCell ref="A23:B23"/>
    <mergeCell ref="A25:B25"/>
    <mergeCell ref="H25:H30"/>
    <mergeCell ref="A26:B26"/>
    <mergeCell ref="A27:B27"/>
    <mergeCell ref="A28:B28"/>
    <mergeCell ref="A29:B29"/>
    <mergeCell ref="A30:B30"/>
    <mergeCell ref="A16:C16"/>
    <mergeCell ref="A17:C17"/>
    <mergeCell ref="A19:B19"/>
    <mergeCell ref="H19:H22"/>
    <mergeCell ref="A20:B20"/>
    <mergeCell ref="A21:B21"/>
    <mergeCell ref="A22:B22"/>
    <mergeCell ref="A11:C11"/>
    <mergeCell ref="A13:C13"/>
    <mergeCell ref="A14:C14"/>
    <mergeCell ref="A15:C15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0456-D803-45D9-8FC7-F8E2B7751EC6}">
  <sheetPr codeName="Hoja21"/>
  <dimension ref="A1:F36"/>
  <sheetViews>
    <sheetView workbookViewId="0">
      <selection activeCell="D42" sqref="D42"/>
    </sheetView>
  </sheetViews>
  <sheetFormatPr baseColWidth="10" defaultRowHeight="15" x14ac:dyDescent="0.25"/>
  <cols>
    <col min="5" max="6" width="12.42578125" bestFit="1" customWidth="1"/>
  </cols>
  <sheetData>
    <row r="1" spans="1:6" x14ac:dyDescent="0.25">
      <c r="A1" s="368" t="s">
        <v>1</v>
      </c>
      <c r="B1" s="369" t="s">
        <v>387</v>
      </c>
      <c r="C1" s="370" t="s">
        <v>3</v>
      </c>
      <c r="D1" s="371" t="s">
        <v>78</v>
      </c>
      <c r="E1" s="372" t="s">
        <v>388</v>
      </c>
      <c r="F1" s="373">
        <v>128740</v>
      </c>
    </row>
    <row r="2" spans="1:6" x14ac:dyDescent="0.25">
      <c r="A2" s="374" t="s">
        <v>387</v>
      </c>
      <c r="B2" s="568" t="s">
        <v>389</v>
      </c>
      <c r="C2" s="569"/>
      <c r="D2" s="569"/>
      <c r="E2" s="569"/>
      <c r="F2" s="570"/>
    </row>
    <row r="3" spans="1:6" x14ac:dyDescent="0.25">
      <c r="A3" s="375"/>
      <c r="B3" s="342"/>
      <c r="C3" s="342"/>
      <c r="D3" s="342"/>
      <c r="E3" s="342"/>
      <c r="F3" s="376"/>
    </row>
    <row r="4" spans="1:6" x14ac:dyDescent="0.25">
      <c r="A4" s="377" t="s">
        <v>390</v>
      </c>
      <c r="B4" s="342"/>
      <c r="C4" s="342"/>
      <c r="D4" s="342"/>
      <c r="E4" s="342"/>
      <c r="F4" s="376"/>
    </row>
    <row r="5" spans="1:6" x14ac:dyDescent="0.25">
      <c r="A5" s="378" t="s">
        <v>44</v>
      </c>
      <c r="B5" s="379"/>
      <c r="C5" s="380" t="s">
        <v>3</v>
      </c>
      <c r="D5" s="345" t="s">
        <v>391</v>
      </c>
      <c r="E5" s="345" t="s">
        <v>392</v>
      </c>
      <c r="F5" s="381" t="s">
        <v>393</v>
      </c>
    </row>
    <row r="6" spans="1:6" x14ac:dyDescent="0.25">
      <c r="A6" s="382" t="s">
        <v>394</v>
      </c>
      <c r="B6" s="383"/>
      <c r="C6" s="380" t="s">
        <v>25</v>
      </c>
      <c r="D6" s="384">
        <v>0.08</v>
      </c>
      <c r="E6" s="385">
        <v>347991.6</v>
      </c>
      <c r="F6" s="386">
        <v>3980.3935999999999</v>
      </c>
    </row>
    <row r="7" spans="1:6" x14ac:dyDescent="0.25">
      <c r="A7" s="387"/>
      <c r="B7" s="383"/>
      <c r="C7" s="380"/>
      <c r="D7" s="348"/>
      <c r="E7" s="347"/>
      <c r="F7" s="386">
        <v>0</v>
      </c>
    </row>
    <row r="8" spans="1:6" x14ac:dyDescent="0.25">
      <c r="A8" s="388"/>
      <c r="B8" s="349"/>
      <c r="C8" s="349"/>
      <c r="D8" s="349"/>
      <c r="E8" s="350" t="s">
        <v>395</v>
      </c>
      <c r="F8" s="386">
        <v>3980.3935999999999</v>
      </c>
    </row>
    <row r="9" spans="1:6" x14ac:dyDescent="0.25">
      <c r="A9" s="377" t="s">
        <v>396</v>
      </c>
      <c r="B9" s="349"/>
      <c r="C9" s="349"/>
      <c r="D9" s="349"/>
      <c r="E9" s="349"/>
      <c r="F9" s="389"/>
    </row>
    <row r="10" spans="1:6" x14ac:dyDescent="0.25">
      <c r="A10" s="571" t="s">
        <v>44</v>
      </c>
      <c r="B10" s="572"/>
      <c r="C10" s="345" t="s">
        <v>3</v>
      </c>
      <c r="D10" s="345" t="s">
        <v>4</v>
      </c>
      <c r="E10" s="345" t="s">
        <v>392</v>
      </c>
      <c r="F10" s="381" t="s">
        <v>393</v>
      </c>
    </row>
    <row r="11" spans="1:6" x14ac:dyDescent="0.25">
      <c r="A11" s="390" t="s">
        <v>397</v>
      </c>
      <c r="B11" s="351"/>
      <c r="C11" s="345" t="s">
        <v>398</v>
      </c>
      <c r="D11" s="391">
        <v>0.09</v>
      </c>
      <c r="E11" s="392">
        <v>18500</v>
      </c>
      <c r="F11" s="386">
        <v>1665</v>
      </c>
    </row>
    <row r="12" spans="1:6" x14ac:dyDescent="0.25">
      <c r="A12" s="393" t="s">
        <v>399</v>
      </c>
      <c r="B12" s="365"/>
      <c r="C12" s="345" t="s">
        <v>25</v>
      </c>
      <c r="D12" s="353">
        <v>1</v>
      </c>
      <c r="E12" s="385">
        <v>9609.6</v>
      </c>
      <c r="F12" s="386">
        <v>9609.6</v>
      </c>
    </row>
    <row r="13" spans="1:6" x14ac:dyDescent="0.25">
      <c r="A13" s="394" t="s">
        <v>400</v>
      </c>
      <c r="B13" s="367"/>
      <c r="C13" s="345" t="s">
        <v>25</v>
      </c>
      <c r="D13" s="352">
        <v>1</v>
      </c>
      <c r="E13" s="385">
        <v>718.8</v>
      </c>
      <c r="F13" s="386">
        <v>718.8</v>
      </c>
    </row>
    <row r="14" spans="1:6" x14ac:dyDescent="0.25">
      <c r="A14" s="394" t="s">
        <v>401</v>
      </c>
      <c r="B14" s="367"/>
      <c r="C14" s="345" t="s">
        <v>25</v>
      </c>
      <c r="D14" s="352">
        <v>1</v>
      </c>
      <c r="E14" s="385">
        <v>2611.1999999999998</v>
      </c>
      <c r="F14" s="386">
        <v>2611.1999999999998</v>
      </c>
    </row>
    <row r="15" spans="1:6" x14ac:dyDescent="0.25">
      <c r="A15" s="394" t="s">
        <v>402</v>
      </c>
      <c r="B15" s="367"/>
      <c r="C15" s="345" t="s">
        <v>327</v>
      </c>
      <c r="D15" s="352">
        <v>10</v>
      </c>
      <c r="E15" s="385">
        <v>3626.4</v>
      </c>
      <c r="F15" s="386">
        <v>36264</v>
      </c>
    </row>
    <row r="16" spans="1:6" x14ac:dyDescent="0.25">
      <c r="A16" s="394" t="s">
        <v>403</v>
      </c>
      <c r="B16" s="367"/>
      <c r="C16" s="345" t="s">
        <v>25</v>
      </c>
      <c r="D16" s="352">
        <v>0.1</v>
      </c>
      <c r="E16" s="385">
        <v>24508.799999999999</v>
      </c>
      <c r="F16" s="386">
        <v>2450.88</v>
      </c>
    </row>
    <row r="17" spans="1:6" x14ac:dyDescent="0.25">
      <c r="A17" s="394" t="s">
        <v>404</v>
      </c>
      <c r="B17" s="367"/>
      <c r="C17" s="345" t="s">
        <v>25</v>
      </c>
      <c r="D17" s="352">
        <v>1</v>
      </c>
      <c r="E17" s="385">
        <v>18000</v>
      </c>
      <c r="F17" s="386">
        <v>18000</v>
      </c>
    </row>
    <row r="18" spans="1:6" x14ac:dyDescent="0.25">
      <c r="A18" s="388"/>
      <c r="B18" s="349"/>
      <c r="C18" s="349"/>
      <c r="D18" s="349"/>
      <c r="E18" s="366" t="s">
        <v>395</v>
      </c>
      <c r="F18" s="386">
        <v>71319.48</v>
      </c>
    </row>
    <row r="19" spans="1:6" x14ac:dyDescent="0.25">
      <c r="A19" s="377" t="s">
        <v>405</v>
      </c>
      <c r="B19" s="349"/>
      <c r="C19" s="349"/>
      <c r="D19" s="349"/>
      <c r="E19" s="355"/>
      <c r="F19" s="389"/>
    </row>
    <row r="20" spans="1:6" x14ac:dyDescent="0.25">
      <c r="A20" s="395" t="s">
        <v>406</v>
      </c>
      <c r="B20" s="345" t="s">
        <v>407</v>
      </c>
      <c r="C20" s="345" t="s">
        <v>225</v>
      </c>
      <c r="D20" s="345" t="s">
        <v>408</v>
      </c>
      <c r="E20" s="356" t="s">
        <v>409</v>
      </c>
      <c r="F20" s="381" t="s">
        <v>393</v>
      </c>
    </row>
    <row r="21" spans="1:6" x14ac:dyDescent="0.25">
      <c r="A21" s="396" t="s">
        <v>410</v>
      </c>
      <c r="B21" s="343" t="s">
        <v>115</v>
      </c>
      <c r="C21" s="344"/>
      <c r="D21" s="344">
        <v>0.1</v>
      </c>
      <c r="E21" s="385">
        <v>36850</v>
      </c>
      <c r="F21" s="386">
        <v>3685</v>
      </c>
    </row>
    <row r="22" spans="1:6" x14ac:dyDescent="0.25">
      <c r="A22" s="396"/>
      <c r="B22" s="343"/>
      <c r="C22" s="344"/>
      <c r="D22" s="344"/>
      <c r="E22" s="357"/>
      <c r="F22" s="386">
        <v>0</v>
      </c>
    </row>
    <row r="23" spans="1:6" x14ac:dyDescent="0.25">
      <c r="A23" s="396"/>
      <c r="B23" s="343"/>
      <c r="C23" s="344"/>
      <c r="D23" s="344"/>
      <c r="E23" s="357"/>
      <c r="F23" s="386">
        <v>0</v>
      </c>
    </row>
    <row r="24" spans="1:6" x14ac:dyDescent="0.25">
      <c r="A24" s="396"/>
      <c r="B24" s="344"/>
      <c r="C24" s="344"/>
      <c r="D24" s="344"/>
      <c r="E24" s="348"/>
      <c r="F24" s="386"/>
    </row>
    <row r="25" spans="1:6" x14ac:dyDescent="0.25">
      <c r="A25" s="388"/>
      <c r="B25" s="349"/>
      <c r="C25" s="349"/>
      <c r="D25" s="349"/>
      <c r="E25" s="354" t="s">
        <v>395</v>
      </c>
      <c r="F25" s="386">
        <v>3685</v>
      </c>
    </row>
    <row r="26" spans="1:6" x14ac:dyDescent="0.25">
      <c r="A26" s="377" t="s">
        <v>228</v>
      </c>
      <c r="B26" s="349"/>
      <c r="C26" s="349"/>
      <c r="D26" s="349"/>
      <c r="E26" s="355"/>
      <c r="F26" s="389"/>
    </row>
    <row r="27" spans="1:6" x14ac:dyDescent="0.25">
      <c r="A27" s="395" t="s">
        <v>411</v>
      </c>
      <c r="B27" s="345"/>
      <c r="C27" s="345" t="s">
        <v>3</v>
      </c>
      <c r="D27" s="345" t="s">
        <v>391</v>
      </c>
      <c r="E27" s="356" t="s">
        <v>412</v>
      </c>
      <c r="F27" s="381" t="s">
        <v>393</v>
      </c>
    </row>
    <row r="28" spans="1:6" x14ac:dyDescent="0.25">
      <c r="A28" s="397" t="s">
        <v>413</v>
      </c>
      <c r="B28" s="358"/>
      <c r="C28" s="346" t="s">
        <v>414</v>
      </c>
      <c r="D28" s="398">
        <v>0.17799999999999999</v>
      </c>
      <c r="E28" s="357">
        <v>279522</v>
      </c>
      <c r="F28" s="386">
        <v>49754.92</v>
      </c>
    </row>
    <row r="29" spans="1:6" x14ac:dyDescent="0.25">
      <c r="A29" s="397"/>
      <c r="B29" s="348"/>
      <c r="C29" s="359"/>
      <c r="D29" s="348"/>
      <c r="E29" s="357"/>
      <c r="F29" s="386"/>
    </row>
    <row r="30" spans="1:6" x14ac:dyDescent="0.25">
      <c r="A30" s="397"/>
      <c r="B30" s="348"/>
      <c r="C30" s="348"/>
      <c r="D30" s="348"/>
      <c r="E30" s="348"/>
      <c r="F30" s="386"/>
    </row>
    <row r="31" spans="1:6" x14ac:dyDescent="0.25">
      <c r="A31" s="399"/>
      <c r="B31" s="355"/>
      <c r="C31" s="355"/>
      <c r="D31" s="355"/>
      <c r="E31" s="354" t="s">
        <v>395</v>
      </c>
      <c r="F31" s="386">
        <v>49754.92</v>
      </c>
    </row>
    <row r="32" spans="1:6" ht="15.75" thickBot="1" x14ac:dyDescent="0.3">
      <c r="A32" s="400"/>
      <c r="B32" s="401"/>
      <c r="C32" s="401"/>
      <c r="D32" s="402"/>
      <c r="E32" s="402"/>
      <c r="F32" s="403"/>
    </row>
    <row r="33" spans="1:6" ht="15.75" thickBot="1" x14ac:dyDescent="0.3">
      <c r="A33" s="360"/>
      <c r="B33" s="361" t="s">
        <v>415</v>
      </c>
      <c r="C33" s="362"/>
      <c r="D33" s="363"/>
      <c r="E33" s="363"/>
      <c r="F33" s="404">
        <v>128740</v>
      </c>
    </row>
    <row r="34" spans="1:6" x14ac:dyDescent="0.25">
      <c r="A34" s="573" t="s">
        <v>17</v>
      </c>
      <c r="B34" s="574"/>
      <c r="C34" s="574"/>
      <c r="D34" s="574"/>
      <c r="E34" s="364">
        <v>0.32</v>
      </c>
      <c r="F34" s="405">
        <f>+F33*E34</f>
        <v>41196.800000000003</v>
      </c>
    </row>
    <row r="35" spans="1:6" x14ac:dyDescent="0.25">
      <c r="A35" s="575" t="s">
        <v>19</v>
      </c>
      <c r="B35" s="576"/>
      <c r="C35" s="576"/>
      <c r="D35" s="576"/>
      <c r="E35" s="406">
        <v>0.05</v>
      </c>
      <c r="F35" s="407">
        <v>6437</v>
      </c>
    </row>
    <row r="36" spans="1:6" ht="15.75" thickBot="1" x14ac:dyDescent="0.3">
      <c r="A36" s="577" t="s">
        <v>416</v>
      </c>
      <c r="B36" s="578"/>
      <c r="C36" s="578"/>
      <c r="D36" s="578"/>
      <c r="E36" s="578"/>
      <c r="F36" s="408">
        <f>+F34+F35+F33</f>
        <v>176373.8</v>
      </c>
    </row>
  </sheetData>
  <mergeCells count="5">
    <mergeCell ref="B2:F2"/>
    <mergeCell ref="A10:B10"/>
    <mergeCell ref="A34:D34"/>
    <mergeCell ref="A35:D35"/>
    <mergeCell ref="A36:E3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F020C-7FB1-4E90-B693-8DA9AEE05ECB}">
  <sheetPr codeName="Hoja22"/>
  <dimension ref="A1:H22"/>
  <sheetViews>
    <sheetView topLeftCell="A9" workbookViewId="0">
      <selection activeCell="D42" sqref="D42"/>
    </sheetView>
  </sheetViews>
  <sheetFormatPr baseColWidth="10" defaultRowHeight="15" x14ac:dyDescent="0.25"/>
  <cols>
    <col min="3" max="3" width="56.28515625" customWidth="1"/>
    <col min="6" max="6" width="12.42578125" bestFit="1" customWidth="1"/>
  </cols>
  <sheetData>
    <row r="1" spans="1:7" ht="51" x14ac:dyDescent="0.25">
      <c r="A1" s="444"/>
      <c r="B1" s="418">
        <v>5.0999999999999996</v>
      </c>
      <c r="C1" s="445" t="s">
        <v>428</v>
      </c>
      <c r="D1" s="446" t="s">
        <v>13</v>
      </c>
      <c r="E1" s="579">
        <f>+G15</f>
        <v>39615</v>
      </c>
      <c r="F1" s="579"/>
      <c r="G1" s="580"/>
    </row>
    <row r="2" spans="1:7" ht="25.5" x14ac:dyDescent="0.25">
      <c r="A2" s="447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48"/>
      <c r="B3" s="428"/>
      <c r="C3" s="449" t="s">
        <v>441</v>
      </c>
      <c r="D3" s="450"/>
      <c r="E3" s="451"/>
      <c r="F3" s="435"/>
      <c r="G3" s="452"/>
    </row>
    <row r="4" spans="1:7" x14ac:dyDescent="0.25">
      <c r="A4" s="427"/>
      <c r="B4" s="428"/>
      <c r="C4" s="434" t="s">
        <v>464</v>
      </c>
      <c r="D4" s="430" t="s">
        <v>465</v>
      </c>
      <c r="E4" s="453">
        <v>0.1</v>
      </c>
      <c r="F4" s="435">
        <v>1951</v>
      </c>
      <c r="G4" s="454">
        <f>+E4*F4</f>
        <v>195.10000000000002</v>
      </c>
    </row>
    <row r="5" spans="1:7" x14ac:dyDescent="0.25">
      <c r="A5" s="427"/>
      <c r="B5" s="428"/>
      <c r="C5" s="434" t="s">
        <v>466</v>
      </c>
      <c r="D5" s="430" t="s">
        <v>374</v>
      </c>
      <c r="E5" s="453">
        <v>1.5</v>
      </c>
      <c r="F5" s="435">
        <v>3844</v>
      </c>
      <c r="G5" s="454">
        <f t="shared" ref="G5:G6" si="0">+E5*F5</f>
        <v>5766</v>
      </c>
    </row>
    <row r="6" spans="1:7" x14ac:dyDescent="0.25">
      <c r="A6" s="427"/>
      <c r="B6" s="428"/>
      <c r="C6" s="434" t="s">
        <v>467</v>
      </c>
      <c r="D6" s="430" t="s">
        <v>375</v>
      </c>
      <c r="E6" s="453">
        <v>0.05</v>
      </c>
      <c r="F6" s="435">
        <v>149900</v>
      </c>
      <c r="G6" s="454">
        <f t="shared" si="0"/>
        <v>7495</v>
      </c>
    </row>
    <row r="7" spans="1:7" x14ac:dyDescent="0.25">
      <c r="A7" s="427"/>
      <c r="B7" s="428"/>
      <c r="C7" s="449" t="s">
        <v>468</v>
      </c>
      <c r="D7" s="455"/>
      <c r="E7" s="453"/>
      <c r="F7" s="456"/>
      <c r="G7" s="457"/>
    </row>
    <row r="8" spans="1:7" x14ac:dyDescent="0.25">
      <c r="A8" s="427"/>
      <c r="B8" s="428"/>
      <c r="C8" s="434" t="s">
        <v>362</v>
      </c>
      <c r="D8" s="430" t="s">
        <v>48</v>
      </c>
      <c r="E8" s="453">
        <v>0.55000000000000004</v>
      </c>
      <c r="F8" s="435">
        <f>4924*1.5</f>
        <v>7386</v>
      </c>
      <c r="G8" s="454">
        <f t="shared" ref="G8:G10" si="1">+E8*F8</f>
        <v>4062.3</v>
      </c>
    </row>
    <row r="9" spans="1:7" x14ac:dyDescent="0.25">
      <c r="A9" s="427"/>
      <c r="B9" s="428"/>
      <c r="C9" s="434" t="s">
        <v>376</v>
      </c>
      <c r="D9" s="430" t="s">
        <v>48</v>
      </c>
      <c r="E9" s="453">
        <v>0.55000000000000004</v>
      </c>
      <c r="F9" s="435">
        <v>2097</v>
      </c>
      <c r="G9" s="454">
        <f t="shared" si="1"/>
        <v>1153.3500000000001</v>
      </c>
    </row>
    <row r="10" spans="1:7" x14ac:dyDescent="0.25">
      <c r="A10" s="427"/>
      <c r="B10" s="428"/>
      <c r="C10" s="434" t="s">
        <v>469</v>
      </c>
      <c r="D10" s="430" t="s">
        <v>68</v>
      </c>
      <c r="E10" s="453">
        <v>8.0000000000000004E-4</v>
      </c>
      <c r="F10" s="435">
        <v>189882</v>
      </c>
      <c r="G10" s="454">
        <f t="shared" si="1"/>
        <v>151.90560000000002</v>
      </c>
    </row>
    <row r="11" spans="1:7" x14ac:dyDescent="0.25">
      <c r="A11" s="427"/>
      <c r="B11" s="428"/>
      <c r="C11" s="449" t="s">
        <v>458</v>
      </c>
      <c r="D11" s="455"/>
      <c r="E11" s="453"/>
      <c r="F11" s="456"/>
      <c r="G11" s="457"/>
    </row>
    <row r="12" spans="1:7" x14ac:dyDescent="0.25">
      <c r="A12" s="427"/>
      <c r="B12" s="428"/>
      <c r="C12" s="434" t="s">
        <v>377</v>
      </c>
      <c r="D12" s="430" t="s">
        <v>115</v>
      </c>
      <c r="E12" s="453">
        <v>0.02</v>
      </c>
      <c r="F12" s="456">
        <v>37963</v>
      </c>
      <c r="G12" s="454">
        <f>+E12*F12</f>
        <v>759.26</v>
      </c>
    </row>
    <row r="13" spans="1:7" x14ac:dyDescent="0.25">
      <c r="A13" s="448"/>
      <c r="B13" s="428"/>
      <c r="C13" s="449" t="s">
        <v>461</v>
      </c>
      <c r="D13" s="455"/>
      <c r="E13" s="453"/>
      <c r="F13" s="456"/>
      <c r="G13" s="454"/>
    </row>
    <row r="14" spans="1:7" x14ac:dyDescent="0.25">
      <c r="A14" s="427"/>
      <c r="B14" s="428"/>
      <c r="C14" s="434" t="s">
        <v>378</v>
      </c>
      <c r="D14" s="430" t="s">
        <v>48</v>
      </c>
      <c r="E14" s="453">
        <v>9.3200000000000005E-2</v>
      </c>
      <c r="F14" s="435">
        <v>214938</v>
      </c>
      <c r="G14" s="454">
        <f>+E14*F14</f>
        <v>20032.221600000001</v>
      </c>
    </row>
    <row r="15" spans="1:7" ht="15.75" thickBot="1" x14ac:dyDescent="0.3">
      <c r="A15" s="437"/>
      <c r="B15" s="438"/>
      <c r="C15" s="458"/>
      <c r="D15" s="459"/>
      <c r="E15" s="460"/>
      <c r="F15" s="461"/>
      <c r="G15" s="462">
        <f>ROUND(SUM(G3:G14),0)</f>
        <v>39615</v>
      </c>
    </row>
    <row r="17" spans="1:8" ht="15.75" thickBot="1" x14ac:dyDescent="0.3">
      <c r="A17" s="112" t="s">
        <v>234</v>
      </c>
      <c r="B17" s="112"/>
      <c r="C17" s="112"/>
      <c r="D17" s="112"/>
      <c r="E17" s="112"/>
      <c r="F17" s="113"/>
      <c r="G17" s="113"/>
      <c r="H17" s="112"/>
    </row>
    <row r="18" spans="1:8" ht="15.75" thickTop="1" x14ac:dyDescent="0.25">
      <c r="A18" s="540" t="s">
        <v>26</v>
      </c>
      <c r="B18" s="541"/>
      <c r="C18" s="542"/>
      <c r="D18" s="165" t="s">
        <v>235</v>
      </c>
      <c r="E18" s="165" t="s">
        <v>215</v>
      </c>
      <c r="F18" s="165" t="s">
        <v>216</v>
      </c>
      <c r="G18" s="184" t="s">
        <v>217</v>
      </c>
      <c r="H18" s="503"/>
    </row>
    <row r="19" spans="1:8" ht="15.75" x14ac:dyDescent="0.25">
      <c r="A19" s="534" t="s">
        <v>236</v>
      </c>
      <c r="B19" s="535"/>
      <c r="C19" s="535"/>
      <c r="D19" s="167">
        <f>+'1.1 localizacion'!$D$35</f>
        <v>0.32</v>
      </c>
      <c r="E19" s="168"/>
      <c r="F19" s="169"/>
      <c r="G19" s="185">
        <f>G15*D19</f>
        <v>12676.800000000001</v>
      </c>
      <c r="H19" s="504"/>
    </row>
    <row r="20" spans="1:8" ht="15.75" thickBot="1" x14ac:dyDescent="0.3">
      <c r="A20" s="534" t="s">
        <v>237</v>
      </c>
      <c r="B20" s="536"/>
      <c r="C20" s="536"/>
      <c r="D20" s="167">
        <v>0.05</v>
      </c>
      <c r="E20" s="171"/>
      <c r="F20" s="171"/>
      <c r="G20" s="185">
        <f>G15*D20</f>
        <v>1980.75</v>
      </c>
      <c r="H20" s="504"/>
    </row>
    <row r="21" spans="1:8" ht="16.5" thickTop="1" thickBot="1" x14ac:dyDescent="0.3">
      <c r="A21" s="496"/>
      <c r="B21" s="486"/>
      <c r="C21" s="486"/>
      <c r="D21" s="128"/>
      <c r="E21" s="129"/>
      <c r="F21" s="130"/>
      <c r="G21" s="130" t="s">
        <v>218</v>
      </c>
      <c r="H21" s="131">
        <f>+G19+G20+G15</f>
        <v>54272.55</v>
      </c>
    </row>
    <row r="22" spans="1:8" ht="15.75" thickTop="1" x14ac:dyDescent="0.25"/>
  </sheetData>
  <mergeCells count="6">
    <mergeCell ref="A21:C21"/>
    <mergeCell ref="E1:G1"/>
    <mergeCell ref="A18:C18"/>
    <mergeCell ref="H18:H20"/>
    <mergeCell ref="A19:C19"/>
    <mergeCell ref="A20:C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1AB01-D4C2-45C5-B627-708C8FE61CED}">
  <sheetPr codeName="Hoja23"/>
  <dimension ref="A1:H21"/>
  <sheetViews>
    <sheetView workbookViewId="0">
      <selection activeCell="D42" sqref="D42"/>
    </sheetView>
  </sheetViews>
  <sheetFormatPr baseColWidth="10" defaultRowHeight="15" x14ac:dyDescent="0.25"/>
  <cols>
    <col min="3" max="3" width="56.42578125" customWidth="1"/>
    <col min="6" max="6" width="12.42578125" bestFit="1" customWidth="1"/>
  </cols>
  <sheetData>
    <row r="1" spans="1:8" ht="63.75" x14ac:dyDescent="0.25">
      <c r="A1" s="417"/>
      <c r="B1" s="418">
        <v>5.2</v>
      </c>
      <c r="C1" s="419" t="s">
        <v>429</v>
      </c>
      <c r="D1" s="420" t="s">
        <v>13</v>
      </c>
      <c r="E1" s="552">
        <f>+G14</f>
        <v>30234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27" t="s">
        <v>442</v>
      </c>
      <c r="B4" s="428"/>
      <c r="C4" s="434" t="s">
        <v>443</v>
      </c>
      <c r="D4" s="430" t="s">
        <v>444</v>
      </c>
      <c r="E4" s="431">
        <v>0.1</v>
      </c>
      <c r="F4" s="435">
        <v>30900</v>
      </c>
      <c r="G4" s="433">
        <f t="shared" ref="G4:G9" si="0">+E4*F4</f>
        <v>3090</v>
      </c>
    </row>
    <row r="5" spans="1:8" ht="25.5" x14ac:dyDescent="0.25">
      <c r="A5" s="427" t="s">
        <v>445</v>
      </c>
      <c r="B5" s="428"/>
      <c r="C5" s="434" t="s">
        <v>446</v>
      </c>
      <c r="D5" s="430" t="s">
        <v>444</v>
      </c>
      <c r="E5" s="431">
        <v>0.05</v>
      </c>
      <c r="F5" s="435">
        <v>99900</v>
      </c>
      <c r="G5" s="433">
        <f t="shared" si="0"/>
        <v>4995</v>
      </c>
    </row>
    <row r="6" spans="1:8" x14ac:dyDescent="0.25">
      <c r="A6" s="427" t="s">
        <v>447</v>
      </c>
      <c r="B6" s="428"/>
      <c r="C6" s="434" t="s">
        <v>448</v>
      </c>
      <c r="D6" s="430" t="s">
        <v>444</v>
      </c>
      <c r="E6" s="431">
        <v>1.2999999999999999E-2</v>
      </c>
      <c r="F6" s="435">
        <v>115180</v>
      </c>
      <c r="G6" s="433">
        <f t="shared" si="0"/>
        <v>1497.34</v>
      </c>
    </row>
    <row r="7" spans="1:8" x14ac:dyDescent="0.25">
      <c r="A7" s="427" t="s">
        <v>449</v>
      </c>
      <c r="B7" s="428"/>
      <c r="C7" s="434" t="s">
        <v>450</v>
      </c>
      <c r="D7" s="430" t="s">
        <v>451</v>
      </c>
      <c r="E7" s="431">
        <v>0.02</v>
      </c>
      <c r="F7" s="435">
        <v>15900</v>
      </c>
      <c r="G7" s="433">
        <f t="shared" si="0"/>
        <v>318</v>
      </c>
    </row>
    <row r="8" spans="1:8" ht="25.5" x14ac:dyDescent="0.25">
      <c r="A8" s="427" t="s">
        <v>452</v>
      </c>
      <c r="B8" s="428"/>
      <c r="C8" s="434" t="s">
        <v>453</v>
      </c>
      <c r="D8" s="430" t="s">
        <v>454</v>
      </c>
      <c r="E8" s="431">
        <v>0.3</v>
      </c>
      <c r="F8" s="435">
        <v>22000</v>
      </c>
      <c r="G8" s="433">
        <f t="shared" si="0"/>
        <v>6600</v>
      </c>
    </row>
    <row r="9" spans="1:8" x14ac:dyDescent="0.25">
      <c r="A9" s="427" t="s">
        <v>455</v>
      </c>
      <c r="B9" s="428"/>
      <c r="C9" s="434" t="s">
        <v>456</v>
      </c>
      <c r="D9" s="430" t="s">
        <v>457</v>
      </c>
      <c r="E9" s="431">
        <v>7.0000000000000007E-2</v>
      </c>
      <c r="F9" s="432">
        <f>+G13</f>
        <v>11939.6</v>
      </c>
      <c r="G9" s="433">
        <f t="shared" si="0"/>
        <v>835.77200000000005</v>
      </c>
    </row>
    <row r="10" spans="1:8" x14ac:dyDescent="0.25">
      <c r="A10" s="427"/>
      <c r="B10" s="428"/>
      <c r="C10" s="429" t="s">
        <v>458</v>
      </c>
      <c r="D10" s="430"/>
      <c r="E10" s="431"/>
      <c r="F10" s="432"/>
      <c r="G10" s="433"/>
    </row>
    <row r="11" spans="1:8" x14ac:dyDescent="0.25">
      <c r="A11" s="427" t="s">
        <v>459</v>
      </c>
      <c r="B11" s="428"/>
      <c r="C11" s="434" t="s">
        <v>460</v>
      </c>
      <c r="D11" s="430" t="s">
        <v>257</v>
      </c>
      <c r="E11" s="431">
        <v>0.1</v>
      </c>
      <c r="F11" s="432">
        <f>SUM(G4:G6)</f>
        <v>9582.34</v>
      </c>
      <c r="G11" s="433">
        <f>+E11*F11</f>
        <v>958.23400000000004</v>
      </c>
    </row>
    <row r="12" spans="1:8" x14ac:dyDescent="0.25">
      <c r="A12" s="436"/>
      <c r="B12" s="428"/>
      <c r="C12" s="429" t="s">
        <v>461</v>
      </c>
      <c r="D12" s="430"/>
      <c r="E12" s="431"/>
      <c r="F12" s="432"/>
      <c r="G12" s="433"/>
    </row>
    <row r="13" spans="1:8" x14ac:dyDescent="0.25">
      <c r="A13" s="427" t="s">
        <v>462</v>
      </c>
      <c r="B13" s="428"/>
      <c r="C13" s="434" t="s">
        <v>463</v>
      </c>
      <c r="D13" s="430" t="s">
        <v>454</v>
      </c>
      <c r="E13" s="431">
        <v>0.05</v>
      </c>
      <c r="F13" s="435">
        <v>238792</v>
      </c>
      <c r="G13" s="433">
        <f>+E13*F13</f>
        <v>11939.6</v>
      </c>
    </row>
    <row r="14" spans="1:8" ht="15.75" thickBot="1" x14ac:dyDescent="0.3">
      <c r="A14" s="437"/>
      <c r="B14" s="438"/>
      <c r="C14" s="439"/>
      <c r="D14" s="440"/>
      <c r="E14" s="441"/>
      <c r="F14" s="442"/>
      <c r="G14" s="443">
        <f>ROUND(SUM(G4:G13),0)</f>
        <v>30234</v>
      </c>
    </row>
    <row r="16" spans="1:8" ht="15.75" thickBot="1" x14ac:dyDescent="0.3">
      <c r="A16" s="112" t="s">
        <v>234</v>
      </c>
      <c r="B16" s="112"/>
      <c r="C16" s="112"/>
      <c r="D16" s="112"/>
      <c r="E16" s="112"/>
      <c r="F16" s="113"/>
      <c r="G16" s="113"/>
      <c r="H16" s="112"/>
    </row>
    <row r="17" spans="1:8" ht="15.75" thickTop="1" x14ac:dyDescent="0.25">
      <c r="A17" s="540" t="s">
        <v>26</v>
      </c>
      <c r="B17" s="541"/>
      <c r="C17" s="542"/>
      <c r="D17" s="165" t="s">
        <v>235</v>
      </c>
      <c r="E17" s="165" t="s">
        <v>215</v>
      </c>
      <c r="F17" s="165" t="s">
        <v>216</v>
      </c>
      <c r="G17" s="184" t="s">
        <v>217</v>
      </c>
      <c r="H17" s="503"/>
    </row>
    <row r="18" spans="1:8" ht="15.75" x14ac:dyDescent="0.25">
      <c r="A18" s="534" t="s">
        <v>236</v>
      </c>
      <c r="B18" s="535"/>
      <c r="C18" s="535"/>
      <c r="D18" s="167">
        <f>+'1.1 localizacion'!$D$35</f>
        <v>0.32</v>
      </c>
      <c r="E18" s="168"/>
      <c r="F18" s="169"/>
      <c r="G18" s="185">
        <f>G14*D18</f>
        <v>9674.880000000001</v>
      </c>
      <c r="H18" s="504"/>
    </row>
    <row r="19" spans="1:8" ht="15.75" thickBot="1" x14ac:dyDescent="0.3">
      <c r="A19" s="534" t="s">
        <v>237</v>
      </c>
      <c r="B19" s="536"/>
      <c r="C19" s="536"/>
      <c r="D19" s="167">
        <v>0.05</v>
      </c>
      <c r="E19" s="171"/>
      <c r="F19" s="171"/>
      <c r="G19" s="185">
        <f>G14*D19</f>
        <v>1511.7</v>
      </c>
      <c r="H19" s="504"/>
    </row>
    <row r="20" spans="1:8" ht="16.5" thickTop="1" thickBot="1" x14ac:dyDescent="0.3">
      <c r="A20" s="496"/>
      <c r="B20" s="486"/>
      <c r="C20" s="486"/>
      <c r="D20" s="128"/>
      <c r="E20" s="129"/>
      <c r="F20" s="130"/>
      <c r="G20" s="130" t="s">
        <v>218</v>
      </c>
      <c r="H20" s="131">
        <f>+G18+G19+G14</f>
        <v>41420.58</v>
      </c>
    </row>
    <row r="21" spans="1:8" ht="15.75" thickTop="1" x14ac:dyDescent="0.25"/>
  </sheetData>
  <mergeCells count="6">
    <mergeCell ref="A20:C20"/>
    <mergeCell ref="E1:G1"/>
    <mergeCell ref="A17:C17"/>
    <mergeCell ref="H17:H19"/>
    <mergeCell ref="A18:C18"/>
    <mergeCell ref="A19:C1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413E7-DF24-446B-85D4-2DAF964C7F1B}">
  <sheetPr codeName="Hoja24"/>
  <dimension ref="A1:H23"/>
  <sheetViews>
    <sheetView topLeftCell="A8" workbookViewId="0">
      <selection activeCell="D42" sqref="D42"/>
    </sheetView>
  </sheetViews>
  <sheetFormatPr baseColWidth="10" defaultRowHeight="15" x14ac:dyDescent="0.25"/>
  <cols>
    <col min="3" max="3" width="56.42578125" customWidth="1"/>
    <col min="6" max="6" width="12.42578125" bestFit="1" customWidth="1"/>
  </cols>
  <sheetData>
    <row r="1" spans="1:7" ht="25.5" x14ac:dyDescent="0.25">
      <c r="A1" s="417"/>
      <c r="B1" s="418">
        <v>5.3</v>
      </c>
      <c r="C1" s="419" t="str">
        <f>+'PRESUPUESTO OFICIAL'!B30</f>
        <v>PINTURA, MANTENIMIENTO Y RESTAURACIÓN DE PUERTAS Y VENTANAS</v>
      </c>
      <c r="D1" s="420" t="str">
        <f>+'PRESUPUESTO OFICIAL'!C30</f>
        <v>M2</v>
      </c>
      <c r="E1" s="552">
        <f>+G16</f>
        <v>21489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27" t="s">
        <v>442</v>
      </c>
      <c r="B4" s="428"/>
      <c r="C4" s="434" t="s">
        <v>526</v>
      </c>
      <c r="D4" s="430" t="s">
        <v>444</v>
      </c>
      <c r="E4" s="431">
        <v>0.05</v>
      </c>
      <c r="F4" s="435">
        <v>66800</v>
      </c>
      <c r="G4" s="433">
        <f t="shared" ref="G4:G8" si="0">+E4*F4</f>
        <v>3340</v>
      </c>
    </row>
    <row r="5" spans="1:7" x14ac:dyDescent="0.25">
      <c r="A5" s="427" t="s">
        <v>445</v>
      </c>
      <c r="B5" s="428"/>
      <c r="C5" s="434" t="s">
        <v>527</v>
      </c>
      <c r="D5" s="430" t="s">
        <v>444</v>
      </c>
      <c r="E5" s="431">
        <v>0.02</v>
      </c>
      <c r="F5" s="435">
        <v>14600</v>
      </c>
      <c r="G5" s="433">
        <f t="shared" si="0"/>
        <v>292</v>
      </c>
    </row>
    <row r="6" spans="1:7" x14ac:dyDescent="0.25">
      <c r="A6" s="427" t="s">
        <v>447</v>
      </c>
      <c r="B6" s="428"/>
      <c r="C6" s="434" t="s">
        <v>528</v>
      </c>
      <c r="D6" s="430" t="s">
        <v>531</v>
      </c>
      <c r="E6" s="431">
        <v>0.5</v>
      </c>
      <c r="F6" s="435">
        <v>1650</v>
      </c>
      <c r="G6" s="433">
        <f t="shared" si="0"/>
        <v>825</v>
      </c>
    </row>
    <row r="7" spans="1:7" x14ac:dyDescent="0.25">
      <c r="A7" s="427" t="s">
        <v>449</v>
      </c>
      <c r="B7" s="428"/>
      <c r="C7" s="434" t="s">
        <v>529</v>
      </c>
      <c r="D7" s="430" t="s">
        <v>532</v>
      </c>
      <c r="E7" s="431">
        <v>0.2</v>
      </c>
      <c r="F7" s="435">
        <v>18000</v>
      </c>
      <c r="G7" s="433">
        <f t="shared" si="0"/>
        <v>3600</v>
      </c>
    </row>
    <row r="8" spans="1:7" x14ac:dyDescent="0.25">
      <c r="A8" s="427" t="s">
        <v>452</v>
      </c>
      <c r="B8" s="428"/>
      <c r="C8" s="434" t="s">
        <v>530</v>
      </c>
      <c r="D8" s="430" t="s">
        <v>533</v>
      </c>
      <c r="E8" s="431">
        <v>0.3</v>
      </c>
      <c r="F8" s="435">
        <v>1316</v>
      </c>
      <c r="G8" s="433">
        <f t="shared" si="0"/>
        <v>394.8</v>
      </c>
    </row>
    <row r="9" spans="1:7" x14ac:dyDescent="0.25">
      <c r="A9" s="427"/>
      <c r="B9" s="428"/>
      <c r="C9" s="429" t="s">
        <v>468</v>
      </c>
      <c r="D9" s="430"/>
      <c r="E9" s="431"/>
      <c r="F9" s="432"/>
      <c r="G9" s="433"/>
    </row>
    <row r="10" spans="1:7" x14ac:dyDescent="0.25">
      <c r="A10" s="427" t="s">
        <v>459</v>
      </c>
      <c r="B10" s="428"/>
      <c r="C10" s="434" t="s">
        <v>239</v>
      </c>
      <c r="D10" s="430" t="s">
        <v>534</v>
      </c>
      <c r="E10" s="466">
        <v>0.05</v>
      </c>
      <c r="F10" s="435">
        <f>+G15</f>
        <v>11939.6</v>
      </c>
      <c r="G10" s="454">
        <f>+E10*F10</f>
        <v>596.98</v>
      </c>
    </row>
    <row r="11" spans="1:7" x14ac:dyDescent="0.25">
      <c r="A11" s="427" t="s">
        <v>459</v>
      </c>
      <c r="B11" s="428"/>
      <c r="C11" s="434" t="s">
        <v>535</v>
      </c>
      <c r="D11" s="430" t="s">
        <v>454</v>
      </c>
      <c r="E11" s="453">
        <v>0.1</v>
      </c>
      <c r="F11" s="435">
        <v>5000</v>
      </c>
      <c r="G11" s="454">
        <f>+E11*F11</f>
        <v>500</v>
      </c>
    </row>
    <row r="12" spans="1:7" x14ac:dyDescent="0.25">
      <c r="A12" s="427"/>
      <c r="B12" s="428"/>
      <c r="C12" s="429" t="s">
        <v>458</v>
      </c>
      <c r="D12" s="430"/>
      <c r="E12" s="431"/>
      <c r="F12" s="432"/>
      <c r="G12" s="433"/>
    </row>
    <row r="13" spans="1:7" x14ac:dyDescent="0.25">
      <c r="A13" s="427" t="s">
        <v>459</v>
      </c>
      <c r="B13" s="428"/>
      <c r="C13" s="434" t="s">
        <v>460</v>
      </c>
      <c r="D13" s="430" t="s">
        <v>257</v>
      </c>
      <c r="E13" s="453">
        <v>2E-3</v>
      </c>
      <c r="F13" s="456">
        <f>+G8</f>
        <v>394.8</v>
      </c>
      <c r="G13" s="454">
        <f>+E13*F13</f>
        <v>0.78960000000000008</v>
      </c>
    </row>
    <row r="14" spans="1:7" x14ac:dyDescent="0.25">
      <c r="A14" s="436"/>
      <c r="B14" s="428"/>
      <c r="C14" s="429" t="s">
        <v>461</v>
      </c>
      <c r="D14" s="430"/>
      <c r="E14" s="431"/>
      <c r="F14" s="432"/>
      <c r="G14" s="433"/>
    </row>
    <row r="15" spans="1:7" x14ac:dyDescent="0.25">
      <c r="A15" s="427" t="s">
        <v>462</v>
      </c>
      <c r="B15" s="428"/>
      <c r="C15" s="434" t="s">
        <v>463</v>
      </c>
      <c r="D15" s="430" t="s">
        <v>454</v>
      </c>
      <c r="E15" s="453">
        <f>1/20</f>
        <v>0.05</v>
      </c>
      <c r="F15" s="434">
        <v>238792</v>
      </c>
      <c r="G15" s="433">
        <f>+E15*F15</f>
        <v>11939.6</v>
      </c>
    </row>
    <row r="16" spans="1:7" ht="15.75" thickBot="1" x14ac:dyDescent="0.3">
      <c r="A16" s="437"/>
      <c r="B16" s="438"/>
      <c r="C16" s="439"/>
      <c r="D16" s="440"/>
      <c r="E16" s="441"/>
      <c r="F16" s="442"/>
      <c r="G16" s="443">
        <f>ROUND(SUM(G4:G15),0)</f>
        <v>21489</v>
      </c>
    </row>
    <row r="18" spans="1:8" ht="15.75" thickBot="1" x14ac:dyDescent="0.3">
      <c r="A18" s="112" t="s">
        <v>234</v>
      </c>
      <c r="B18" s="112"/>
      <c r="C18" s="112"/>
      <c r="D18" s="112"/>
      <c r="E18" s="112"/>
      <c r="F18" s="113"/>
      <c r="G18" s="113"/>
      <c r="H18" s="112"/>
    </row>
    <row r="19" spans="1:8" ht="15.75" thickTop="1" x14ac:dyDescent="0.25">
      <c r="A19" s="540" t="s">
        <v>26</v>
      </c>
      <c r="B19" s="541"/>
      <c r="C19" s="542"/>
      <c r="D19" s="165" t="s">
        <v>235</v>
      </c>
      <c r="E19" s="165" t="s">
        <v>215</v>
      </c>
      <c r="F19" s="165" t="s">
        <v>216</v>
      </c>
      <c r="G19" s="184" t="s">
        <v>217</v>
      </c>
      <c r="H19" s="503"/>
    </row>
    <row r="20" spans="1:8" ht="15.75" x14ac:dyDescent="0.25">
      <c r="A20" s="534" t="s">
        <v>236</v>
      </c>
      <c r="B20" s="535"/>
      <c r="C20" s="535"/>
      <c r="D20" s="167">
        <f>+'1.1 localizacion'!$D$35</f>
        <v>0.32</v>
      </c>
      <c r="E20" s="168"/>
      <c r="F20" s="169"/>
      <c r="G20" s="185">
        <f>G16*D20</f>
        <v>6876.4800000000005</v>
      </c>
      <c r="H20" s="504"/>
    </row>
    <row r="21" spans="1:8" ht="15.75" thickBot="1" x14ac:dyDescent="0.3">
      <c r="A21" s="534" t="s">
        <v>237</v>
      </c>
      <c r="B21" s="536"/>
      <c r="C21" s="536"/>
      <c r="D21" s="167">
        <v>0.05</v>
      </c>
      <c r="E21" s="171"/>
      <c r="F21" s="171"/>
      <c r="G21" s="185">
        <f>G16*D21</f>
        <v>1074.45</v>
      </c>
      <c r="H21" s="504"/>
    </row>
    <row r="22" spans="1:8" ht="16.5" thickTop="1" thickBot="1" x14ac:dyDescent="0.3">
      <c r="A22" s="496"/>
      <c r="B22" s="486"/>
      <c r="C22" s="486"/>
      <c r="D22" s="128"/>
      <c r="E22" s="129"/>
      <c r="F22" s="130"/>
      <c r="G22" s="130" t="s">
        <v>218</v>
      </c>
      <c r="H22" s="131">
        <f>+G20+G21+G16</f>
        <v>29439.93</v>
      </c>
    </row>
    <row r="23" spans="1:8" ht="15.75" thickTop="1" x14ac:dyDescent="0.25"/>
  </sheetData>
  <mergeCells count="6">
    <mergeCell ref="A22:C22"/>
    <mergeCell ref="E1:G1"/>
    <mergeCell ref="A19:C19"/>
    <mergeCell ref="H19:H21"/>
    <mergeCell ref="A20:C20"/>
    <mergeCell ref="A21:C2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66858-460E-4F5F-832F-57220FF1A8AB}">
  <sheetPr codeName="Hoja25"/>
  <dimension ref="A1:H24"/>
  <sheetViews>
    <sheetView topLeftCell="A10" workbookViewId="0">
      <selection activeCell="D42" sqref="D42"/>
    </sheetView>
  </sheetViews>
  <sheetFormatPr baseColWidth="10" defaultRowHeight="15" x14ac:dyDescent="0.25"/>
  <cols>
    <col min="3" max="3" width="56.42578125" customWidth="1"/>
    <col min="6" max="7" width="12.42578125" bestFit="1" customWidth="1"/>
  </cols>
  <sheetData>
    <row r="1" spans="1:7" ht="38.25" x14ac:dyDescent="0.25">
      <c r="A1" s="417"/>
      <c r="B1" s="418">
        <v>5.4</v>
      </c>
      <c r="C1" s="419" t="str">
        <f>+'PRESUPUESTO OFICIAL'!B31</f>
        <v>LIMPIEZA, RESTAURACIÓN Y PINTURA DE MARCOS METÁLICOS DE VENTANALES, INCLUYE PREPARACIÓN DE SUPERFICIES, TRATAMIENTO ANTICORROSIVO Y ACABADO FINAL.</v>
      </c>
      <c r="D1" s="420" t="str">
        <f>+'PRESUPUESTO OFICIAL'!C31</f>
        <v>M2</v>
      </c>
      <c r="E1" s="552">
        <f>+G17</f>
        <v>101599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27" t="s">
        <v>442</v>
      </c>
      <c r="B4" s="428"/>
      <c r="C4" s="434" t="s">
        <v>575</v>
      </c>
      <c r="D4" s="430" t="s">
        <v>72</v>
      </c>
      <c r="E4" s="431">
        <v>1</v>
      </c>
      <c r="F4" s="435">
        <v>18676</v>
      </c>
      <c r="G4" s="433">
        <f t="shared" ref="G4:G6" si="0">+E4*F4</f>
        <v>18676</v>
      </c>
    </row>
    <row r="5" spans="1:7" x14ac:dyDescent="0.25">
      <c r="A5" s="427" t="s">
        <v>445</v>
      </c>
      <c r="B5" s="428"/>
      <c r="C5" s="434" t="s">
        <v>572</v>
      </c>
      <c r="D5" s="430" t="s">
        <v>72</v>
      </c>
      <c r="E5" s="431">
        <v>1</v>
      </c>
      <c r="F5" s="435">
        <v>5285</v>
      </c>
      <c r="G5" s="433">
        <f t="shared" si="0"/>
        <v>5285</v>
      </c>
    </row>
    <row r="6" spans="1:7" x14ac:dyDescent="0.25">
      <c r="A6" s="427" t="s">
        <v>447</v>
      </c>
      <c r="B6" s="428"/>
      <c r="C6" s="434" t="s">
        <v>573</v>
      </c>
      <c r="D6" s="430" t="s">
        <v>531</v>
      </c>
      <c r="E6" s="431">
        <v>1</v>
      </c>
      <c r="F6" s="435">
        <v>2600</v>
      </c>
      <c r="G6" s="433">
        <f t="shared" si="0"/>
        <v>2600</v>
      </c>
    </row>
    <row r="7" spans="1:7" x14ac:dyDescent="0.25">
      <c r="A7" s="427"/>
      <c r="B7" s="428"/>
      <c r="C7" s="434"/>
      <c r="D7" s="430"/>
      <c r="E7" s="431"/>
      <c r="F7" s="435"/>
      <c r="G7" s="433"/>
    </row>
    <row r="8" spans="1:7" x14ac:dyDescent="0.25">
      <c r="A8" s="427"/>
      <c r="B8" s="428"/>
      <c r="C8" s="434"/>
      <c r="D8" s="430"/>
      <c r="E8" s="431"/>
      <c r="F8" s="435"/>
      <c r="G8" s="433"/>
    </row>
    <row r="9" spans="1:7" x14ac:dyDescent="0.25">
      <c r="A9" s="427"/>
      <c r="B9" s="428"/>
      <c r="C9" s="429" t="s">
        <v>468</v>
      </c>
      <c r="D9" s="430"/>
      <c r="E9" s="431"/>
      <c r="F9" s="432"/>
      <c r="G9" s="433"/>
    </row>
    <row r="10" spans="1:7" x14ac:dyDescent="0.25">
      <c r="A10" s="427" t="s">
        <v>459</v>
      </c>
      <c r="B10" s="428"/>
      <c r="C10" s="434" t="s">
        <v>576</v>
      </c>
      <c r="D10" s="430" t="s">
        <v>574</v>
      </c>
      <c r="E10" s="453">
        <v>1</v>
      </c>
      <c r="F10" s="435">
        <v>820</v>
      </c>
      <c r="G10" s="454">
        <f>+E10*F10</f>
        <v>820</v>
      </c>
    </row>
    <row r="11" spans="1:7" x14ac:dyDescent="0.25">
      <c r="A11" s="427" t="s">
        <v>459</v>
      </c>
      <c r="B11" s="428"/>
      <c r="C11" s="434" t="s">
        <v>577</v>
      </c>
      <c r="D11" s="430" t="s">
        <v>574</v>
      </c>
      <c r="E11" s="453">
        <v>1.01</v>
      </c>
      <c r="F11" s="435">
        <v>1741</v>
      </c>
      <c r="G11" s="454">
        <f>+E11*F11</f>
        <v>1758.41</v>
      </c>
    </row>
    <row r="12" spans="1:7" x14ac:dyDescent="0.25">
      <c r="A12" s="427" t="s">
        <v>459</v>
      </c>
      <c r="B12" s="428"/>
      <c r="C12" s="434" t="s">
        <v>578</v>
      </c>
      <c r="D12" s="430" t="s">
        <v>574</v>
      </c>
      <c r="E12" s="453">
        <v>1</v>
      </c>
      <c r="F12" s="435">
        <v>6875</v>
      </c>
      <c r="G12" s="454">
        <f>+E12*F12</f>
        <v>6875</v>
      </c>
    </row>
    <row r="13" spans="1:7" x14ac:dyDescent="0.25">
      <c r="A13" s="427"/>
      <c r="B13" s="428"/>
      <c r="C13" s="429" t="s">
        <v>458</v>
      </c>
      <c r="D13" s="430"/>
      <c r="E13" s="431"/>
      <c r="F13" s="432"/>
      <c r="G13" s="433"/>
    </row>
    <row r="14" spans="1:7" x14ac:dyDescent="0.25">
      <c r="A14" s="427" t="s">
        <v>459</v>
      </c>
      <c r="B14" s="428"/>
      <c r="C14" s="434" t="s">
        <v>579</v>
      </c>
      <c r="D14" s="430" t="s">
        <v>257</v>
      </c>
      <c r="E14" s="453">
        <v>0.1</v>
      </c>
      <c r="F14" s="456">
        <v>24130</v>
      </c>
      <c r="G14" s="454">
        <f>+E14*F14</f>
        <v>2413</v>
      </c>
    </row>
    <row r="15" spans="1:7" x14ac:dyDescent="0.25">
      <c r="A15" s="436"/>
      <c r="B15" s="428"/>
      <c r="C15" s="429" t="s">
        <v>461</v>
      </c>
      <c r="D15" s="430"/>
      <c r="E15" s="431"/>
      <c r="F15" s="432"/>
      <c r="G15" s="433"/>
    </row>
    <row r="16" spans="1:7" x14ac:dyDescent="0.25">
      <c r="A16" s="427" t="s">
        <v>462</v>
      </c>
      <c r="B16" s="428"/>
      <c r="C16" s="434" t="s">
        <v>554</v>
      </c>
      <c r="D16" s="430" t="s">
        <v>454</v>
      </c>
      <c r="E16" s="453">
        <v>0.15</v>
      </c>
      <c r="F16" s="435">
        <v>421142</v>
      </c>
      <c r="G16" s="454">
        <f>+E16*F16</f>
        <v>63171.299999999996</v>
      </c>
    </row>
    <row r="17" spans="1:8" ht="15.75" thickBot="1" x14ac:dyDescent="0.3">
      <c r="A17" s="437"/>
      <c r="B17" s="438"/>
      <c r="C17" s="439"/>
      <c r="D17" s="440"/>
      <c r="E17" s="441"/>
      <c r="F17" s="442"/>
      <c r="G17" s="443">
        <f>ROUND(SUM(G4:G16),0)</f>
        <v>101599</v>
      </c>
    </row>
    <row r="19" spans="1:8" ht="15.75" thickBot="1" x14ac:dyDescent="0.3">
      <c r="A19" s="112" t="s">
        <v>234</v>
      </c>
      <c r="B19" s="112"/>
      <c r="C19" s="112"/>
      <c r="D19" s="112"/>
      <c r="E19" s="112"/>
      <c r="F19" s="113"/>
      <c r="G19" s="113"/>
      <c r="H19" s="112"/>
    </row>
    <row r="20" spans="1:8" ht="15.75" thickTop="1" x14ac:dyDescent="0.25">
      <c r="A20" s="540" t="s">
        <v>26</v>
      </c>
      <c r="B20" s="541"/>
      <c r="C20" s="542"/>
      <c r="D20" s="165" t="s">
        <v>235</v>
      </c>
      <c r="E20" s="165" t="s">
        <v>215</v>
      </c>
      <c r="F20" s="165" t="s">
        <v>216</v>
      </c>
      <c r="G20" s="184" t="s">
        <v>217</v>
      </c>
      <c r="H20" s="503"/>
    </row>
    <row r="21" spans="1:8" ht="15.75" x14ac:dyDescent="0.25">
      <c r="A21" s="534" t="s">
        <v>236</v>
      </c>
      <c r="B21" s="535"/>
      <c r="C21" s="535"/>
      <c r="D21" s="167">
        <f>+'1.1 localizacion'!$D$35</f>
        <v>0.32</v>
      </c>
      <c r="E21" s="168"/>
      <c r="F21" s="169"/>
      <c r="G21" s="185">
        <f>G17*D21</f>
        <v>32511.68</v>
      </c>
      <c r="H21" s="504"/>
    </row>
    <row r="22" spans="1:8" ht="15.75" thickBot="1" x14ac:dyDescent="0.3">
      <c r="A22" s="534" t="s">
        <v>237</v>
      </c>
      <c r="B22" s="536"/>
      <c r="C22" s="536"/>
      <c r="D22" s="167">
        <v>0.05</v>
      </c>
      <c r="E22" s="171"/>
      <c r="F22" s="171"/>
      <c r="G22" s="185">
        <f>G17*D22</f>
        <v>5079.9500000000007</v>
      </c>
      <c r="H22" s="504"/>
    </row>
    <row r="23" spans="1:8" ht="16.5" thickTop="1" thickBot="1" x14ac:dyDescent="0.3">
      <c r="A23" s="496"/>
      <c r="B23" s="486"/>
      <c r="C23" s="486"/>
      <c r="D23" s="128"/>
      <c r="E23" s="129"/>
      <c r="F23" s="130"/>
      <c r="G23" s="130" t="s">
        <v>218</v>
      </c>
      <c r="H23" s="131">
        <f>+G21+G22+G17</f>
        <v>139190.63</v>
      </c>
    </row>
    <row r="24" spans="1:8" ht="15.75" thickTop="1" x14ac:dyDescent="0.25"/>
  </sheetData>
  <mergeCells count="6">
    <mergeCell ref="A23:C23"/>
    <mergeCell ref="E1:G1"/>
    <mergeCell ref="A20:C20"/>
    <mergeCell ref="H20:H22"/>
    <mergeCell ref="A21:C21"/>
    <mergeCell ref="A22:C2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255A5-4F8D-478A-A6AA-8ABC558A3486}">
  <sheetPr codeName="Hoja26"/>
  <dimension ref="A1:H24"/>
  <sheetViews>
    <sheetView topLeftCell="A11" workbookViewId="0">
      <selection activeCell="D42" sqref="D42"/>
    </sheetView>
  </sheetViews>
  <sheetFormatPr baseColWidth="10" defaultRowHeight="15" x14ac:dyDescent="0.25"/>
  <cols>
    <col min="3" max="3" width="56.42578125" customWidth="1"/>
    <col min="6" max="7" width="12.42578125" bestFit="1" customWidth="1"/>
  </cols>
  <sheetData>
    <row r="1" spans="1:7" ht="25.5" x14ac:dyDescent="0.25">
      <c r="A1" s="417"/>
      <c r="B1" s="418">
        <v>6.1</v>
      </c>
      <c r="C1" s="419" t="s">
        <v>472</v>
      </c>
      <c r="D1" s="420" t="s">
        <v>82</v>
      </c>
      <c r="E1" s="552">
        <f>+G17</f>
        <v>840398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64" t="s">
        <v>478</v>
      </c>
      <c r="B4" s="428"/>
      <c r="C4" s="434" t="s">
        <v>473</v>
      </c>
      <c r="D4" s="430" t="s">
        <v>444</v>
      </c>
      <c r="E4" s="431">
        <v>1.03</v>
      </c>
      <c r="F4" s="435">
        <v>719176</v>
      </c>
      <c r="G4" s="433">
        <f t="shared" ref="G4:G9" si="0">+E4*F4</f>
        <v>740751.28</v>
      </c>
    </row>
    <row r="5" spans="1:7" x14ac:dyDescent="0.25">
      <c r="A5" s="464" t="s">
        <v>479</v>
      </c>
      <c r="B5" s="428"/>
      <c r="C5" s="434" t="s">
        <v>474</v>
      </c>
      <c r="D5" s="430" t="s">
        <v>444</v>
      </c>
      <c r="E5" s="431">
        <v>1</v>
      </c>
      <c r="F5" s="435">
        <v>17507</v>
      </c>
      <c r="G5" s="433">
        <f t="shared" si="0"/>
        <v>17507</v>
      </c>
    </row>
    <row r="6" spans="1:7" x14ac:dyDescent="0.25">
      <c r="A6" s="464" t="s">
        <v>455</v>
      </c>
      <c r="B6" s="428"/>
      <c r="C6" s="434" t="s">
        <v>456</v>
      </c>
      <c r="D6" s="430" t="s">
        <v>444</v>
      </c>
      <c r="E6" s="431">
        <v>0.04</v>
      </c>
      <c r="F6" s="435">
        <f>+G16</f>
        <v>30174.600000000002</v>
      </c>
      <c r="G6" s="433">
        <f t="shared" si="0"/>
        <v>1206.9840000000002</v>
      </c>
    </row>
    <row r="7" spans="1:7" x14ac:dyDescent="0.25">
      <c r="A7" s="464" t="s">
        <v>480</v>
      </c>
      <c r="B7" s="428"/>
      <c r="C7" s="434" t="s">
        <v>475</v>
      </c>
      <c r="D7" s="430" t="s">
        <v>451</v>
      </c>
      <c r="E7" s="431">
        <v>0.03</v>
      </c>
      <c r="F7" s="435">
        <v>4924</v>
      </c>
      <c r="G7" s="433">
        <f t="shared" si="0"/>
        <v>147.72</v>
      </c>
    </row>
    <row r="8" spans="1:7" x14ac:dyDescent="0.25">
      <c r="A8" s="464" t="s">
        <v>481</v>
      </c>
      <c r="B8" s="428"/>
      <c r="C8" s="434" t="s">
        <v>476</v>
      </c>
      <c r="D8" s="430" t="s">
        <v>454</v>
      </c>
      <c r="E8" s="431">
        <v>1</v>
      </c>
      <c r="F8" s="435">
        <f>+'BASE DE DATOS'!D37</f>
        <v>6076</v>
      </c>
      <c r="G8" s="433">
        <f t="shared" si="0"/>
        <v>6076</v>
      </c>
    </row>
    <row r="9" spans="1:7" x14ac:dyDescent="0.25">
      <c r="A9" s="464" t="s">
        <v>482</v>
      </c>
      <c r="B9" s="428"/>
      <c r="C9" s="434" t="s">
        <v>477</v>
      </c>
      <c r="D9" s="430" t="s">
        <v>457</v>
      </c>
      <c r="E9" s="431">
        <v>0.33</v>
      </c>
      <c r="F9" s="435">
        <f>+'BASE DE DATOS'!D66</f>
        <v>24600</v>
      </c>
      <c r="G9" s="433">
        <f t="shared" si="0"/>
        <v>8118</v>
      </c>
    </row>
    <row r="10" spans="1:7" x14ac:dyDescent="0.25">
      <c r="A10" s="427"/>
      <c r="B10" s="428"/>
      <c r="C10" s="429" t="s">
        <v>468</v>
      </c>
      <c r="D10" s="430"/>
      <c r="E10" s="431"/>
      <c r="F10" s="432"/>
      <c r="G10" s="433"/>
    </row>
    <row r="11" spans="1:7" x14ac:dyDescent="0.25">
      <c r="A11" s="464" t="s">
        <v>483</v>
      </c>
      <c r="B11" s="428"/>
      <c r="C11" s="434" t="s">
        <v>484</v>
      </c>
      <c r="D11" s="430" t="s">
        <v>48</v>
      </c>
      <c r="E11" s="453">
        <v>0.5</v>
      </c>
      <c r="F11" s="432">
        <f>+'BASE DE DATOS'!E116</f>
        <v>67264</v>
      </c>
      <c r="G11" s="433">
        <f>+E11*F11</f>
        <v>33632</v>
      </c>
    </row>
    <row r="12" spans="1:7" x14ac:dyDescent="0.25">
      <c r="A12" s="427"/>
      <c r="B12" s="428"/>
      <c r="C12" s="429" t="s">
        <v>458</v>
      </c>
      <c r="D12" s="430"/>
      <c r="E12" s="431"/>
      <c r="F12" s="432"/>
      <c r="G12" s="433"/>
    </row>
    <row r="13" spans="1:7" x14ac:dyDescent="0.25">
      <c r="A13" s="464" t="s">
        <v>485</v>
      </c>
      <c r="B13" s="428"/>
      <c r="C13" s="434" t="s">
        <v>460</v>
      </c>
      <c r="D13" s="430" t="s">
        <v>257</v>
      </c>
      <c r="E13" s="453">
        <v>3.0000000000000001E-3</v>
      </c>
      <c r="F13" s="432">
        <f>SUM(G4:G9)</f>
        <v>773806.98400000005</v>
      </c>
      <c r="G13" s="433">
        <f>+E13*F13</f>
        <v>2321.4209520000004</v>
      </c>
    </row>
    <row r="14" spans="1:7" x14ac:dyDescent="0.25">
      <c r="A14" s="464" t="s">
        <v>486</v>
      </c>
      <c r="B14" s="428"/>
      <c r="C14" s="434" t="s">
        <v>487</v>
      </c>
      <c r="D14" s="430" t="s">
        <v>355</v>
      </c>
      <c r="E14" s="453">
        <v>8.0000000000000002E-3</v>
      </c>
      <c r="F14" s="432">
        <v>57864</v>
      </c>
      <c r="G14" s="433">
        <f>+E14*F14</f>
        <v>462.91200000000003</v>
      </c>
    </row>
    <row r="15" spans="1:7" x14ac:dyDescent="0.25">
      <c r="A15" s="436"/>
      <c r="B15" s="428"/>
      <c r="C15" s="429" t="s">
        <v>461</v>
      </c>
      <c r="D15" s="430"/>
      <c r="E15" s="431"/>
      <c r="F15" s="432"/>
      <c r="G15" s="433"/>
    </row>
    <row r="16" spans="1:7" x14ac:dyDescent="0.25">
      <c r="A16" s="427" t="s">
        <v>462</v>
      </c>
      <c r="B16" s="428"/>
      <c r="C16" s="434" t="s">
        <v>488</v>
      </c>
      <c r="D16" s="430" t="s">
        <v>454</v>
      </c>
      <c r="E16" s="431">
        <v>0.05</v>
      </c>
      <c r="F16" s="435">
        <v>603492</v>
      </c>
      <c r="G16" s="433">
        <f>+E16*F16</f>
        <v>30174.600000000002</v>
      </c>
    </row>
    <row r="17" spans="1:8" ht="15.75" thickBot="1" x14ac:dyDescent="0.3">
      <c r="A17" s="437"/>
      <c r="B17" s="438"/>
      <c r="C17" s="439"/>
      <c r="D17" s="440"/>
      <c r="E17" s="441"/>
      <c r="F17" s="442"/>
      <c r="G17" s="443">
        <f>ROUND(SUM(G4:G16),0)</f>
        <v>840398</v>
      </c>
    </row>
    <row r="19" spans="1:8" ht="15.75" thickBot="1" x14ac:dyDescent="0.3">
      <c r="A19" s="112" t="s">
        <v>234</v>
      </c>
      <c r="B19" s="112"/>
      <c r="C19" s="112"/>
      <c r="D19" s="112"/>
      <c r="E19" s="112"/>
      <c r="F19" s="113"/>
      <c r="G19" s="113"/>
      <c r="H19" s="112"/>
    </row>
    <row r="20" spans="1:8" ht="15.75" thickTop="1" x14ac:dyDescent="0.25">
      <c r="A20" s="540" t="s">
        <v>26</v>
      </c>
      <c r="B20" s="541"/>
      <c r="C20" s="542"/>
      <c r="D20" s="165" t="s">
        <v>235</v>
      </c>
      <c r="E20" s="165" t="s">
        <v>215</v>
      </c>
      <c r="F20" s="165" t="s">
        <v>216</v>
      </c>
      <c r="G20" s="184" t="s">
        <v>217</v>
      </c>
      <c r="H20" s="503"/>
    </row>
    <row r="21" spans="1:8" ht="15.75" x14ac:dyDescent="0.25">
      <c r="A21" s="534" t="s">
        <v>236</v>
      </c>
      <c r="B21" s="535"/>
      <c r="C21" s="535"/>
      <c r="D21" s="167">
        <f>+'1.1 localizacion'!$D$35</f>
        <v>0.32</v>
      </c>
      <c r="E21" s="168"/>
      <c r="F21" s="169"/>
      <c r="G21" s="185">
        <f>G17*D21</f>
        <v>268927.35999999999</v>
      </c>
      <c r="H21" s="504"/>
    </row>
    <row r="22" spans="1:8" ht="15.75" thickBot="1" x14ac:dyDescent="0.3">
      <c r="A22" s="534" t="s">
        <v>237</v>
      </c>
      <c r="B22" s="536"/>
      <c r="C22" s="536"/>
      <c r="D22" s="167">
        <v>0.05</v>
      </c>
      <c r="E22" s="171"/>
      <c r="F22" s="171"/>
      <c r="G22" s="185">
        <f>G17*D22</f>
        <v>42019.9</v>
      </c>
      <c r="H22" s="504"/>
    </row>
    <row r="23" spans="1:8" ht="16.5" thickTop="1" thickBot="1" x14ac:dyDescent="0.3">
      <c r="A23" s="496"/>
      <c r="B23" s="486"/>
      <c r="C23" s="486"/>
      <c r="D23" s="128"/>
      <c r="E23" s="129"/>
      <c r="F23" s="130"/>
      <c r="G23" s="130" t="s">
        <v>218</v>
      </c>
      <c r="H23" s="131">
        <f>+G21+G22+G17</f>
        <v>1151345.26</v>
      </c>
    </row>
    <row r="24" spans="1:8" ht="15.75" thickTop="1" x14ac:dyDescent="0.25"/>
  </sheetData>
  <mergeCells count="6">
    <mergeCell ref="A23:C23"/>
    <mergeCell ref="E1:G1"/>
    <mergeCell ref="A20:C20"/>
    <mergeCell ref="H20:H22"/>
    <mergeCell ref="A21:C21"/>
    <mergeCell ref="A22:C2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B7D2A-5CE8-45EE-9F8A-39E1CBB174CB}">
  <sheetPr codeName="Hoja27"/>
  <dimension ref="A1:H20"/>
  <sheetViews>
    <sheetView workbookViewId="0">
      <selection activeCell="D42" sqref="D42"/>
    </sheetView>
  </sheetViews>
  <sheetFormatPr baseColWidth="10" defaultRowHeight="15" x14ac:dyDescent="0.25"/>
  <cols>
    <col min="3" max="3" width="56.42578125" customWidth="1"/>
    <col min="6" max="7" width="12.42578125" bestFit="1" customWidth="1"/>
  </cols>
  <sheetData>
    <row r="1" spans="1:8" ht="51" x14ac:dyDescent="0.25">
      <c r="A1" s="417"/>
      <c r="B1" s="418">
        <v>6.4</v>
      </c>
      <c r="C1" s="419" t="str">
        <f>+'PRESUPUESTO OFICIAL'!B37</f>
        <v>SUMINISTRO, TRANSPORTE E INSTALACIÓN DE CINTA-ANTIDESLIZANTE COLOR NEGRA 48MM, PARA PISOS, ESCALAS, RAMPAS Y ACCESOS INCLUYE ( TODOS LOS ACCESORIOS PARA SU CORRECTA INSTALACION,SEGÚN DISEÑO)</v>
      </c>
      <c r="D1" s="420" t="str">
        <f>+'PRESUPUESTO OFICIAL'!C37</f>
        <v>M2</v>
      </c>
      <c r="E1" s="552">
        <f>+G13</f>
        <v>20703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478</v>
      </c>
      <c r="B4" s="428"/>
      <c r="C4" s="434" t="s">
        <v>492</v>
      </c>
      <c r="D4" s="430" t="s">
        <v>493</v>
      </c>
      <c r="E4" s="431">
        <v>1</v>
      </c>
      <c r="F4" s="435">
        <v>9923</v>
      </c>
      <c r="G4" s="433">
        <f t="shared" ref="G4" si="0">+E4*F4</f>
        <v>9923</v>
      </c>
    </row>
    <row r="5" spans="1:8" x14ac:dyDescent="0.25">
      <c r="A5" s="464" t="s">
        <v>479</v>
      </c>
      <c r="B5" s="428"/>
      <c r="C5" s="434" t="s">
        <v>239</v>
      </c>
      <c r="D5" s="430" t="s">
        <v>257</v>
      </c>
      <c r="E5" s="465">
        <v>0.05</v>
      </c>
      <c r="F5" s="435">
        <v>17507</v>
      </c>
      <c r="G5" s="433">
        <f>+E5*F5</f>
        <v>875.35</v>
      </c>
    </row>
    <row r="6" spans="1:8" x14ac:dyDescent="0.25">
      <c r="A6" s="427"/>
      <c r="B6" s="428"/>
      <c r="C6" s="429" t="s">
        <v>468</v>
      </c>
      <c r="D6" s="430"/>
      <c r="E6" s="431"/>
      <c r="F6" s="432"/>
      <c r="G6" s="433"/>
    </row>
    <row r="7" spans="1:8" x14ac:dyDescent="0.25">
      <c r="A7" s="464"/>
      <c r="B7" s="428"/>
      <c r="C7" s="434"/>
      <c r="D7" s="430"/>
      <c r="E7" s="453"/>
      <c r="F7" s="432"/>
      <c r="G7" s="433"/>
    </row>
    <row r="8" spans="1:8" x14ac:dyDescent="0.25">
      <c r="A8" s="427"/>
      <c r="B8" s="428"/>
      <c r="C8" s="429" t="s">
        <v>458</v>
      </c>
      <c r="D8" s="430"/>
      <c r="E8" s="431"/>
      <c r="F8" s="432"/>
      <c r="G8" s="433"/>
    </row>
    <row r="9" spans="1:8" x14ac:dyDescent="0.25">
      <c r="A9" s="464" t="s">
        <v>485</v>
      </c>
      <c r="B9" s="428"/>
      <c r="C9" s="434" t="s">
        <v>460</v>
      </c>
      <c r="D9" s="430" t="s">
        <v>257</v>
      </c>
      <c r="E9" s="466">
        <v>0.01</v>
      </c>
      <c r="F9" s="432">
        <v>180217</v>
      </c>
      <c r="G9" s="433">
        <f>+E9*F9</f>
        <v>1802.17</v>
      </c>
    </row>
    <row r="10" spans="1:8" ht="25.5" x14ac:dyDescent="0.25">
      <c r="A10" s="464" t="s">
        <v>486</v>
      </c>
      <c r="B10" s="428"/>
      <c r="C10" s="434" t="s">
        <v>494</v>
      </c>
      <c r="D10" s="467" t="s">
        <v>357</v>
      </c>
      <c r="E10" s="453">
        <v>0.32500000000000001</v>
      </c>
      <c r="F10" s="432">
        <v>1824</v>
      </c>
      <c r="G10" s="433">
        <f>+E10*F10</f>
        <v>592.80000000000007</v>
      </c>
    </row>
    <row r="11" spans="1:8" x14ac:dyDescent="0.25">
      <c r="A11" s="436"/>
      <c r="B11" s="428"/>
      <c r="C11" s="429" t="s">
        <v>461</v>
      </c>
      <c r="D11" s="430"/>
      <c r="E11" s="431"/>
      <c r="F11" s="432"/>
      <c r="G11" s="433"/>
    </row>
    <row r="12" spans="1:8" x14ac:dyDescent="0.25">
      <c r="A12" s="427" t="s">
        <v>462</v>
      </c>
      <c r="B12" s="428"/>
      <c r="C12" s="434" t="str">
        <f>+'ANALISIS M.O'!B40</f>
        <v>Cuadrilla E 1 Of + 1 Ay (jornal + prestaciones)</v>
      </c>
      <c r="D12" s="430" t="s">
        <v>495</v>
      </c>
      <c r="E12" s="431">
        <v>0.22</v>
      </c>
      <c r="F12" s="435">
        <v>34134</v>
      </c>
      <c r="G12" s="433">
        <f>+E12*F12</f>
        <v>7509.4800000000005</v>
      </c>
    </row>
    <row r="13" spans="1:8" ht="15.75" thickBot="1" x14ac:dyDescent="0.3">
      <c r="A13" s="437"/>
      <c r="B13" s="438"/>
      <c r="C13" s="439"/>
      <c r="D13" s="440"/>
      <c r="E13" s="441"/>
      <c r="F13" s="442"/>
      <c r="G13" s="443">
        <f>ROUND(SUM(G4:G12),0)</f>
        <v>20703</v>
      </c>
    </row>
    <row r="15" spans="1:8" ht="15.75" thickBot="1" x14ac:dyDescent="0.3">
      <c r="A15" s="112" t="s">
        <v>234</v>
      </c>
      <c r="B15" s="112"/>
      <c r="C15" s="112"/>
      <c r="D15" s="112"/>
      <c r="E15" s="112"/>
      <c r="F15" s="113"/>
      <c r="G15" s="113"/>
      <c r="H15" s="112"/>
    </row>
    <row r="16" spans="1:8" ht="15.75" thickTop="1" x14ac:dyDescent="0.25">
      <c r="A16" s="540" t="s">
        <v>26</v>
      </c>
      <c r="B16" s="541"/>
      <c r="C16" s="542"/>
      <c r="D16" s="165" t="s">
        <v>235</v>
      </c>
      <c r="E16" s="165" t="s">
        <v>215</v>
      </c>
      <c r="F16" s="165" t="s">
        <v>216</v>
      </c>
      <c r="G16" s="184" t="s">
        <v>217</v>
      </c>
      <c r="H16" s="503"/>
    </row>
    <row r="17" spans="1:8" ht="15.75" x14ac:dyDescent="0.25">
      <c r="A17" s="534" t="s">
        <v>236</v>
      </c>
      <c r="B17" s="535"/>
      <c r="C17" s="535"/>
      <c r="D17" s="167">
        <f>+'1.1 localizacion'!$D$35</f>
        <v>0.32</v>
      </c>
      <c r="E17" s="168"/>
      <c r="F17" s="169"/>
      <c r="G17" s="185">
        <f>G13*D17</f>
        <v>6624.96</v>
      </c>
      <c r="H17" s="504"/>
    </row>
    <row r="18" spans="1:8" ht="15.75" thickBot="1" x14ac:dyDescent="0.3">
      <c r="A18" s="534" t="s">
        <v>237</v>
      </c>
      <c r="B18" s="536"/>
      <c r="C18" s="536"/>
      <c r="D18" s="167">
        <v>0.05</v>
      </c>
      <c r="E18" s="171"/>
      <c r="F18" s="171"/>
      <c r="G18" s="185">
        <f>G13*D18</f>
        <v>1035.1500000000001</v>
      </c>
      <c r="H18" s="504"/>
    </row>
    <row r="19" spans="1:8" ht="16.5" thickTop="1" thickBot="1" x14ac:dyDescent="0.3">
      <c r="A19" s="496"/>
      <c r="B19" s="486"/>
      <c r="C19" s="486"/>
      <c r="D19" s="128"/>
      <c r="E19" s="129"/>
      <c r="F19" s="130"/>
      <c r="G19" s="130" t="s">
        <v>218</v>
      </c>
      <c r="H19" s="131">
        <f>+G17+G18+G13</f>
        <v>28363.11</v>
      </c>
    </row>
    <row r="20" spans="1:8" ht="15.75" thickTop="1" x14ac:dyDescent="0.25"/>
  </sheetData>
  <mergeCells count="6">
    <mergeCell ref="A19:C19"/>
    <mergeCell ref="E1:G1"/>
    <mergeCell ref="A16:C16"/>
    <mergeCell ref="H16:H18"/>
    <mergeCell ref="A17:C17"/>
    <mergeCell ref="A18:C1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1807-0B84-418C-8CDB-84F87B0F8905}">
  <dimension ref="A1:H21"/>
  <sheetViews>
    <sheetView topLeftCell="B8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ht="25.5" x14ac:dyDescent="0.25">
      <c r="A1" s="417"/>
      <c r="B1" s="418">
        <v>6.4</v>
      </c>
      <c r="C1" s="419" t="s">
        <v>628</v>
      </c>
      <c r="D1" s="420" t="s">
        <v>13</v>
      </c>
      <c r="E1" s="552">
        <f>+G14</f>
        <v>160966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478</v>
      </c>
      <c r="B4" s="428"/>
      <c r="C4" s="434" t="s">
        <v>629</v>
      </c>
      <c r="D4" s="430" t="s">
        <v>14</v>
      </c>
      <c r="E4" s="431">
        <v>2.5</v>
      </c>
      <c r="F4" s="435">
        <v>42781</v>
      </c>
      <c r="G4" s="433">
        <f t="shared" ref="G4" si="0">+E4*F4</f>
        <v>106952.5</v>
      </c>
    </row>
    <row r="5" spans="1:8" x14ac:dyDescent="0.25">
      <c r="A5" s="464" t="s">
        <v>479</v>
      </c>
      <c r="B5" s="428"/>
      <c r="C5" s="434" t="s">
        <v>630</v>
      </c>
      <c r="D5" s="430" t="s">
        <v>15</v>
      </c>
      <c r="E5" s="468">
        <v>2.5</v>
      </c>
      <c r="F5" s="435">
        <v>11412</v>
      </c>
      <c r="G5" s="433">
        <f>+E5*F5</f>
        <v>28530</v>
      </c>
    </row>
    <row r="6" spans="1:8" x14ac:dyDescent="0.25">
      <c r="A6" s="464" t="s">
        <v>479</v>
      </c>
      <c r="B6" s="428"/>
      <c r="C6" s="434"/>
      <c r="D6" s="430"/>
      <c r="E6" s="468"/>
      <c r="F6" s="435"/>
      <c r="G6" s="433">
        <f>+E6*F6</f>
        <v>0</v>
      </c>
    </row>
    <row r="7" spans="1:8" x14ac:dyDescent="0.25">
      <c r="A7" s="427"/>
      <c r="B7" s="428"/>
      <c r="C7" s="429" t="s">
        <v>468</v>
      </c>
      <c r="D7" s="430"/>
      <c r="E7" s="431"/>
      <c r="F7" s="432"/>
      <c r="G7" s="433"/>
    </row>
    <row r="8" spans="1:8" x14ac:dyDescent="0.25">
      <c r="A8" s="464"/>
      <c r="B8" s="428"/>
      <c r="C8" s="434" t="s">
        <v>239</v>
      </c>
      <c r="D8" s="430" t="s">
        <v>257</v>
      </c>
      <c r="E8" s="466">
        <v>0.05</v>
      </c>
      <c r="F8" s="432">
        <f>+G13</f>
        <v>20479.14</v>
      </c>
      <c r="G8" s="433">
        <f>+E8*F8</f>
        <v>1023.957</v>
      </c>
    </row>
    <row r="9" spans="1:8" x14ac:dyDescent="0.25">
      <c r="A9" s="427"/>
      <c r="B9" s="428"/>
      <c r="C9" s="429" t="s">
        <v>458</v>
      </c>
      <c r="D9" s="430"/>
      <c r="E9" s="431"/>
      <c r="F9" s="432"/>
      <c r="G9" s="433"/>
    </row>
    <row r="10" spans="1:8" x14ac:dyDescent="0.25">
      <c r="A10" s="464" t="s">
        <v>485</v>
      </c>
      <c r="B10" s="428"/>
      <c r="C10" s="434" t="s">
        <v>501</v>
      </c>
      <c r="D10" s="430" t="s">
        <v>257</v>
      </c>
      <c r="E10" s="466">
        <v>1.4999999999999999E-2</v>
      </c>
      <c r="F10" s="432">
        <v>180217</v>
      </c>
      <c r="G10" s="433">
        <f>+E10*F10</f>
        <v>2703.2550000000001</v>
      </c>
    </row>
    <row r="11" spans="1:8" ht="25.5" x14ac:dyDescent="0.25">
      <c r="A11" s="464" t="s">
        <v>486</v>
      </c>
      <c r="B11" s="428"/>
      <c r="C11" s="434" t="s">
        <v>494</v>
      </c>
      <c r="D11" s="467" t="s">
        <v>357</v>
      </c>
      <c r="E11" s="453">
        <v>0.7</v>
      </c>
      <c r="F11" s="432">
        <v>1824</v>
      </c>
      <c r="G11" s="433">
        <f>+E11*F11</f>
        <v>1276.8</v>
      </c>
    </row>
    <row r="12" spans="1:8" x14ac:dyDescent="0.25">
      <c r="A12" s="436"/>
      <c r="B12" s="428"/>
      <c r="C12" s="429" t="s">
        <v>461</v>
      </c>
      <c r="D12" s="430"/>
      <c r="E12" s="431"/>
      <c r="F12" s="432"/>
      <c r="G12" s="433"/>
    </row>
    <row r="13" spans="1:8" x14ac:dyDescent="0.25">
      <c r="A13" s="427" t="s">
        <v>462</v>
      </c>
      <c r="B13" s="428"/>
      <c r="C13" s="434" t="s">
        <v>502</v>
      </c>
      <c r="D13" s="430" t="s">
        <v>495</v>
      </c>
      <c r="E13" s="431">
        <v>0.66</v>
      </c>
      <c r="F13" s="435">
        <v>31029</v>
      </c>
      <c r="G13" s="433">
        <f>+E13*F13</f>
        <v>20479.14</v>
      </c>
    </row>
    <row r="14" spans="1:8" ht="15.75" thickBot="1" x14ac:dyDescent="0.3">
      <c r="A14" s="437"/>
      <c r="B14" s="438"/>
      <c r="C14" s="439"/>
      <c r="D14" s="440"/>
      <c r="E14" s="441"/>
      <c r="F14" s="442"/>
      <c r="G14" s="443">
        <f>ROUND(SUM(G4:G13),0)</f>
        <v>160966</v>
      </c>
    </row>
    <row r="16" spans="1:8" ht="15.75" thickBot="1" x14ac:dyDescent="0.3">
      <c r="A16" s="112" t="s">
        <v>234</v>
      </c>
      <c r="B16" s="112"/>
      <c r="C16" s="112"/>
      <c r="D16" s="112"/>
      <c r="E16" s="112"/>
      <c r="F16" s="113"/>
      <c r="G16" s="113"/>
      <c r="H16" s="112"/>
    </row>
    <row r="17" spans="1:8" ht="15.75" thickTop="1" x14ac:dyDescent="0.25">
      <c r="A17" s="540" t="s">
        <v>26</v>
      </c>
      <c r="B17" s="541"/>
      <c r="C17" s="542"/>
      <c r="D17" s="165" t="s">
        <v>235</v>
      </c>
      <c r="E17" s="165" t="s">
        <v>215</v>
      </c>
      <c r="F17" s="165" t="s">
        <v>216</v>
      </c>
      <c r="G17" s="184" t="s">
        <v>217</v>
      </c>
      <c r="H17" s="503"/>
    </row>
    <row r="18" spans="1:8" ht="15.75" x14ac:dyDescent="0.25">
      <c r="A18" s="534" t="s">
        <v>236</v>
      </c>
      <c r="B18" s="535"/>
      <c r="C18" s="535"/>
      <c r="D18" s="167">
        <f>+'1.1 localizacion'!$D$35</f>
        <v>0.32</v>
      </c>
      <c r="E18" s="168"/>
      <c r="F18" s="169"/>
      <c r="G18" s="185">
        <f>G14*D18</f>
        <v>51509.120000000003</v>
      </c>
      <c r="H18" s="504"/>
    </row>
    <row r="19" spans="1:8" ht="15.75" thickBot="1" x14ac:dyDescent="0.3">
      <c r="A19" s="534" t="s">
        <v>237</v>
      </c>
      <c r="B19" s="536"/>
      <c r="C19" s="536"/>
      <c r="D19" s="167">
        <v>0.05</v>
      </c>
      <c r="E19" s="171"/>
      <c r="F19" s="171"/>
      <c r="G19" s="185">
        <f>G14*D19</f>
        <v>8048.3</v>
      </c>
      <c r="H19" s="504"/>
    </row>
    <row r="20" spans="1:8" ht="16.5" thickTop="1" thickBot="1" x14ac:dyDescent="0.3">
      <c r="A20" s="496"/>
      <c r="B20" s="486"/>
      <c r="C20" s="486"/>
      <c r="D20" s="128"/>
      <c r="E20" s="129"/>
      <c r="F20" s="130"/>
      <c r="G20" s="130" t="s">
        <v>218</v>
      </c>
      <c r="H20" s="131">
        <f>+G18+G19+G14</f>
        <v>220523.42</v>
      </c>
    </row>
    <row r="21" spans="1:8" ht="15.75" thickTop="1" x14ac:dyDescent="0.25"/>
  </sheetData>
  <mergeCells count="6">
    <mergeCell ref="A20:C20"/>
    <mergeCell ref="E1:G1"/>
    <mergeCell ref="A17:C17"/>
    <mergeCell ref="H17:H19"/>
    <mergeCell ref="A18:C18"/>
    <mergeCell ref="A19:C1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964AD-BB73-484B-82E4-CC0D85F75FD4}">
  <sheetPr codeName="Hoja28"/>
  <dimension ref="A1:H22"/>
  <sheetViews>
    <sheetView topLeftCell="B1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7" ht="25.5" x14ac:dyDescent="0.25">
      <c r="A1" s="417"/>
      <c r="B1" s="418">
        <v>6.4</v>
      </c>
      <c r="C1" s="419" t="s">
        <v>496</v>
      </c>
      <c r="D1" s="420" t="s">
        <v>13</v>
      </c>
      <c r="E1" s="552">
        <f>+G15</f>
        <v>90886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ht="25.5" x14ac:dyDescent="0.25">
      <c r="A4" s="464" t="s">
        <v>478</v>
      </c>
      <c r="B4" s="428"/>
      <c r="C4" s="434" t="s">
        <v>497</v>
      </c>
      <c r="D4" s="430" t="s">
        <v>13</v>
      </c>
      <c r="E4" s="431">
        <v>1.1000000000000001</v>
      </c>
      <c r="F4" s="435">
        <v>4327</v>
      </c>
      <c r="G4" s="433">
        <f t="shared" ref="G4" si="0">+E4*F4</f>
        <v>4759.7000000000007</v>
      </c>
    </row>
    <row r="5" spans="1:7" x14ac:dyDescent="0.25">
      <c r="A5" s="464" t="s">
        <v>479</v>
      </c>
      <c r="B5" s="428"/>
      <c r="C5" s="434" t="s">
        <v>498</v>
      </c>
      <c r="D5" s="430" t="s">
        <v>327</v>
      </c>
      <c r="E5" s="468">
        <v>0.44</v>
      </c>
      <c r="F5" s="435">
        <f>2478*1.05</f>
        <v>2601.9</v>
      </c>
      <c r="G5" s="433">
        <f>+E5*F5</f>
        <v>1144.836</v>
      </c>
    </row>
    <row r="6" spans="1:7" x14ac:dyDescent="0.25">
      <c r="A6" s="464" t="s">
        <v>479</v>
      </c>
      <c r="B6" s="428"/>
      <c r="C6" s="434" t="s">
        <v>499</v>
      </c>
      <c r="D6" s="430" t="s">
        <v>13</v>
      </c>
      <c r="E6" s="468">
        <v>1.05</v>
      </c>
      <c r="F6" s="435">
        <v>64762</v>
      </c>
      <c r="G6" s="433">
        <f>+E6*F6</f>
        <v>68000.100000000006</v>
      </c>
    </row>
    <row r="7" spans="1:7" ht="25.5" x14ac:dyDescent="0.25">
      <c r="A7" s="464" t="s">
        <v>479</v>
      </c>
      <c r="B7" s="428"/>
      <c r="C7" s="434" t="s">
        <v>500</v>
      </c>
      <c r="D7" s="430" t="s">
        <v>14</v>
      </c>
      <c r="E7" s="468">
        <v>0.05</v>
      </c>
      <c r="F7" s="435">
        <f>12307*1.1</f>
        <v>13537.7</v>
      </c>
      <c r="G7" s="433">
        <f>+E7*F7</f>
        <v>676.8850000000001</v>
      </c>
    </row>
    <row r="8" spans="1:7" x14ac:dyDescent="0.25">
      <c r="A8" s="427"/>
      <c r="B8" s="428"/>
      <c r="C8" s="429" t="s">
        <v>468</v>
      </c>
      <c r="D8" s="430"/>
      <c r="E8" s="431"/>
      <c r="F8" s="432"/>
      <c r="G8" s="433"/>
    </row>
    <row r="9" spans="1:7" x14ac:dyDescent="0.25">
      <c r="A9" s="464"/>
      <c r="B9" s="428"/>
      <c r="C9" s="434" t="s">
        <v>239</v>
      </c>
      <c r="D9" s="430" t="s">
        <v>257</v>
      </c>
      <c r="E9" s="466">
        <v>0.05</v>
      </c>
      <c r="F9" s="432">
        <f>+G14</f>
        <v>13247.04</v>
      </c>
      <c r="G9" s="433">
        <f>+E9*F9</f>
        <v>662.35200000000009</v>
      </c>
    </row>
    <row r="10" spans="1:7" x14ac:dyDescent="0.25">
      <c r="A10" s="427"/>
      <c r="B10" s="428"/>
      <c r="C10" s="429" t="s">
        <v>458</v>
      </c>
      <c r="D10" s="430"/>
      <c r="E10" s="431"/>
      <c r="F10" s="432"/>
      <c r="G10" s="433"/>
    </row>
    <row r="11" spans="1:7" x14ac:dyDescent="0.25">
      <c r="A11" s="464" t="s">
        <v>485</v>
      </c>
      <c r="B11" s="428"/>
      <c r="C11" s="434" t="s">
        <v>501</v>
      </c>
      <c r="D11" s="430" t="s">
        <v>257</v>
      </c>
      <c r="E11" s="466">
        <v>0.01</v>
      </c>
      <c r="F11" s="432">
        <v>180217</v>
      </c>
      <c r="G11" s="433">
        <f>+E11*F11</f>
        <v>1802.17</v>
      </c>
    </row>
    <row r="12" spans="1:7" ht="25.5" x14ac:dyDescent="0.25">
      <c r="A12" s="464" t="s">
        <v>486</v>
      </c>
      <c r="B12" s="428"/>
      <c r="C12" s="434" t="s">
        <v>494</v>
      </c>
      <c r="D12" s="467" t="s">
        <v>357</v>
      </c>
      <c r="E12" s="453">
        <v>0.32500000000000001</v>
      </c>
      <c r="F12" s="432">
        <v>1824</v>
      </c>
      <c r="G12" s="433">
        <f>+E12*F12</f>
        <v>592.80000000000007</v>
      </c>
    </row>
    <row r="13" spans="1:7" x14ac:dyDescent="0.25">
      <c r="A13" s="436"/>
      <c r="B13" s="428"/>
      <c r="C13" s="429" t="s">
        <v>461</v>
      </c>
      <c r="D13" s="430"/>
      <c r="E13" s="431"/>
      <c r="F13" s="432"/>
      <c r="G13" s="433"/>
    </row>
    <row r="14" spans="1:7" x14ac:dyDescent="0.25">
      <c r="A14" s="427" t="s">
        <v>462</v>
      </c>
      <c r="B14" s="428"/>
      <c r="C14" s="434" t="s">
        <v>502</v>
      </c>
      <c r="D14" s="430" t="s">
        <v>495</v>
      </c>
      <c r="E14" s="431">
        <f>0.107+0.085</f>
        <v>0.192</v>
      </c>
      <c r="F14" s="435">
        <f>39475+29520</f>
        <v>68995</v>
      </c>
      <c r="G14" s="433">
        <f>+E14*F14</f>
        <v>13247.04</v>
      </c>
    </row>
    <row r="15" spans="1:7" ht="15.75" thickBot="1" x14ac:dyDescent="0.3">
      <c r="A15" s="437"/>
      <c r="B15" s="438"/>
      <c r="C15" s="439"/>
      <c r="D15" s="440"/>
      <c r="E15" s="441"/>
      <c r="F15" s="442"/>
      <c r="G15" s="443">
        <f>ROUND(SUM(G4:G14),0)</f>
        <v>90886</v>
      </c>
    </row>
    <row r="17" spans="1:8" ht="15.75" thickBot="1" x14ac:dyDescent="0.3">
      <c r="A17" s="112" t="s">
        <v>234</v>
      </c>
      <c r="B17" s="112"/>
      <c r="C17" s="112"/>
      <c r="D17" s="112"/>
      <c r="E17" s="112"/>
      <c r="F17" s="113"/>
      <c r="G17" s="113"/>
      <c r="H17" s="112"/>
    </row>
    <row r="18" spans="1:8" ht="15.75" thickTop="1" x14ac:dyDescent="0.25">
      <c r="A18" s="540" t="s">
        <v>26</v>
      </c>
      <c r="B18" s="541"/>
      <c r="C18" s="542"/>
      <c r="D18" s="165" t="s">
        <v>235</v>
      </c>
      <c r="E18" s="165" t="s">
        <v>215</v>
      </c>
      <c r="F18" s="165" t="s">
        <v>216</v>
      </c>
      <c r="G18" s="184" t="s">
        <v>217</v>
      </c>
      <c r="H18" s="503"/>
    </row>
    <row r="19" spans="1:8" ht="15.75" x14ac:dyDescent="0.25">
      <c r="A19" s="534" t="s">
        <v>236</v>
      </c>
      <c r="B19" s="535"/>
      <c r="C19" s="535"/>
      <c r="D19" s="167">
        <f>+'1.1 localizacion'!$D$35</f>
        <v>0.32</v>
      </c>
      <c r="E19" s="168"/>
      <c r="F19" s="169"/>
      <c r="G19" s="185">
        <f>G15*D19</f>
        <v>29083.52</v>
      </c>
      <c r="H19" s="504"/>
    </row>
    <row r="20" spans="1:8" ht="15.75" thickBot="1" x14ac:dyDescent="0.3">
      <c r="A20" s="534" t="s">
        <v>237</v>
      </c>
      <c r="B20" s="536"/>
      <c r="C20" s="536"/>
      <c r="D20" s="167">
        <v>0.05</v>
      </c>
      <c r="E20" s="171"/>
      <c r="F20" s="171"/>
      <c r="G20" s="185">
        <f>G15*D20</f>
        <v>4544.3</v>
      </c>
      <c r="H20" s="504"/>
    </row>
    <row r="21" spans="1:8" ht="16.5" thickTop="1" thickBot="1" x14ac:dyDescent="0.3">
      <c r="A21" s="496"/>
      <c r="B21" s="486"/>
      <c r="C21" s="486"/>
      <c r="D21" s="128"/>
      <c r="E21" s="129"/>
      <c r="F21" s="130"/>
      <c r="G21" s="130" t="s">
        <v>218</v>
      </c>
      <c r="H21" s="131">
        <f>+G19+G20+G15</f>
        <v>124513.82</v>
      </c>
    </row>
    <row r="22" spans="1:8" ht="15.75" thickTop="1" x14ac:dyDescent="0.25"/>
  </sheetData>
  <mergeCells count="6">
    <mergeCell ref="A21:C21"/>
    <mergeCell ref="E1:G1"/>
    <mergeCell ref="A18:C18"/>
    <mergeCell ref="H18:H20"/>
    <mergeCell ref="A19:C19"/>
    <mergeCell ref="A20:C2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785A8-8A04-4E77-98FD-F7E56C6B3D9C}">
  <sheetPr codeName="Hoja29"/>
  <dimension ref="A1:H25"/>
  <sheetViews>
    <sheetView topLeftCell="B1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7" ht="63.75" x14ac:dyDescent="0.25">
      <c r="A1" s="417"/>
      <c r="B1" s="418">
        <v>6.6</v>
      </c>
      <c r="C1" s="419" t="str">
        <f>+'PRESUPUESTO OFICIAL'!B39</f>
        <v>SUMINISTRO, TRANSPORTE E INSTALACIÓN DE ESCALERA DE ACCESO TIPO CHANUL, INCLUYE ESTRUCTURA METÁLICA DE SOPORTE, ACABADO CON LACA SELLADORA, ELEMENTOS DE FIJACIÓN Y DEMÁS ACCESORIOS REQUERIDOS PARA SU CORRECTA INSTALACIÓN Y FUNCIONAMIENTO.</v>
      </c>
      <c r="D1" s="420" t="str">
        <f>+'PRESUPUESTO OFICIAL'!C37</f>
        <v>M2</v>
      </c>
      <c r="E1" s="552">
        <f>+G18</f>
        <v>349346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64" t="s">
        <v>478</v>
      </c>
      <c r="B4" s="428"/>
      <c r="C4" s="434" t="s">
        <v>504</v>
      </c>
      <c r="D4" s="430" t="s">
        <v>291</v>
      </c>
      <c r="E4" s="431">
        <v>0.15</v>
      </c>
      <c r="F4" s="435">
        <v>332651</v>
      </c>
      <c r="G4" s="433">
        <f t="shared" ref="G4" si="0">+E4*F4</f>
        <v>49897.65</v>
      </c>
    </row>
    <row r="5" spans="1:7" x14ac:dyDescent="0.25">
      <c r="A5" s="464" t="s">
        <v>479</v>
      </c>
      <c r="B5" s="428"/>
      <c r="C5" s="434" t="s">
        <v>505</v>
      </c>
      <c r="D5" s="430" t="s">
        <v>14</v>
      </c>
      <c r="E5" s="468">
        <v>1</v>
      </c>
      <c r="F5" s="435">
        <v>10424</v>
      </c>
      <c r="G5" s="433">
        <f>+E5*F5</f>
        <v>10424</v>
      </c>
    </row>
    <row r="6" spans="1:7" x14ac:dyDescent="0.25">
      <c r="A6" s="464" t="s">
        <v>479</v>
      </c>
      <c r="B6" s="428"/>
      <c r="C6" s="434" t="s">
        <v>506</v>
      </c>
      <c r="D6" s="430" t="s">
        <v>327</v>
      </c>
      <c r="E6" s="468">
        <v>1</v>
      </c>
      <c r="F6" s="435">
        <v>85575</v>
      </c>
      <c r="G6" s="433">
        <f>+E6*F6</f>
        <v>85575</v>
      </c>
    </row>
    <row r="7" spans="1:7" x14ac:dyDescent="0.25">
      <c r="A7" s="464" t="s">
        <v>479</v>
      </c>
      <c r="B7" s="428"/>
      <c r="C7" s="434" t="s">
        <v>507</v>
      </c>
      <c r="D7" s="430" t="s">
        <v>327</v>
      </c>
      <c r="E7" s="468">
        <v>1</v>
      </c>
      <c r="F7" s="435">
        <v>118035</v>
      </c>
      <c r="G7" s="433">
        <f>+E7*F7</f>
        <v>118035</v>
      </c>
    </row>
    <row r="8" spans="1:7" x14ac:dyDescent="0.25">
      <c r="A8" s="464" t="s">
        <v>479</v>
      </c>
      <c r="B8" s="428"/>
      <c r="C8" s="434" t="s">
        <v>508</v>
      </c>
      <c r="D8" s="430" t="s">
        <v>14</v>
      </c>
      <c r="E8" s="468">
        <v>4</v>
      </c>
      <c r="F8" s="435">
        <v>600</v>
      </c>
      <c r="G8" s="433">
        <f>+E8*F8</f>
        <v>2400</v>
      </c>
    </row>
    <row r="9" spans="1:7" x14ac:dyDescent="0.25">
      <c r="A9" s="464" t="s">
        <v>479</v>
      </c>
      <c r="B9" s="428"/>
      <c r="C9" s="434" t="s">
        <v>509</v>
      </c>
      <c r="D9" s="430" t="s">
        <v>14</v>
      </c>
      <c r="E9" s="468">
        <v>0.1</v>
      </c>
      <c r="F9" s="435">
        <v>76674</v>
      </c>
      <c r="G9" s="433">
        <f>+E9*F9</f>
        <v>7667.4000000000005</v>
      </c>
    </row>
    <row r="10" spans="1:7" x14ac:dyDescent="0.25">
      <c r="A10" s="427"/>
      <c r="B10" s="428"/>
      <c r="C10" s="429" t="s">
        <v>468</v>
      </c>
      <c r="D10" s="430"/>
      <c r="E10" s="431"/>
      <c r="F10" s="432"/>
      <c r="G10" s="433"/>
    </row>
    <row r="11" spans="1:7" x14ac:dyDescent="0.25">
      <c r="A11" s="464"/>
      <c r="B11" s="428"/>
      <c r="C11" s="434" t="s">
        <v>239</v>
      </c>
      <c r="D11" s="430" t="s">
        <v>257</v>
      </c>
      <c r="E11" s="466">
        <v>0.05</v>
      </c>
      <c r="F11" s="432">
        <f>+G16</f>
        <v>0</v>
      </c>
      <c r="G11" s="433">
        <f>+E11*F11</f>
        <v>0</v>
      </c>
    </row>
    <row r="12" spans="1:7" x14ac:dyDescent="0.25">
      <c r="A12" s="464"/>
      <c r="B12" s="428"/>
      <c r="C12" s="434" t="s">
        <v>510</v>
      </c>
      <c r="D12" s="430" t="s">
        <v>355</v>
      </c>
      <c r="E12" s="469">
        <v>0.1</v>
      </c>
      <c r="F12" s="432">
        <v>60624</v>
      </c>
      <c r="G12" s="433">
        <f>+E12*F12</f>
        <v>6062.4000000000005</v>
      </c>
    </row>
    <row r="13" spans="1:7" x14ac:dyDescent="0.25">
      <c r="A13" s="427"/>
      <c r="B13" s="428"/>
      <c r="C13" s="429" t="s">
        <v>458</v>
      </c>
      <c r="D13" s="430"/>
      <c r="E13" s="431"/>
      <c r="F13" s="432"/>
      <c r="G13" s="433"/>
    </row>
    <row r="14" spans="1:7" x14ac:dyDescent="0.25">
      <c r="A14" s="464" t="s">
        <v>485</v>
      </c>
      <c r="B14" s="428"/>
      <c r="C14" s="434" t="s">
        <v>501</v>
      </c>
      <c r="D14" s="430" t="s">
        <v>257</v>
      </c>
      <c r="E14" s="466">
        <v>0.01</v>
      </c>
      <c r="F14" s="432">
        <v>180217</v>
      </c>
      <c r="G14" s="433">
        <f>+E14*F14</f>
        <v>1802.17</v>
      </c>
    </row>
    <row r="15" spans="1:7" ht="25.5" x14ac:dyDescent="0.25">
      <c r="A15" s="464" t="s">
        <v>486</v>
      </c>
      <c r="B15" s="428"/>
      <c r="C15" s="434" t="s">
        <v>494</v>
      </c>
      <c r="D15" s="467" t="s">
        <v>357</v>
      </c>
      <c r="E15" s="453">
        <v>0.32500000000000001</v>
      </c>
      <c r="F15" s="432">
        <v>1824</v>
      </c>
      <c r="G15" s="433">
        <f>+E15*F15</f>
        <v>592.80000000000007</v>
      </c>
    </row>
    <row r="16" spans="1:7" x14ac:dyDescent="0.25">
      <c r="A16" s="436"/>
      <c r="B16" s="428"/>
      <c r="C16" s="429" t="s">
        <v>461</v>
      </c>
      <c r="D16" s="430"/>
      <c r="E16" s="431"/>
      <c r="F16" s="432"/>
      <c r="G16" s="433"/>
    </row>
    <row r="17" spans="1:8" x14ac:dyDescent="0.25">
      <c r="A17" s="427" t="s">
        <v>462</v>
      </c>
      <c r="B17" s="428"/>
      <c r="C17" s="434" t="s">
        <v>511</v>
      </c>
      <c r="D17" s="430" t="s">
        <v>495</v>
      </c>
      <c r="E17" s="431">
        <v>2</v>
      </c>
      <c r="F17" s="435">
        <v>33445</v>
      </c>
      <c r="G17" s="433">
        <f>+E17*F17</f>
        <v>66890</v>
      </c>
    </row>
    <row r="18" spans="1:8" ht="15.75" thickBot="1" x14ac:dyDescent="0.3">
      <c r="A18" s="437"/>
      <c r="B18" s="438"/>
      <c r="C18" s="439"/>
      <c r="D18" s="440"/>
      <c r="E18" s="441"/>
      <c r="F18" s="442"/>
      <c r="G18" s="443">
        <f>ROUND(SUM(G4:G17),0)</f>
        <v>349346</v>
      </c>
    </row>
    <row r="20" spans="1:8" ht="15.75" thickBot="1" x14ac:dyDescent="0.3">
      <c r="A20" s="112" t="s">
        <v>234</v>
      </c>
      <c r="B20" s="112"/>
      <c r="C20" s="112"/>
      <c r="D20" s="112"/>
      <c r="E20" s="112"/>
      <c r="F20" s="113"/>
      <c r="G20" s="113"/>
      <c r="H20" s="112"/>
    </row>
    <row r="21" spans="1:8" ht="15.75" thickTop="1" x14ac:dyDescent="0.25">
      <c r="A21" s="540" t="s">
        <v>26</v>
      </c>
      <c r="B21" s="541"/>
      <c r="C21" s="542"/>
      <c r="D21" s="165" t="s">
        <v>235</v>
      </c>
      <c r="E21" s="165" t="s">
        <v>215</v>
      </c>
      <c r="F21" s="165" t="s">
        <v>216</v>
      </c>
      <c r="G21" s="184" t="s">
        <v>217</v>
      </c>
      <c r="H21" s="503"/>
    </row>
    <row r="22" spans="1:8" ht="15.75" x14ac:dyDescent="0.25">
      <c r="A22" s="534" t="s">
        <v>236</v>
      </c>
      <c r="B22" s="535"/>
      <c r="C22" s="535"/>
      <c r="D22" s="167">
        <f>+'1.1 localizacion'!$D$35</f>
        <v>0.32</v>
      </c>
      <c r="E22" s="168"/>
      <c r="F22" s="169"/>
      <c r="G22" s="185">
        <f>G18*D22</f>
        <v>111790.72</v>
      </c>
      <c r="H22" s="504"/>
    </row>
    <row r="23" spans="1:8" ht="15.75" thickBot="1" x14ac:dyDescent="0.3">
      <c r="A23" s="534" t="s">
        <v>237</v>
      </c>
      <c r="B23" s="536"/>
      <c r="C23" s="536"/>
      <c r="D23" s="167">
        <v>0.05</v>
      </c>
      <c r="E23" s="171"/>
      <c r="F23" s="171"/>
      <c r="G23" s="185">
        <f>G18*D23</f>
        <v>17467.3</v>
      </c>
      <c r="H23" s="504"/>
    </row>
    <row r="24" spans="1:8" ht="16.5" thickTop="1" thickBot="1" x14ac:dyDescent="0.3">
      <c r="A24" s="496"/>
      <c r="B24" s="486"/>
      <c r="C24" s="486"/>
      <c r="D24" s="128"/>
      <c r="E24" s="129"/>
      <c r="F24" s="130"/>
      <c r="G24" s="130" t="s">
        <v>218</v>
      </c>
      <c r="H24" s="131">
        <f>+G22+G23+G18</f>
        <v>478604.02</v>
      </c>
    </row>
    <row r="25" spans="1:8" ht="15.75" thickTop="1" x14ac:dyDescent="0.25"/>
  </sheetData>
  <mergeCells count="6">
    <mergeCell ref="A24:C24"/>
    <mergeCell ref="E1:G1"/>
    <mergeCell ref="A21:C21"/>
    <mergeCell ref="H21:H23"/>
    <mergeCell ref="A22:C22"/>
    <mergeCell ref="A23:C2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976CC-DABA-47EB-8189-A3E0CCA66514}">
  <sheetPr codeName="Hoja30">
    <pageSetUpPr fitToPage="1"/>
  </sheetPr>
  <dimension ref="A1:N43"/>
  <sheetViews>
    <sheetView view="pageBreakPreview" topLeftCell="A26" zoomScale="85" zoomScaleNormal="100" zoomScaleSheetLayoutView="85" workbookViewId="0">
      <selection activeCell="D42" sqref="D42"/>
    </sheetView>
  </sheetViews>
  <sheetFormatPr baseColWidth="10" defaultColWidth="12.7109375" defaultRowHeight="15" customHeight="1" x14ac:dyDescent="0.25"/>
  <cols>
    <col min="1" max="1" width="15.7109375" style="49" customWidth="1"/>
    <col min="2" max="2" width="11.42578125" style="49" customWidth="1"/>
    <col min="3" max="3" width="9.140625" style="49" customWidth="1"/>
    <col min="4" max="4" width="13.28515625" style="49" bestFit="1" customWidth="1"/>
    <col min="5" max="5" width="9.85546875" style="49" customWidth="1"/>
    <col min="6" max="6" width="11.7109375" style="49" customWidth="1"/>
    <col min="7" max="7" width="10" style="49" customWidth="1"/>
    <col min="8" max="8" width="9.42578125" style="49" customWidth="1"/>
    <col min="9" max="9" width="11.42578125" style="49" customWidth="1"/>
    <col min="10" max="10" width="46.7109375" style="49" bestFit="1" customWidth="1"/>
    <col min="11" max="25" width="11.42578125" style="49" customWidth="1"/>
    <col min="26" max="16384" width="12.7109375" style="49"/>
  </cols>
  <sheetData>
    <row r="1" spans="1:14" ht="17.45" customHeight="1" thickBot="1" x14ac:dyDescent="0.3">
      <c r="A1" s="515" t="s">
        <v>206</v>
      </c>
      <c r="B1" s="516"/>
      <c r="C1" s="516"/>
      <c r="D1" s="516"/>
      <c r="E1" s="516"/>
      <c r="F1" s="516"/>
      <c r="G1" s="516"/>
      <c r="H1" s="517"/>
    </row>
    <row r="2" spans="1:14" ht="15.6" customHeight="1" thickBot="1" x14ac:dyDescent="0.3">
      <c r="A2" s="518" t="s">
        <v>207</v>
      </c>
      <c r="B2" s="519"/>
      <c r="C2" s="519"/>
      <c r="D2" s="520"/>
      <c r="E2" s="521" t="s">
        <v>208</v>
      </c>
      <c r="F2" s="519"/>
      <c r="G2" s="519"/>
      <c r="H2" s="522"/>
    </row>
    <row r="3" spans="1:14" ht="9.75" customHeight="1" x14ac:dyDescent="0.25">
      <c r="A3" s="112"/>
      <c r="B3" s="112"/>
      <c r="C3" s="112"/>
      <c r="D3" s="112"/>
      <c r="E3" s="112"/>
      <c r="F3" s="113"/>
      <c r="G3" s="113"/>
      <c r="H3" s="112"/>
    </row>
    <row r="4" spans="1:14" ht="31.9" customHeight="1" x14ac:dyDescent="0.25">
      <c r="A4" s="114" t="s">
        <v>209</v>
      </c>
      <c r="B4" s="523" t="str">
        <f>+'PRESUPUESTO OFICIAL'!A2</f>
        <v>MEJORAMIENTO Y ADECUACIÓN DEL AUDITORIO DE LA INSTITUCIÓN EDUCATIVA MARINO GÓMEZ ESTRADA, SEDE DE LA UNIVERSIDAD DE CALDAS, EN EL MUNICIPIO DE AGUADAS, CALDAS.</v>
      </c>
      <c r="C4" s="486"/>
      <c r="D4" s="486"/>
      <c r="E4" s="486"/>
      <c r="F4" s="486"/>
      <c r="G4" s="115" t="s">
        <v>210</v>
      </c>
      <c r="H4" s="292">
        <v>7.2</v>
      </c>
    </row>
    <row r="5" spans="1:14" ht="38.450000000000003" customHeight="1" x14ac:dyDescent="0.25">
      <c r="A5" s="114" t="s">
        <v>211</v>
      </c>
      <c r="B5" s="524" t="e">
        <f>VLOOKUP(H4,'PRESUPUESTO OFICIAL'!A:F,2,0)</f>
        <v>#N/A</v>
      </c>
      <c r="C5" s="486"/>
      <c r="D5" s="486"/>
      <c r="E5" s="486"/>
      <c r="F5" s="486"/>
      <c r="G5" s="113" t="s">
        <v>212</v>
      </c>
      <c r="H5" s="117" t="e">
        <f>VLOOKUP(H4,'PRESUPUESTO OFICIAL'!A:F,3,0)</f>
        <v>#N/A</v>
      </c>
    </row>
    <row r="6" spans="1:14" ht="13.5" thickBot="1" x14ac:dyDescent="0.3">
      <c r="A6" s="112" t="s">
        <v>385</v>
      </c>
      <c r="B6" s="112"/>
      <c r="C6" s="112"/>
      <c r="D6" s="112"/>
      <c r="E6" s="112"/>
      <c r="F6" s="113"/>
      <c r="G6" s="113"/>
      <c r="H6" s="112"/>
    </row>
    <row r="7" spans="1:14" ht="15.75" thickTop="1" x14ac:dyDescent="0.25">
      <c r="A7" s="540" t="s">
        <v>26</v>
      </c>
      <c r="B7" s="541"/>
      <c r="C7" s="542"/>
      <c r="D7" s="165" t="s">
        <v>214</v>
      </c>
      <c r="E7" s="165" t="s">
        <v>215</v>
      </c>
      <c r="F7" s="165" t="s">
        <v>216</v>
      </c>
      <c r="G7" s="184" t="s">
        <v>217</v>
      </c>
      <c r="H7" s="503"/>
      <c r="J7" s="338"/>
      <c r="K7">
        <f>22850/K8</f>
        <v>54404.761904761908</v>
      </c>
      <c r="L7"/>
      <c r="M7"/>
      <c r="N7"/>
    </row>
    <row r="8" spans="1:14" x14ac:dyDescent="0.25">
      <c r="A8" s="534" t="s">
        <v>564</v>
      </c>
      <c r="B8" s="535"/>
      <c r="C8" s="535"/>
      <c r="D8" s="324" t="s">
        <v>13</v>
      </c>
      <c r="E8" s="471">
        <f>54404*1.1</f>
        <v>59844.4</v>
      </c>
      <c r="F8" s="326">
        <v>1</v>
      </c>
      <c r="G8" s="327">
        <f>+E8*F8</f>
        <v>59844.4</v>
      </c>
      <c r="H8" s="560"/>
      <c r="J8" s="322"/>
      <c r="K8" s="320">
        <f>0.6*0.7</f>
        <v>0.42</v>
      </c>
      <c r="L8" s="321"/>
      <c r="M8" s="323"/>
      <c r="N8" s="339"/>
    </row>
    <row r="9" spans="1:14" ht="21" customHeight="1" x14ac:dyDescent="0.25">
      <c r="A9" s="567" t="s">
        <v>563</v>
      </c>
      <c r="B9" s="535"/>
      <c r="C9" s="535"/>
      <c r="D9" s="324" t="s">
        <v>14</v>
      </c>
      <c r="E9" s="168">
        <v>15367</v>
      </c>
      <c r="F9" s="328">
        <v>0.17</v>
      </c>
      <c r="G9" s="327">
        <f t="shared" ref="G9" si="0">+E9*F9</f>
        <v>2612.3900000000003</v>
      </c>
      <c r="H9" s="560"/>
      <c r="J9" s="322"/>
      <c r="K9" s="320"/>
      <c r="L9" s="321"/>
      <c r="M9" s="323"/>
      <c r="N9" s="339"/>
    </row>
    <row r="10" spans="1:14" ht="15.75" thickBot="1" x14ac:dyDescent="0.3">
      <c r="A10" s="534"/>
      <c r="B10" s="535"/>
      <c r="C10" s="535"/>
      <c r="D10" s="324"/>
      <c r="E10" s="329"/>
      <c r="F10" s="326"/>
      <c r="G10" s="327"/>
      <c r="H10" s="560"/>
      <c r="J10"/>
      <c r="K10"/>
      <c r="L10"/>
      <c r="M10" s="340"/>
      <c r="N10" s="341"/>
    </row>
    <row r="11" spans="1:14" ht="16.5" thickTop="1" thickBot="1" x14ac:dyDescent="0.3">
      <c r="A11" s="496"/>
      <c r="B11" s="486"/>
      <c r="C11" s="486"/>
      <c r="D11" s="128"/>
      <c r="E11" s="129"/>
      <c r="F11" s="130"/>
      <c r="G11" s="130" t="s">
        <v>218</v>
      </c>
      <c r="H11" s="131">
        <f>SUM(G7:G10)</f>
        <v>62456.79</v>
      </c>
      <c r="J11"/>
      <c r="K11"/>
      <c r="L11"/>
      <c r="M11" s="340"/>
      <c r="N11" s="341"/>
    </row>
    <row r="12" spans="1:14" ht="16.5" thickTop="1" thickBot="1" x14ac:dyDescent="0.3">
      <c r="A12" s="112" t="s">
        <v>386</v>
      </c>
      <c r="B12" s="112"/>
      <c r="C12" s="112"/>
      <c r="D12" s="112"/>
      <c r="E12" s="112"/>
      <c r="F12" s="113"/>
      <c r="G12" s="113"/>
      <c r="H12" s="112"/>
      <c r="J12" s="338"/>
      <c r="K12"/>
      <c r="L12"/>
      <c r="M12"/>
      <c r="N12"/>
    </row>
    <row r="13" spans="1:14" ht="15.75" thickTop="1" x14ac:dyDescent="0.25">
      <c r="A13" s="540" t="s">
        <v>26</v>
      </c>
      <c r="B13" s="541"/>
      <c r="C13" s="542"/>
      <c r="D13" s="165" t="s">
        <v>25</v>
      </c>
      <c r="E13" s="165" t="s">
        <v>220</v>
      </c>
      <c r="F13" s="165" t="s">
        <v>221</v>
      </c>
      <c r="G13" s="184" t="s">
        <v>217</v>
      </c>
      <c r="H13" s="132"/>
      <c r="J13" s="322"/>
      <c r="K13" s="320"/>
      <c r="L13" s="321"/>
      <c r="M13" s="323"/>
      <c r="N13" s="339"/>
    </row>
    <row r="14" spans="1:14" ht="22.9" customHeight="1" x14ac:dyDescent="0.25">
      <c r="A14" s="566" t="s">
        <v>239</v>
      </c>
      <c r="B14" s="566"/>
      <c r="C14" s="566"/>
      <c r="D14" s="335" t="s">
        <v>68</v>
      </c>
      <c r="E14" s="335">
        <f>+H31</f>
        <v>20144.34</v>
      </c>
      <c r="F14" s="472">
        <v>0.05</v>
      </c>
      <c r="G14" s="337">
        <f t="shared" ref="G14:G15" si="1">+F14*E14</f>
        <v>1007.2170000000001</v>
      </c>
      <c r="H14" s="330"/>
      <c r="J14"/>
      <c r="K14"/>
      <c r="L14"/>
      <c r="M14" s="340"/>
      <c r="N14" s="341"/>
    </row>
    <row r="15" spans="1:14" ht="24" customHeight="1" x14ac:dyDescent="0.25">
      <c r="A15" s="566" t="s">
        <v>383</v>
      </c>
      <c r="B15" s="566" t="s">
        <v>322</v>
      </c>
      <c r="C15" s="566" t="s">
        <v>322</v>
      </c>
      <c r="D15" s="335" t="s">
        <v>68</v>
      </c>
      <c r="E15" s="335">
        <v>307713</v>
      </c>
      <c r="F15" s="336">
        <v>1.8E-3</v>
      </c>
      <c r="G15" s="337">
        <f t="shared" si="1"/>
        <v>553.88339999999994</v>
      </c>
      <c r="H15" s="330"/>
    </row>
    <row r="16" spans="1:14" ht="15.6" customHeight="1" thickBot="1" x14ac:dyDescent="0.3">
      <c r="A16" s="563"/>
      <c r="B16" s="564"/>
      <c r="C16" s="565"/>
      <c r="D16" s="331"/>
      <c r="E16" s="332"/>
      <c r="F16" s="333"/>
      <c r="G16" s="334"/>
      <c r="H16" s="135"/>
    </row>
    <row r="17" spans="1:10" ht="14.25" thickTop="1" thickBot="1" x14ac:dyDescent="0.3">
      <c r="A17" s="496"/>
      <c r="B17" s="486"/>
      <c r="C17" s="486"/>
      <c r="D17" s="129"/>
      <c r="E17" s="129"/>
      <c r="F17" s="130"/>
      <c r="G17" s="130" t="s">
        <v>218</v>
      </c>
      <c r="H17" s="131">
        <f>SUM(G14:G15)</f>
        <v>1561.1004</v>
      </c>
    </row>
    <row r="18" spans="1:10" ht="14.25" thickTop="1" thickBot="1" x14ac:dyDescent="0.3">
      <c r="A18" s="112" t="s">
        <v>222</v>
      </c>
      <c r="B18" s="112"/>
      <c r="C18" s="112"/>
      <c r="D18" s="112"/>
      <c r="E18" s="112"/>
      <c r="F18" s="113"/>
      <c r="G18" s="113"/>
      <c r="H18" s="112"/>
    </row>
    <row r="19" spans="1:10" ht="23.25" thickTop="1" x14ac:dyDescent="0.25">
      <c r="A19" s="533" t="s">
        <v>223</v>
      </c>
      <c r="B19" s="507"/>
      <c r="C19" s="140" t="s">
        <v>224</v>
      </c>
      <c r="D19" s="140" t="s">
        <v>225</v>
      </c>
      <c r="E19" s="140" t="s">
        <v>226</v>
      </c>
      <c r="F19" s="140" t="s">
        <v>227</v>
      </c>
      <c r="G19" s="141" t="s">
        <v>217</v>
      </c>
      <c r="H19" s="528"/>
    </row>
    <row r="20" spans="1:10" ht="15.75" x14ac:dyDescent="0.25">
      <c r="A20" s="531" t="s">
        <v>354</v>
      </c>
      <c r="B20" s="511"/>
      <c r="C20" s="142"/>
      <c r="D20" s="122"/>
      <c r="E20" s="142">
        <v>0.01</v>
      </c>
      <c r="F20" s="143">
        <v>180217</v>
      </c>
      <c r="G20" s="144">
        <f>+E20*F20</f>
        <v>1802.17</v>
      </c>
      <c r="H20" s="529"/>
    </row>
    <row r="21" spans="1:10" ht="12.75" x14ac:dyDescent="0.25">
      <c r="A21" s="532" t="s">
        <v>357</v>
      </c>
      <c r="B21" s="510"/>
      <c r="C21" s="145"/>
      <c r="D21" s="146"/>
      <c r="E21" s="146">
        <v>0.71</v>
      </c>
      <c r="F21" s="120">
        <v>1824</v>
      </c>
      <c r="G21" s="144">
        <f>+E21*F21</f>
        <v>1295.04</v>
      </c>
      <c r="H21" s="529"/>
    </row>
    <row r="22" spans="1:10" ht="13.5" thickBot="1" x14ac:dyDescent="0.3">
      <c r="A22" s="512"/>
      <c r="B22" s="513"/>
      <c r="C22" s="148"/>
      <c r="D22" s="149"/>
      <c r="E22" s="149"/>
      <c r="F22" s="125"/>
      <c r="G22" s="127"/>
      <c r="H22" s="530"/>
    </row>
    <row r="23" spans="1:10" ht="14.25" thickTop="1" thickBot="1" x14ac:dyDescent="0.3">
      <c r="A23" s="496"/>
      <c r="B23" s="486"/>
      <c r="C23" s="150"/>
      <c r="D23" s="151"/>
      <c r="E23" s="129"/>
      <c r="F23" s="130"/>
      <c r="G23" s="130" t="s">
        <v>218</v>
      </c>
      <c r="H23" s="152">
        <f>SUM(G20:G22)</f>
        <v>3097.21</v>
      </c>
    </row>
    <row r="24" spans="1:10" ht="14.25" thickTop="1" thickBot="1" x14ac:dyDescent="0.3">
      <c r="A24" s="112" t="s">
        <v>228</v>
      </c>
      <c r="B24" s="112"/>
      <c r="C24" s="112"/>
      <c r="D24" s="112"/>
      <c r="E24" s="112"/>
      <c r="F24" s="113"/>
      <c r="G24" s="113"/>
      <c r="H24" s="112"/>
    </row>
    <row r="25" spans="1:10" ht="14.25" thickTop="1" thickBot="1" x14ac:dyDescent="0.3">
      <c r="A25" s="497" t="s">
        <v>229</v>
      </c>
      <c r="B25" s="499"/>
      <c r="C25" s="118" t="s">
        <v>230</v>
      </c>
      <c r="D25" s="118" t="s">
        <v>231</v>
      </c>
      <c r="E25" s="118" t="s">
        <v>232</v>
      </c>
      <c r="F25" s="118" t="s">
        <v>216</v>
      </c>
      <c r="G25" s="119" t="s">
        <v>217</v>
      </c>
      <c r="H25" s="503"/>
    </row>
    <row r="26" spans="1:10" ht="15.75" thickTop="1" x14ac:dyDescent="0.25">
      <c r="A26" s="531" t="s">
        <v>384</v>
      </c>
      <c r="B26" s="511"/>
      <c r="C26" s="154">
        <v>223826</v>
      </c>
      <c r="D26" s="153"/>
      <c r="E26" s="143"/>
      <c r="F26" s="180">
        <v>0.09</v>
      </c>
      <c r="G26" s="181">
        <f>+C26*F26</f>
        <v>20144.34</v>
      </c>
      <c r="H26" s="504"/>
      <c r="J26" s="322"/>
    </row>
    <row r="27" spans="1:10" x14ac:dyDescent="0.25">
      <c r="A27" s="531"/>
      <c r="B27" s="511"/>
      <c r="C27" s="143"/>
      <c r="D27" s="153"/>
      <c r="E27" s="182"/>
      <c r="F27" s="183"/>
      <c r="G27" s="181">
        <f>+F27*C27</f>
        <v>0</v>
      </c>
      <c r="H27" s="504"/>
      <c r="J27" s="322"/>
    </row>
    <row r="28" spans="1:10" ht="12.75" x14ac:dyDescent="0.25">
      <c r="A28" s="544"/>
      <c r="B28" s="511"/>
      <c r="C28" s="154"/>
      <c r="D28" s="153"/>
      <c r="E28" s="143"/>
      <c r="F28" s="155"/>
      <c r="G28" s="144"/>
      <c r="H28" s="504"/>
    </row>
    <row r="29" spans="1:10" ht="12.75" x14ac:dyDescent="0.25">
      <c r="A29" s="531"/>
      <c r="B29" s="511"/>
      <c r="C29" s="154"/>
      <c r="D29" s="153"/>
      <c r="E29" s="143"/>
      <c r="F29" s="155"/>
      <c r="G29" s="144"/>
      <c r="H29" s="504"/>
    </row>
    <row r="30" spans="1:10" ht="13.5" thickBot="1" x14ac:dyDescent="0.3">
      <c r="A30" s="512"/>
      <c r="B30" s="514"/>
      <c r="C30" s="156"/>
      <c r="D30" s="157"/>
      <c r="E30" s="149"/>
      <c r="F30" s="126"/>
      <c r="G30" s="158"/>
      <c r="H30" s="505"/>
    </row>
    <row r="31" spans="1:10" ht="14.25" thickTop="1" thickBot="1" x14ac:dyDescent="0.3">
      <c r="A31" s="496"/>
      <c r="B31" s="486"/>
      <c r="C31" s="150"/>
      <c r="D31" s="129"/>
      <c r="E31" s="159"/>
      <c r="F31" s="130"/>
      <c r="G31" s="130" t="s">
        <v>218</v>
      </c>
      <c r="H31" s="131">
        <f>SUM(G26:G30)</f>
        <v>20144.34</v>
      </c>
    </row>
    <row r="32" spans="1:10" ht="14.25" thickTop="1" thickBot="1" x14ac:dyDescent="0.3">
      <c r="A32" s="160"/>
      <c r="B32" s="160"/>
      <c r="C32" s="150"/>
      <c r="D32" s="129"/>
      <c r="E32" s="159"/>
      <c r="F32" s="161"/>
      <c r="G32" s="150"/>
      <c r="H32" s="162"/>
    </row>
    <row r="33" spans="1:8" ht="14.25" thickTop="1" thickBot="1" x14ac:dyDescent="0.3">
      <c r="A33" s="160"/>
      <c r="B33" s="112"/>
      <c r="C33" s="112"/>
      <c r="D33" s="112"/>
      <c r="E33" s="539" t="s">
        <v>233</v>
      </c>
      <c r="F33" s="486"/>
      <c r="G33" s="486"/>
      <c r="H33" s="131">
        <f>ROUND((+H11+H17+H23+H31),4)</f>
        <v>87259.440400000007</v>
      </c>
    </row>
    <row r="34" spans="1:8" ht="13.5" thickTop="1" x14ac:dyDescent="0.25">
      <c r="A34" s="160"/>
      <c r="B34" s="160"/>
      <c r="C34" s="160"/>
      <c r="D34" s="113"/>
      <c r="E34" s="113"/>
      <c r="F34" s="113"/>
      <c r="G34" s="113"/>
      <c r="H34" s="164"/>
    </row>
    <row r="35" spans="1:8" ht="13.5" thickBot="1" x14ac:dyDescent="0.3">
      <c r="A35" s="112" t="s">
        <v>234</v>
      </c>
      <c r="B35" s="112"/>
      <c r="C35" s="112"/>
      <c r="D35" s="112"/>
      <c r="E35" s="112"/>
      <c r="F35" s="113"/>
      <c r="G35" s="113"/>
      <c r="H35" s="112"/>
    </row>
    <row r="36" spans="1:8" ht="13.5" thickTop="1" x14ac:dyDescent="0.25">
      <c r="A36" s="540" t="s">
        <v>26</v>
      </c>
      <c r="B36" s="541"/>
      <c r="C36" s="542"/>
      <c r="D36" s="165" t="s">
        <v>235</v>
      </c>
      <c r="E36" s="165" t="s">
        <v>215</v>
      </c>
      <c r="F36" s="165" t="s">
        <v>216</v>
      </c>
      <c r="G36" s="184" t="s">
        <v>217</v>
      </c>
      <c r="H36" s="503"/>
    </row>
    <row r="37" spans="1:8" ht="15.75" x14ac:dyDescent="0.25">
      <c r="A37" s="534" t="s">
        <v>236</v>
      </c>
      <c r="B37" s="535"/>
      <c r="C37" s="535"/>
      <c r="D37" s="167">
        <f>+'1.1 localizacion'!$D$35</f>
        <v>0.32</v>
      </c>
      <c r="E37" s="168"/>
      <c r="F37" s="169"/>
      <c r="G37" s="185">
        <f>$H$33*D37</f>
        <v>27923.020928000002</v>
      </c>
      <c r="H37" s="504"/>
    </row>
    <row r="38" spans="1:8" ht="13.5" thickBot="1" x14ac:dyDescent="0.3">
      <c r="A38" s="534" t="s">
        <v>237</v>
      </c>
      <c r="B38" s="536"/>
      <c r="C38" s="536"/>
      <c r="D38" s="167">
        <f>+'1.1 localizacion'!$D$36</f>
        <v>0.05</v>
      </c>
      <c r="E38" s="171"/>
      <c r="F38" s="171"/>
      <c r="G38" s="185">
        <f t="shared" ref="G38" si="2">$H$33*D38</f>
        <v>4362.9720200000002</v>
      </c>
      <c r="H38" s="504"/>
    </row>
    <row r="39" spans="1:8" ht="14.25" thickTop="1" thickBot="1" x14ac:dyDescent="0.3">
      <c r="A39" s="496"/>
      <c r="B39" s="486"/>
      <c r="C39" s="486"/>
      <c r="D39" s="128"/>
      <c r="E39" s="129"/>
      <c r="F39" s="130"/>
      <c r="G39" s="130" t="s">
        <v>218</v>
      </c>
      <c r="H39" s="131">
        <f>SUM(G37:G38)</f>
        <v>32285.992948000003</v>
      </c>
    </row>
    <row r="40" spans="1:8" ht="9.75" customHeight="1" thickTop="1" x14ac:dyDescent="0.25">
      <c r="A40" s="160"/>
      <c r="B40" s="160"/>
      <c r="C40" s="160"/>
      <c r="D40" s="160"/>
      <c r="E40" s="160"/>
      <c r="F40" s="172"/>
      <c r="G40" s="172"/>
      <c r="H40" s="160"/>
    </row>
    <row r="41" spans="1:8" ht="9.75" customHeight="1" thickBot="1" x14ac:dyDescent="0.3">
      <c r="A41" s="160"/>
      <c r="B41" s="160"/>
      <c r="C41" s="160"/>
      <c r="D41" s="160"/>
      <c r="E41" s="160"/>
      <c r="F41" s="172"/>
      <c r="G41" s="172"/>
      <c r="H41" s="160"/>
    </row>
    <row r="42" spans="1:8" ht="14.25" thickTop="1" thickBot="1" x14ac:dyDescent="0.3">
      <c r="A42" s="160"/>
      <c r="B42" s="112"/>
      <c r="C42" s="112"/>
      <c r="D42" s="112"/>
      <c r="E42" s="539" t="s">
        <v>238</v>
      </c>
      <c r="F42" s="486"/>
      <c r="G42" s="486"/>
      <c r="H42" s="131">
        <f>ROUND(H39+H33,0)</f>
        <v>119545</v>
      </c>
    </row>
    <row r="43" spans="1:8" ht="9.75" customHeight="1" thickTop="1" x14ac:dyDescent="0.25">
      <c r="A43" s="160"/>
      <c r="B43" s="160"/>
      <c r="C43" s="160"/>
      <c r="D43" s="160"/>
      <c r="E43" s="160"/>
      <c r="F43" s="172"/>
      <c r="G43" s="172"/>
      <c r="H43" s="160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0F5CD-2977-4C56-9715-A8C58C7E5F9A}">
  <sheetPr codeName="Hoja31"/>
  <dimension ref="A1:H20"/>
  <sheetViews>
    <sheetView topLeftCell="B1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ht="25.5" x14ac:dyDescent="0.25">
      <c r="A1" s="417"/>
      <c r="B1" s="418">
        <v>7.4</v>
      </c>
      <c r="C1" s="419" t="str">
        <f>+'PRESUPUESTO OFICIAL'!B54</f>
        <v>SUMINISTRO, TRANSPORTE E INSTALACIÓN DE CERÁMICA DE PISOS PARA BAÑOS.</v>
      </c>
      <c r="D1" s="420" t="str">
        <f>+'PRESUPUESTO OFICIAL'!C37</f>
        <v>M2</v>
      </c>
      <c r="E1" s="552">
        <f>+G13</f>
        <v>137318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479</v>
      </c>
      <c r="B4" s="428"/>
      <c r="C4" s="470" t="s">
        <v>569</v>
      </c>
      <c r="D4" s="430" t="s">
        <v>553</v>
      </c>
      <c r="E4" s="453">
        <v>1.05</v>
      </c>
      <c r="F4" s="435">
        <v>79020</v>
      </c>
      <c r="G4" s="454">
        <f>+E4*F4</f>
        <v>82971</v>
      </c>
    </row>
    <row r="5" spans="1:8" x14ac:dyDescent="0.25">
      <c r="A5" s="464" t="s">
        <v>479</v>
      </c>
      <c r="B5" s="428"/>
      <c r="C5" s="470" t="s">
        <v>551</v>
      </c>
      <c r="D5" s="430" t="s">
        <v>532</v>
      </c>
      <c r="E5" s="453">
        <v>8</v>
      </c>
      <c r="F5" s="435">
        <v>1120</v>
      </c>
      <c r="G5" s="454">
        <f>+E5*F5</f>
        <v>8960</v>
      </c>
    </row>
    <row r="6" spans="1:8" x14ac:dyDescent="0.25">
      <c r="A6" s="464" t="s">
        <v>479</v>
      </c>
      <c r="B6" s="428"/>
      <c r="C6" s="470" t="s">
        <v>552</v>
      </c>
      <c r="D6" s="430" t="s">
        <v>532</v>
      </c>
      <c r="E6" s="453">
        <v>1</v>
      </c>
      <c r="F6" s="435">
        <v>9000</v>
      </c>
      <c r="G6" s="454">
        <f>+E6*F6</f>
        <v>9000</v>
      </c>
    </row>
    <row r="7" spans="1:8" x14ac:dyDescent="0.25">
      <c r="A7" s="427"/>
      <c r="B7" s="428"/>
      <c r="C7" s="429" t="s">
        <v>468</v>
      </c>
      <c r="D7" s="430"/>
      <c r="E7" s="431"/>
      <c r="F7" s="432"/>
      <c r="G7" s="433"/>
    </row>
    <row r="8" spans="1:8" x14ac:dyDescent="0.25">
      <c r="A8" s="464"/>
      <c r="B8" s="428"/>
      <c r="C8" s="434" t="s">
        <v>239</v>
      </c>
      <c r="D8" s="430" t="s">
        <v>257</v>
      </c>
      <c r="E8" s="466">
        <v>0.08</v>
      </c>
      <c r="F8" s="432">
        <v>33691.360000000001</v>
      </c>
      <c r="G8" s="433">
        <f>+E8*F8</f>
        <v>2695.3088000000002</v>
      </c>
    </row>
    <row r="9" spans="1:8" x14ac:dyDescent="0.25">
      <c r="A9" s="427"/>
      <c r="B9" s="428"/>
      <c r="C9" s="429" t="s">
        <v>458</v>
      </c>
      <c r="D9" s="430"/>
      <c r="E9" s="431"/>
      <c r="F9" s="432"/>
      <c r="G9" s="433"/>
    </row>
    <row r="10" spans="1:8" x14ac:dyDescent="0.25">
      <c r="A10" s="464"/>
      <c r="B10" s="428"/>
      <c r="C10" s="434"/>
      <c r="D10" s="430"/>
      <c r="E10" s="469"/>
      <c r="F10" s="432"/>
      <c r="G10" s="433"/>
    </row>
    <row r="11" spans="1:8" x14ac:dyDescent="0.25">
      <c r="A11" s="436"/>
      <c r="B11" s="428"/>
      <c r="C11" s="429" t="s">
        <v>461</v>
      </c>
      <c r="D11" s="430"/>
      <c r="E11" s="431"/>
      <c r="F11" s="432"/>
      <c r="G11" s="433"/>
    </row>
    <row r="12" spans="1:8" x14ac:dyDescent="0.25">
      <c r="A12" s="427" t="s">
        <v>462</v>
      </c>
      <c r="B12" s="428"/>
      <c r="C12" s="434" t="s">
        <v>554</v>
      </c>
      <c r="D12" s="430" t="s">
        <v>454</v>
      </c>
      <c r="E12" s="453">
        <v>0.08</v>
      </c>
      <c r="F12" s="434">
        <v>421142</v>
      </c>
      <c r="G12" s="454">
        <f>+F12*E12</f>
        <v>33691.360000000001</v>
      </c>
    </row>
    <row r="13" spans="1:8" ht="15.75" thickBot="1" x14ac:dyDescent="0.3">
      <c r="A13" s="437"/>
      <c r="B13" s="438"/>
      <c r="C13" s="439"/>
      <c r="D13" s="440"/>
      <c r="E13" s="441"/>
      <c r="F13" s="442"/>
      <c r="G13" s="443">
        <f>ROUND(SUM(G4:G12),0)</f>
        <v>137318</v>
      </c>
    </row>
    <row r="15" spans="1:8" ht="15.75" thickBot="1" x14ac:dyDescent="0.3">
      <c r="A15" s="112" t="s">
        <v>234</v>
      </c>
      <c r="B15" s="112"/>
      <c r="C15" s="112"/>
      <c r="D15" s="112"/>
      <c r="E15" s="112"/>
      <c r="F15" s="113"/>
      <c r="G15" s="113"/>
      <c r="H15" s="112"/>
    </row>
    <row r="16" spans="1:8" ht="15.75" thickTop="1" x14ac:dyDescent="0.25">
      <c r="A16" s="540" t="s">
        <v>26</v>
      </c>
      <c r="B16" s="541"/>
      <c r="C16" s="542"/>
      <c r="D16" s="165" t="s">
        <v>235</v>
      </c>
      <c r="E16" s="165" t="s">
        <v>215</v>
      </c>
      <c r="F16" s="165" t="s">
        <v>216</v>
      </c>
      <c r="G16" s="184" t="s">
        <v>217</v>
      </c>
      <c r="H16" s="503"/>
    </row>
    <row r="17" spans="1:8" ht="15.75" x14ac:dyDescent="0.25">
      <c r="A17" s="534" t="s">
        <v>236</v>
      </c>
      <c r="B17" s="535"/>
      <c r="C17" s="535"/>
      <c r="D17" s="167">
        <f>+'1.1 localizacion'!$D$35</f>
        <v>0.32</v>
      </c>
      <c r="E17" s="168"/>
      <c r="F17" s="169"/>
      <c r="G17" s="185">
        <f>G13*D17</f>
        <v>43941.760000000002</v>
      </c>
      <c r="H17" s="504"/>
    </row>
    <row r="18" spans="1:8" ht="15.75" thickBot="1" x14ac:dyDescent="0.3">
      <c r="A18" s="534" t="s">
        <v>237</v>
      </c>
      <c r="B18" s="536"/>
      <c r="C18" s="536"/>
      <c r="D18" s="167">
        <v>0.05</v>
      </c>
      <c r="E18" s="171"/>
      <c r="F18" s="171"/>
      <c r="G18" s="185">
        <f>G13*D18</f>
        <v>6865.9000000000005</v>
      </c>
      <c r="H18" s="504"/>
    </row>
    <row r="19" spans="1:8" ht="16.5" thickTop="1" thickBot="1" x14ac:dyDescent="0.3">
      <c r="A19" s="496"/>
      <c r="B19" s="486"/>
      <c r="C19" s="486"/>
      <c r="D19" s="128"/>
      <c r="E19" s="129"/>
      <c r="F19" s="130"/>
      <c r="G19" s="130" t="s">
        <v>218</v>
      </c>
      <c r="H19" s="131">
        <f>+G17+G18+G13</f>
        <v>188125.66</v>
      </c>
    </row>
    <row r="20" spans="1:8" ht="15.75" thickTop="1" x14ac:dyDescent="0.25"/>
  </sheetData>
  <mergeCells count="6">
    <mergeCell ref="A19:C19"/>
    <mergeCell ref="E1:G1"/>
    <mergeCell ref="A16:C16"/>
    <mergeCell ref="H16:H18"/>
    <mergeCell ref="A17:C17"/>
    <mergeCell ref="A18:C18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2C9EB-FABB-4EB1-BDEB-3D375DF197BE}">
  <sheetPr codeName="Hoja32"/>
  <dimension ref="A1:H23"/>
  <sheetViews>
    <sheetView topLeftCell="B3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7" x14ac:dyDescent="0.25">
      <c r="A1" s="417"/>
      <c r="B1" s="418">
        <v>6.4</v>
      </c>
      <c r="C1" s="419" t="str">
        <f>+'PRESUPUESTO OFICIAL'!B45</f>
        <v xml:space="preserve">SUMINISTRO, TRANSPORTE E INSTALACION TOMACORRIENTE DOBLE </v>
      </c>
      <c r="D1" s="420" t="str">
        <f>+'PRESUPUESTO OFICIAL'!C37</f>
        <v>M2</v>
      </c>
      <c r="E1" s="552">
        <f>+G16</f>
        <v>22571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64" t="s">
        <v>478</v>
      </c>
      <c r="B4" s="428"/>
      <c r="C4" s="434" t="s">
        <v>517</v>
      </c>
      <c r="D4" s="430" t="s">
        <v>14</v>
      </c>
      <c r="E4" s="431">
        <v>1</v>
      </c>
      <c r="F4" s="435">
        <f>14800*1.1</f>
        <v>16280.000000000002</v>
      </c>
      <c r="G4" s="433">
        <f t="shared" ref="G4" si="0">+E4*F4</f>
        <v>16280.000000000002</v>
      </c>
    </row>
    <row r="5" spans="1:7" x14ac:dyDescent="0.25">
      <c r="A5" s="464" t="s">
        <v>479</v>
      </c>
      <c r="B5" s="428"/>
      <c r="C5" s="434" t="s">
        <v>518</v>
      </c>
      <c r="D5" s="430" t="s">
        <v>338</v>
      </c>
      <c r="E5" s="468">
        <v>0.1</v>
      </c>
      <c r="F5" s="435">
        <f>5711*1.1</f>
        <v>6282.1</v>
      </c>
      <c r="G5" s="433">
        <f>+E5*F5</f>
        <v>628.21</v>
      </c>
    </row>
    <row r="6" spans="1:7" x14ac:dyDescent="0.25">
      <c r="A6" s="464" t="s">
        <v>479</v>
      </c>
      <c r="B6" s="428"/>
      <c r="C6" s="434" t="s">
        <v>519</v>
      </c>
      <c r="D6" s="430" t="s">
        <v>14</v>
      </c>
      <c r="E6" s="468">
        <v>1</v>
      </c>
      <c r="F6" s="435">
        <f>3347*1.1</f>
        <v>3681.7000000000003</v>
      </c>
      <c r="G6" s="433">
        <f>+E6*F6</f>
        <v>3681.7000000000003</v>
      </c>
    </row>
    <row r="7" spans="1:7" x14ac:dyDescent="0.25">
      <c r="A7" s="464" t="s">
        <v>479</v>
      </c>
      <c r="B7" s="428"/>
      <c r="C7" s="434" t="s">
        <v>520</v>
      </c>
      <c r="D7" s="430" t="s">
        <v>13</v>
      </c>
      <c r="E7" s="468">
        <v>0.8</v>
      </c>
      <c r="F7" s="435">
        <f>1738*1.1</f>
        <v>1911.8000000000002</v>
      </c>
      <c r="G7" s="433">
        <f>+E7*F7</f>
        <v>1529.4400000000003</v>
      </c>
    </row>
    <row r="8" spans="1:7" x14ac:dyDescent="0.25">
      <c r="A8" s="464" t="s">
        <v>479</v>
      </c>
      <c r="B8" s="428"/>
      <c r="C8" s="434" t="s">
        <v>521</v>
      </c>
      <c r="D8" s="430" t="s">
        <v>14</v>
      </c>
      <c r="E8" s="468">
        <v>1</v>
      </c>
      <c r="F8" s="435">
        <f>338*1.1</f>
        <v>371.8</v>
      </c>
      <c r="G8" s="433">
        <f>+E8*F8</f>
        <v>371.8</v>
      </c>
    </row>
    <row r="9" spans="1:7" x14ac:dyDescent="0.25">
      <c r="A9" s="464" t="s">
        <v>479</v>
      </c>
      <c r="B9" s="428"/>
      <c r="C9" s="434"/>
      <c r="D9" s="430"/>
      <c r="E9" s="468"/>
      <c r="F9" s="435"/>
      <c r="G9" s="433"/>
    </row>
    <row r="10" spans="1:7" x14ac:dyDescent="0.25">
      <c r="A10" s="427"/>
      <c r="B10" s="428"/>
      <c r="C10" s="429" t="s">
        <v>468</v>
      </c>
      <c r="D10" s="430"/>
      <c r="E10" s="431"/>
      <c r="F10" s="432"/>
      <c r="G10" s="433"/>
    </row>
    <row r="11" spans="1:7" x14ac:dyDescent="0.25">
      <c r="A11" s="464"/>
      <c r="B11" s="428"/>
      <c r="C11" s="434" t="s">
        <v>239</v>
      </c>
      <c r="D11" s="430" t="s">
        <v>257</v>
      </c>
      <c r="E11" s="466">
        <v>0.05</v>
      </c>
      <c r="F11" s="432">
        <f>+G14</f>
        <v>0</v>
      </c>
      <c r="G11" s="433">
        <f>+E11*F11</f>
        <v>0</v>
      </c>
    </row>
    <row r="12" spans="1:7" x14ac:dyDescent="0.25">
      <c r="A12" s="427"/>
      <c r="B12" s="428"/>
      <c r="C12" s="429" t="s">
        <v>458</v>
      </c>
      <c r="D12" s="430"/>
      <c r="E12" s="431"/>
      <c r="F12" s="432"/>
      <c r="G12" s="433"/>
    </row>
    <row r="13" spans="1:7" x14ac:dyDescent="0.25">
      <c r="A13" s="464"/>
      <c r="B13" s="428"/>
      <c r="C13" s="434"/>
      <c r="D13" s="430"/>
      <c r="E13" s="466"/>
      <c r="F13" s="432"/>
      <c r="G13" s="433"/>
    </row>
    <row r="14" spans="1:7" x14ac:dyDescent="0.25">
      <c r="A14" s="436"/>
      <c r="B14" s="428"/>
      <c r="C14" s="429" t="s">
        <v>461</v>
      </c>
      <c r="D14" s="430"/>
      <c r="E14" s="431"/>
      <c r="F14" s="432"/>
      <c r="G14" s="433"/>
    </row>
    <row r="15" spans="1:7" x14ac:dyDescent="0.25">
      <c r="A15" s="427" t="s">
        <v>462</v>
      </c>
      <c r="B15" s="428"/>
      <c r="C15" s="434" t="s">
        <v>522</v>
      </c>
      <c r="D15" s="430" t="s">
        <v>495</v>
      </c>
      <c r="E15" s="431">
        <v>1E-3</v>
      </c>
      <c r="F15" s="435">
        <f>61525*1.3</f>
        <v>79982.5</v>
      </c>
      <c r="G15" s="433">
        <f>+E15*F15</f>
        <v>79.982500000000002</v>
      </c>
    </row>
    <row r="16" spans="1:7" ht="15.75" thickBot="1" x14ac:dyDescent="0.3">
      <c r="A16" s="437"/>
      <c r="B16" s="438"/>
      <c r="C16" s="439"/>
      <c r="D16" s="440"/>
      <c r="E16" s="441"/>
      <c r="F16" s="442"/>
      <c r="G16" s="443">
        <f>ROUND(SUM(G4:G15),0)</f>
        <v>22571</v>
      </c>
    </row>
    <row r="18" spans="1:8" ht="15.75" thickBot="1" x14ac:dyDescent="0.3">
      <c r="A18" s="112" t="s">
        <v>234</v>
      </c>
      <c r="B18" s="112"/>
      <c r="C18" s="112"/>
      <c r="D18" s="112"/>
      <c r="E18" s="112"/>
      <c r="F18" s="113"/>
      <c r="G18" s="113"/>
      <c r="H18" s="112"/>
    </row>
    <row r="19" spans="1:8" ht="15.75" thickTop="1" x14ac:dyDescent="0.25">
      <c r="A19" s="540" t="s">
        <v>26</v>
      </c>
      <c r="B19" s="541"/>
      <c r="C19" s="542"/>
      <c r="D19" s="165" t="s">
        <v>235</v>
      </c>
      <c r="E19" s="165" t="s">
        <v>215</v>
      </c>
      <c r="F19" s="165" t="s">
        <v>216</v>
      </c>
      <c r="G19" s="184" t="s">
        <v>217</v>
      </c>
      <c r="H19" s="503"/>
    </row>
    <row r="20" spans="1:8" ht="15.75" x14ac:dyDescent="0.25">
      <c r="A20" s="534" t="s">
        <v>236</v>
      </c>
      <c r="B20" s="535"/>
      <c r="C20" s="535"/>
      <c r="D20" s="167">
        <f>+'1.1 localizacion'!$D$35</f>
        <v>0.32</v>
      </c>
      <c r="E20" s="168"/>
      <c r="F20" s="169"/>
      <c r="G20" s="185">
        <f>G16*D20</f>
        <v>7222.72</v>
      </c>
      <c r="H20" s="504"/>
    </row>
    <row r="21" spans="1:8" ht="15.75" thickBot="1" x14ac:dyDescent="0.3">
      <c r="A21" s="534" t="s">
        <v>237</v>
      </c>
      <c r="B21" s="536"/>
      <c r="C21" s="536"/>
      <c r="D21" s="167">
        <v>0.05</v>
      </c>
      <c r="E21" s="171"/>
      <c r="F21" s="171"/>
      <c r="G21" s="185">
        <f>G16*D21</f>
        <v>1128.55</v>
      </c>
      <c r="H21" s="504"/>
    </row>
    <row r="22" spans="1:8" ht="16.5" thickTop="1" thickBot="1" x14ac:dyDescent="0.3">
      <c r="A22" s="496"/>
      <c r="B22" s="486"/>
      <c r="C22" s="486"/>
      <c r="D22" s="128"/>
      <c r="E22" s="129"/>
      <c r="F22" s="130"/>
      <c r="G22" s="130" t="s">
        <v>218</v>
      </c>
      <c r="H22" s="131">
        <f>+G20+G21+G16</f>
        <v>30922.27</v>
      </c>
    </row>
    <row r="23" spans="1:8" ht="15.75" thickTop="1" x14ac:dyDescent="0.25"/>
  </sheetData>
  <mergeCells count="6">
    <mergeCell ref="A22:C22"/>
    <mergeCell ref="E1:G1"/>
    <mergeCell ref="A19:C19"/>
    <mergeCell ref="H19:H21"/>
    <mergeCell ref="A20:C20"/>
    <mergeCell ref="A21:C2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8A1C-BD72-4A04-989A-07E15EE28361}">
  <sheetPr codeName="Hoja33"/>
  <dimension ref="A1:H21"/>
  <sheetViews>
    <sheetView topLeftCell="D8" workbookViewId="0">
      <selection activeCell="G15" sqref="G15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ht="25.5" x14ac:dyDescent="0.25">
      <c r="A1" s="417"/>
      <c r="B1" s="418">
        <v>6.4</v>
      </c>
      <c r="C1" s="419" t="str">
        <f>+'PRESUPUESTO OFICIAL'!B46</f>
        <v>SUMINISTRO E INSTALACION BALA LED 18W SOBREPONER, 120 V LUZ BLANCA NEUTRA</v>
      </c>
      <c r="D1" s="420" t="str">
        <f>+'PRESUPUESTO OFICIAL'!C37</f>
        <v>M2</v>
      </c>
      <c r="E1" s="552">
        <f>+G14</f>
        <v>53612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478</v>
      </c>
      <c r="B4" s="428"/>
      <c r="C4" s="434" t="s">
        <v>524</v>
      </c>
      <c r="D4" s="430" t="s">
        <v>14</v>
      </c>
      <c r="E4" s="431">
        <v>1</v>
      </c>
      <c r="F4" s="435">
        <v>27900</v>
      </c>
      <c r="G4" s="433">
        <f t="shared" ref="G4" si="0">+E4*F4</f>
        <v>27900</v>
      </c>
    </row>
    <row r="5" spans="1:8" x14ac:dyDescent="0.25">
      <c r="A5" s="464" t="s">
        <v>479</v>
      </c>
      <c r="B5" s="428"/>
      <c r="C5" s="434" t="s">
        <v>523</v>
      </c>
      <c r="D5" s="430" t="s">
        <v>15</v>
      </c>
      <c r="E5" s="468">
        <v>4</v>
      </c>
      <c r="F5" s="435">
        <f>2182*1.35</f>
        <v>2945.7000000000003</v>
      </c>
      <c r="G5" s="433">
        <f>+E5*F5</f>
        <v>11782.800000000001</v>
      </c>
    </row>
    <row r="6" spans="1:8" x14ac:dyDescent="0.25">
      <c r="A6" s="464" t="s">
        <v>479</v>
      </c>
      <c r="B6" s="428"/>
      <c r="C6" s="434" t="s">
        <v>525</v>
      </c>
      <c r="D6" s="430" t="s">
        <v>15</v>
      </c>
      <c r="E6" s="468">
        <v>0.05</v>
      </c>
      <c r="F6" s="435">
        <f>20487*1.3</f>
        <v>26633.100000000002</v>
      </c>
      <c r="G6" s="433">
        <f>+E6*F6</f>
        <v>1331.6550000000002</v>
      </c>
    </row>
    <row r="7" spans="1:8" x14ac:dyDescent="0.25">
      <c r="A7" s="464" t="s">
        <v>479</v>
      </c>
      <c r="B7" s="428"/>
      <c r="C7" s="434"/>
      <c r="D7" s="430"/>
      <c r="E7" s="468"/>
      <c r="F7" s="435"/>
      <c r="G7" s="433"/>
    </row>
    <row r="8" spans="1:8" x14ac:dyDescent="0.25">
      <c r="A8" s="427"/>
      <c r="B8" s="428"/>
      <c r="C8" s="429" t="s">
        <v>468</v>
      </c>
      <c r="D8" s="430"/>
      <c r="E8" s="431"/>
      <c r="F8" s="432"/>
      <c r="G8" s="433"/>
    </row>
    <row r="9" spans="1:8" x14ac:dyDescent="0.25">
      <c r="A9" s="464"/>
      <c r="B9" s="428"/>
      <c r="C9" s="434" t="s">
        <v>239</v>
      </c>
      <c r="D9" s="430" t="s">
        <v>257</v>
      </c>
      <c r="E9" s="466">
        <v>0.05</v>
      </c>
      <c r="F9" s="432">
        <f>+G13</f>
        <v>11997.375</v>
      </c>
      <c r="G9" s="433">
        <f>+E9*F9</f>
        <v>599.86874999999998</v>
      </c>
    </row>
    <row r="10" spans="1:8" x14ac:dyDescent="0.25">
      <c r="A10" s="427"/>
      <c r="B10" s="428"/>
      <c r="C10" s="429" t="s">
        <v>458</v>
      </c>
      <c r="D10" s="430"/>
      <c r="E10" s="431"/>
      <c r="F10" s="432"/>
      <c r="G10" s="433"/>
    </row>
    <row r="11" spans="1:8" x14ac:dyDescent="0.25">
      <c r="A11" s="464"/>
      <c r="B11" s="428"/>
      <c r="C11" s="434"/>
      <c r="D11" s="430"/>
      <c r="E11" s="466"/>
      <c r="F11" s="432"/>
      <c r="G11" s="433"/>
    </row>
    <row r="12" spans="1:8" x14ac:dyDescent="0.25">
      <c r="A12" s="436"/>
      <c r="B12" s="428"/>
      <c r="C12" s="429" t="s">
        <v>461</v>
      </c>
      <c r="D12" s="430"/>
      <c r="E12" s="431"/>
      <c r="F12" s="432"/>
      <c r="G12" s="433"/>
    </row>
    <row r="13" spans="1:8" x14ac:dyDescent="0.25">
      <c r="A13" s="427" t="s">
        <v>462</v>
      </c>
      <c r="B13" s="428"/>
      <c r="C13" s="434" t="s">
        <v>522</v>
      </c>
      <c r="D13" s="430" t="s">
        <v>495</v>
      </c>
      <c r="E13" s="431">
        <v>0.15</v>
      </c>
      <c r="F13" s="435">
        <f>61525*1.3</f>
        <v>79982.5</v>
      </c>
      <c r="G13" s="433">
        <f>+E13*F13</f>
        <v>11997.375</v>
      </c>
    </row>
    <row r="14" spans="1:8" ht="15.75" thickBot="1" x14ac:dyDescent="0.3">
      <c r="A14" s="437"/>
      <c r="B14" s="438"/>
      <c r="C14" s="439"/>
      <c r="D14" s="440"/>
      <c r="E14" s="441"/>
      <c r="F14" s="442"/>
      <c r="G14" s="443">
        <f>ROUND(SUM(G4:G13),0)</f>
        <v>53612</v>
      </c>
    </row>
    <row r="16" spans="1:8" ht="15.75" thickBot="1" x14ac:dyDescent="0.3">
      <c r="A16" s="112" t="s">
        <v>234</v>
      </c>
      <c r="B16" s="112"/>
      <c r="C16" s="112"/>
      <c r="D16" s="112"/>
      <c r="E16" s="112"/>
      <c r="F16" s="113"/>
      <c r="G16" s="113"/>
      <c r="H16" s="112"/>
    </row>
    <row r="17" spans="1:8" ht="15.75" thickTop="1" x14ac:dyDescent="0.25">
      <c r="A17" s="540" t="s">
        <v>26</v>
      </c>
      <c r="B17" s="541"/>
      <c r="C17" s="542"/>
      <c r="D17" s="165" t="s">
        <v>235</v>
      </c>
      <c r="E17" s="165" t="s">
        <v>215</v>
      </c>
      <c r="F17" s="165" t="s">
        <v>216</v>
      </c>
      <c r="G17" s="184" t="s">
        <v>217</v>
      </c>
      <c r="H17" s="503"/>
    </row>
    <row r="18" spans="1:8" ht="15.75" x14ac:dyDescent="0.25">
      <c r="A18" s="534" t="s">
        <v>236</v>
      </c>
      <c r="B18" s="535"/>
      <c r="C18" s="535"/>
      <c r="D18" s="167">
        <f>+'1.1 localizacion'!$D$35</f>
        <v>0.32</v>
      </c>
      <c r="E18" s="168"/>
      <c r="F18" s="169"/>
      <c r="G18" s="185">
        <f>G14*D18</f>
        <v>17155.84</v>
      </c>
      <c r="H18" s="504"/>
    </row>
    <row r="19" spans="1:8" ht="15.75" thickBot="1" x14ac:dyDescent="0.3">
      <c r="A19" s="534" t="s">
        <v>237</v>
      </c>
      <c r="B19" s="536"/>
      <c r="C19" s="536"/>
      <c r="D19" s="167">
        <v>0.05</v>
      </c>
      <c r="E19" s="171"/>
      <c r="F19" s="171"/>
      <c r="G19" s="185">
        <f>G14*D19</f>
        <v>2680.6000000000004</v>
      </c>
      <c r="H19" s="504"/>
    </row>
    <row r="20" spans="1:8" ht="16.5" thickTop="1" thickBot="1" x14ac:dyDescent="0.3">
      <c r="A20" s="496"/>
      <c r="B20" s="486"/>
      <c r="C20" s="486"/>
      <c r="D20" s="128"/>
      <c r="E20" s="129"/>
      <c r="F20" s="130"/>
      <c r="G20" s="130" t="s">
        <v>218</v>
      </c>
      <c r="H20" s="131">
        <f>+G18+G19+G14</f>
        <v>73448.44</v>
      </c>
    </row>
    <row r="21" spans="1:8" ht="15.75" thickTop="1" x14ac:dyDescent="0.25"/>
  </sheetData>
  <mergeCells count="6">
    <mergeCell ref="A20:C20"/>
    <mergeCell ref="E1:G1"/>
    <mergeCell ref="A17:C17"/>
    <mergeCell ref="H17:H19"/>
    <mergeCell ref="A18:C18"/>
    <mergeCell ref="A19:C19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0F50D-D015-4FD1-81FF-D85A31173F5E}">
  <sheetPr codeName="Hoja34"/>
  <dimension ref="A1:H21"/>
  <sheetViews>
    <sheetView topLeftCell="B1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ht="25.5" x14ac:dyDescent="0.25">
      <c r="A1" s="417"/>
      <c r="B1" s="418">
        <v>8.3000000000000007</v>
      </c>
      <c r="C1" s="419" t="str">
        <f>+'PRESUPUESTO OFICIAL'!B47</f>
        <v>SUMINISTRO E INSTALACION BALA LED 18W INCRUSTAR, 120 V LUZ BLANCA NEUTRA</v>
      </c>
      <c r="D1" s="420" t="str">
        <f>+'PRESUPUESTO OFICIAL'!C37</f>
        <v>M2</v>
      </c>
      <c r="E1" s="552">
        <f>+G14</f>
        <v>53612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478</v>
      </c>
      <c r="B4" s="428"/>
      <c r="C4" s="434" t="s">
        <v>524</v>
      </c>
      <c r="D4" s="430" t="s">
        <v>14</v>
      </c>
      <c r="E4" s="431">
        <v>1</v>
      </c>
      <c r="F4" s="435">
        <v>27900</v>
      </c>
      <c r="G4" s="433">
        <f t="shared" ref="G4" si="0">+E4*F4</f>
        <v>27900</v>
      </c>
    </row>
    <row r="5" spans="1:8" x14ac:dyDescent="0.25">
      <c r="A5" s="464" t="s">
        <v>479</v>
      </c>
      <c r="B5" s="428"/>
      <c r="C5" s="434" t="s">
        <v>523</v>
      </c>
      <c r="D5" s="430" t="s">
        <v>15</v>
      </c>
      <c r="E5" s="468">
        <v>4</v>
      </c>
      <c r="F5" s="435">
        <f>2182*1.35</f>
        <v>2945.7000000000003</v>
      </c>
      <c r="G5" s="433">
        <f>+E5*F5</f>
        <v>11782.800000000001</v>
      </c>
    </row>
    <row r="6" spans="1:8" x14ac:dyDescent="0.25">
      <c r="A6" s="464" t="s">
        <v>479</v>
      </c>
      <c r="B6" s="428"/>
      <c r="C6" s="434" t="s">
        <v>525</v>
      </c>
      <c r="D6" s="430" t="s">
        <v>15</v>
      </c>
      <c r="E6" s="468">
        <v>0.05</v>
      </c>
      <c r="F6" s="435">
        <f>20487*1.3</f>
        <v>26633.100000000002</v>
      </c>
      <c r="G6" s="433">
        <f>+E6*F6</f>
        <v>1331.6550000000002</v>
      </c>
    </row>
    <row r="7" spans="1:8" x14ac:dyDescent="0.25">
      <c r="A7" s="464" t="s">
        <v>479</v>
      </c>
      <c r="B7" s="428"/>
      <c r="C7" s="434"/>
      <c r="D7" s="430"/>
      <c r="E7" s="468"/>
      <c r="F7" s="435"/>
      <c r="G7" s="433"/>
    </row>
    <row r="8" spans="1:8" x14ac:dyDescent="0.25">
      <c r="A8" s="427"/>
      <c r="B8" s="428"/>
      <c r="C8" s="429" t="s">
        <v>468</v>
      </c>
      <c r="D8" s="430"/>
      <c r="E8" s="431"/>
      <c r="F8" s="432"/>
      <c r="G8" s="433"/>
    </row>
    <row r="9" spans="1:8" x14ac:dyDescent="0.25">
      <c r="A9" s="464"/>
      <c r="B9" s="428"/>
      <c r="C9" s="434" t="s">
        <v>239</v>
      </c>
      <c r="D9" s="430" t="s">
        <v>257</v>
      </c>
      <c r="E9" s="466">
        <v>0.05</v>
      </c>
      <c r="F9" s="432">
        <f>+G13</f>
        <v>11997.375</v>
      </c>
      <c r="G9" s="433">
        <f>+E9*F9</f>
        <v>599.86874999999998</v>
      </c>
    </row>
    <row r="10" spans="1:8" x14ac:dyDescent="0.25">
      <c r="A10" s="427"/>
      <c r="B10" s="428"/>
      <c r="C10" s="429" t="s">
        <v>458</v>
      </c>
      <c r="D10" s="430"/>
      <c r="E10" s="431"/>
      <c r="F10" s="432"/>
      <c r="G10" s="433"/>
    </row>
    <row r="11" spans="1:8" x14ac:dyDescent="0.25">
      <c r="A11" s="464"/>
      <c r="B11" s="428"/>
      <c r="C11" s="434"/>
      <c r="D11" s="430"/>
      <c r="E11" s="466"/>
      <c r="F11" s="432"/>
      <c r="G11" s="433"/>
    </row>
    <row r="12" spans="1:8" x14ac:dyDescent="0.25">
      <c r="A12" s="436"/>
      <c r="B12" s="428"/>
      <c r="C12" s="429" t="s">
        <v>461</v>
      </c>
      <c r="D12" s="430"/>
      <c r="E12" s="431"/>
      <c r="F12" s="432"/>
      <c r="G12" s="433"/>
    </row>
    <row r="13" spans="1:8" x14ac:dyDescent="0.25">
      <c r="A13" s="427" t="s">
        <v>462</v>
      </c>
      <c r="B13" s="428"/>
      <c r="C13" s="434" t="s">
        <v>522</v>
      </c>
      <c r="D13" s="430" t="s">
        <v>495</v>
      </c>
      <c r="E13" s="431">
        <v>0.15</v>
      </c>
      <c r="F13" s="435">
        <f>61525*1.3</f>
        <v>79982.5</v>
      </c>
      <c r="G13" s="433">
        <f>+E13*F13</f>
        <v>11997.375</v>
      </c>
    </row>
    <row r="14" spans="1:8" ht="15.75" thickBot="1" x14ac:dyDescent="0.3">
      <c r="A14" s="437"/>
      <c r="B14" s="438"/>
      <c r="C14" s="439"/>
      <c r="D14" s="440"/>
      <c r="E14" s="441"/>
      <c r="F14" s="442"/>
      <c r="G14" s="443">
        <f>ROUND(SUM(G4:G13),0)</f>
        <v>53612</v>
      </c>
    </row>
    <row r="16" spans="1:8" ht="15.75" thickBot="1" x14ac:dyDescent="0.3">
      <c r="A16" s="112" t="s">
        <v>234</v>
      </c>
      <c r="B16" s="112"/>
      <c r="C16" s="112"/>
      <c r="D16" s="112"/>
      <c r="E16" s="112"/>
      <c r="F16" s="113"/>
      <c r="G16" s="113"/>
      <c r="H16" s="112"/>
    </row>
    <row r="17" spans="1:8" ht="15.75" thickTop="1" x14ac:dyDescent="0.25">
      <c r="A17" s="540" t="s">
        <v>26</v>
      </c>
      <c r="B17" s="541"/>
      <c r="C17" s="542"/>
      <c r="D17" s="165" t="s">
        <v>235</v>
      </c>
      <c r="E17" s="165" t="s">
        <v>215</v>
      </c>
      <c r="F17" s="165" t="s">
        <v>216</v>
      </c>
      <c r="G17" s="184" t="s">
        <v>217</v>
      </c>
      <c r="H17" s="503"/>
    </row>
    <row r="18" spans="1:8" ht="15.75" x14ac:dyDescent="0.25">
      <c r="A18" s="534" t="s">
        <v>236</v>
      </c>
      <c r="B18" s="535"/>
      <c r="C18" s="535"/>
      <c r="D18" s="167">
        <f>+'1.1 localizacion'!$D$35</f>
        <v>0.32</v>
      </c>
      <c r="E18" s="168"/>
      <c r="F18" s="169"/>
      <c r="G18" s="185">
        <f>G14*D18</f>
        <v>17155.84</v>
      </c>
      <c r="H18" s="504"/>
    </row>
    <row r="19" spans="1:8" ht="15.75" thickBot="1" x14ac:dyDescent="0.3">
      <c r="A19" s="534" t="s">
        <v>237</v>
      </c>
      <c r="B19" s="536"/>
      <c r="C19" s="536"/>
      <c r="D19" s="167">
        <v>0.05</v>
      </c>
      <c r="E19" s="171"/>
      <c r="F19" s="171"/>
      <c r="G19" s="185">
        <f>G14*D19</f>
        <v>2680.6000000000004</v>
      </c>
      <c r="H19" s="504"/>
    </row>
    <row r="20" spans="1:8" ht="16.5" thickTop="1" thickBot="1" x14ac:dyDescent="0.3">
      <c r="A20" s="496"/>
      <c r="B20" s="486"/>
      <c r="C20" s="486"/>
      <c r="D20" s="128"/>
      <c r="E20" s="129"/>
      <c r="F20" s="130"/>
      <c r="G20" s="130" t="s">
        <v>218</v>
      </c>
      <c r="H20" s="131">
        <f>+G18+G19+G14</f>
        <v>73448.44</v>
      </c>
    </row>
    <row r="21" spans="1:8" ht="15.75" thickTop="1" x14ac:dyDescent="0.25"/>
  </sheetData>
  <mergeCells count="6">
    <mergeCell ref="A20:C20"/>
    <mergeCell ref="E1:G1"/>
    <mergeCell ref="A17:C17"/>
    <mergeCell ref="H17:H19"/>
    <mergeCell ref="A18:C18"/>
    <mergeCell ref="A19:C19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40CE-43C3-4771-9B1E-78C9A1BD3C52}">
  <sheetPr codeName="Hoja35"/>
  <dimension ref="A1:H23"/>
  <sheetViews>
    <sheetView topLeftCell="B1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7" x14ac:dyDescent="0.25">
      <c r="A1" s="417"/>
      <c r="B1" s="418">
        <v>8.4</v>
      </c>
      <c r="C1" s="419" t="str">
        <f>+'PRESUPUESTO OFICIAL'!B48</f>
        <v>SUMINISTRO, TRANSPORTE E INSTALACIÓN INTERRUPTOR SENCILLO</v>
      </c>
      <c r="D1" s="420" t="str">
        <f>+'PRESUPUESTO OFICIAL'!C37</f>
        <v>M2</v>
      </c>
      <c r="E1" s="552">
        <f>+G16</f>
        <v>13491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64" t="s">
        <v>478</v>
      </c>
      <c r="B4" s="428"/>
      <c r="C4" s="434" t="s">
        <v>556</v>
      </c>
      <c r="D4" s="430" t="s">
        <v>14</v>
      </c>
      <c r="E4" s="431">
        <v>1</v>
      </c>
      <c r="F4" s="435">
        <v>7200</v>
      </c>
      <c r="G4" s="433">
        <f t="shared" ref="G4" si="0">+E4*F4</f>
        <v>7200</v>
      </c>
    </row>
    <row r="5" spans="1:7" x14ac:dyDescent="0.25">
      <c r="A5" s="464" t="s">
        <v>479</v>
      </c>
      <c r="B5" s="428"/>
      <c r="C5" s="434" t="s">
        <v>518</v>
      </c>
      <c r="D5" s="430" t="s">
        <v>338</v>
      </c>
      <c r="E5" s="468">
        <v>0.1</v>
      </c>
      <c r="F5" s="435">
        <f>5711*1.1</f>
        <v>6282.1</v>
      </c>
      <c r="G5" s="433">
        <f>+E5*F5</f>
        <v>628.21</v>
      </c>
    </row>
    <row r="6" spans="1:7" x14ac:dyDescent="0.25">
      <c r="A6" s="464" t="s">
        <v>479</v>
      </c>
      <c r="B6" s="428"/>
      <c r="C6" s="434" t="s">
        <v>519</v>
      </c>
      <c r="D6" s="430" t="s">
        <v>14</v>
      </c>
      <c r="E6" s="468">
        <v>1</v>
      </c>
      <c r="F6" s="435">
        <f>3347*1.1</f>
        <v>3681.7000000000003</v>
      </c>
      <c r="G6" s="433">
        <f>+E6*F6</f>
        <v>3681.7000000000003</v>
      </c>
    </row>
    <row r="7" spans="1:7" x14ac:dyDescent="0.25">
      <c r="A7" s="464" t="s">
        <v>479</v>
      </c>
      <c r="B7" s="428"/>
      <c r="C7" s="434" t="s">
        <v>520</v>
      </c>
      <c r="D7" s="430" t="s">
        <v>13</v>
      </c>
      <c r="E7" s="468">
        <v>0.8</v>
      </c>
      <c r="F7" s="435">
        <f>1738*1.1</f>
        <v>1911.8000000000002</v>
      </c>
      <c r="G7" s="433">
        <f>+E7*F7</f>
        <v>1529.4400000000003</v>
      </c>
    </row>
    <row r="8" spans="1:7" x14ac:dyDescent="0.25">
      <c r="A8" s="464" t="s">
        <v>479</v>
      </c>
      <c r="B8" s="428"/>
      <c r="C8" s="434" t="s">
        <v>521</v>
      </c>
      <c r="D8" s="430" t="s">
        <v>14</v>
      </c>
      <c r="E8" s="468">
        <v>1</v>
      </c>
      <c r="F8" s="435">
        <f>338*1.1</f>
        <v>371.8</v>
      </c>
      <c r="G8" s="433">
        <f>+E8*F8</f>
        <v>371.8</v>
      </c>
    </row>
    <row r="9" spans="1:7" x14ac:dyDescent="0.25">
      <c r="A9" s="464" t="s">
        <v>479</v>
      </c>
      <c r="B9" s="428"/>
      <c r="C9" s="434"/>
      <c r="D9" s="430"/>
      <c r="E9" s="468"/>
      <c r="F9" s="435"/>
      <c r="G9" s="433"/>
    </row>
    <row r="10" spans="1:7" x14ac:dyDescent="0.25">
      <c r="A10" s="427"/>
      <c r="B10" s="428"/>
      <c r="C10" s="429" t="s">
        <v>468</v>
      </c>
      <c r="D10" s="430"/>
      <c r="E10" s="431"/>
      <c r="F10" s="432"/>
      <c r="G10" s="433"/>
    </row>
    <row r="11" spans="1:7" x14ac:dyDescent="0.25">
      <c r="A11" s="464"/>
      <c r="B11" s="428"/>
      <c r="C11" s="434" t="s">
        <v>239</v>
      </c>
      <c r="D11" s="430" t="s">
        <v>257</v>
      </c>
      <c r="E11" s="466">
        <v>0.05</v>
      </c>
      <c r="F11" s="432">
        <f>+G14</f>
        <v>0</v>
      </c>
      <c r="G11" s="433">
        <f>+E11*F11</f>
        <v>0</v>
      </c>
    </row>
    <row r="12" spans="1:7" x14ac:dyDescent="0.25">
      <c r="A12" s="427"/>
      <c r="B12" s="428"/>
      <c r="C12" s="429" t="s">
        <v>458</v>
      </c>
      <c r="D12" s="430"/>
      <c r="E12" s="431"/>
      <c r="F12" s="432"/>
      <c r="G12" s="433"/>
    </row>
    <row r="13" spans="1:7" x14ac:dyDescent="0.25">
      <c r="A13" s="464"/>
      <c r="B13" s="428"/>
      <c r="C13" s="434"/>
      <c r="D13" s="430"/>
      <c r="E13" s="466"/>
      <c r="F13" s="432"/>
      <c r="G13" s="433"/>
    </row>
    <row r="14" spans="1:7" x14ac:dyDescent="0.25">
      <c r="A14" s="436"/>
      <c r="B14" s="428"/>
      <c r="C14" s="429" t="s">
        <v>461</v>
      </c>
      <c r="D14" s="430"/>
      <c r="E14" s="431"/>
      <c r="F14" s="432"/>
      <c r="G14" s="433"/>
    </row>
    <row r="15" spans="1:7" x14ac:dyDescent="0.25">
      <c r="A15" s="427" t="s">
        <v>462</v>
      </c>
      <c r="B15" s="428"/>
      <c r="C15" s="434" t="s">
        <v>522</v>
      </c>
      <c r="D15" s="430" t="s">
        <v>495</v>
      </c>
      <c r="E15" s="431">
        <v>1E-3</v>
      </c>
      <c r="F15" s="435">
        <f>61525*1.3</f>
        <v>79982.5</v>
      </c>
      <c r="G15" s="433">
        <f>+E15*F15</f>
        <v>79.982500000000002</v>
      </c>
    </row>
    <row r="16" spans="1:7" ht="15.75" thickBot="1" x14ac:dyDescent="0.3">
      <c r="A16" s="437"/>
      <c r="B16" s="438"/>
      <c r="C16" s="439"/>
      <c r="D16" s="440"/>
      <c r="E16" s="441"/>
      <c r="F16" s="442"/>
      <c r="G16" s="443">
        <f>ROUND(SUM(G4:G15),0)</f>
        <v>13491</v>
      </c>
    </row>
    <row r="18" spans="1:8" ht="15.75" thickBot="1" x14ac:dyDescent="0.3">
      <c r="A18" s="112" t="s">
        <v>234</v>
      </c>
      <c r="B18" s="112"/>
      <c r="C18" s="112"/>
      <c r="D18" s="112"/>
      <c r="E18" s="112"/>
      <c r="F18" s="113"/>
      <c r="G18" s="113"/>
      <c r="H18" s="112"/>
    </row>
    <row r="19" spans="1:8" ht="15.75" thickTop="1" x14ac:dyDescent="0.25">
      <c r="A19" s="540" t="s">
        <v>26</v>
      </c>
      <c r="B19" s="541"/>
      <c r="C19" s="542"/>
      <c r="D19" s="165" t="s">
        <v>235</v>
      </c>
      <c r="E19" s="165" t="s">
        <v>215</v>
      </c>
      <c r="F19" s="165" t="s">
        <v>216</v>
      </c>
      <c r="G19" s="184" t="s">
        <v>217</v>
      </c>
      <c r="H19" s="503"/>
    </row>
    <row r="20" spans="1:8" ht="15.75" x14ac:dyDescent="0.25">
      <c r="A20" s="534" t="s">
        <v>236</v>
      </c>
      <c r="B20" s="535"/>
      <c r="C20" s="535"/>
      <c r="D20" s="167">
        <f>+'1.1 localizacion'!$D$35</f>
        <v>0.32</v>
      </c>
      <c r="E20" s="168"/>
      <c r="F20" s="169"/>
      <c r="G20" s="185">
        <f>G16*D20</f>
        <v>4317.12</v>
      </c>
      <c r="H20" s="504"/>
    </row>
    <row r="21" spans="1:8" ht="15.75" thickBot="1" x14ac:dyDescent="0.3">
      <c r="A21" s="534" t="s">
        <v>237</v>
      </c>
      <c r="B21" s="536"/>
      <c r="C21" s="536"/>
      <c r="D21" s="167">
        <v>0.05</v>
      </c>
      <c r="E21" s="171"/>
      <c r="F21" s="171"/>
      <c r="G21" s="185">
        <f>G16*D21</f>
        <v>674.55000000000007</v>
      </c>
      <c r="H21" s="504"/>
    </row>
    <row r="22" spans="1:8" ht="16.5" thickTop="1" thickBot="1" x14ac:dyDescent="0.3">
      <c r="A22" s="496"/>
      <c r="B22" s="486"/>
      <c r="C22" s="486"/>
      <c r="D22" s="128"/>
      <c r="E22" s="129"/>
      <c r="F22" s="130"/>
      <c r="G22" s="130" t="s">
        <v>218</v>
      </c>
      <c r="H22" s="131">
        <f>+G20+G21+G16</f>
        <v>18482.669999999998</v>
      </c>
    </row>
    <row r="23" spans="1:8" ht="15.75" thickTop="1" x14ac:dyDescent="0.25"/>
  </sheetData>
  <mergeCells count="6">
    <mergeCell ref="A22:C22"/>
    <mergeCell ref="E1:G1"/>
    <mergeCell ref="A19:C19"/>
    <mergeCell ref="H19:H21"/>
    <mergeCell ref="A20:C20"/>
    <mergeCell ref="A21:C2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10C18-71A0-473A-9C0A-4BBEBCF1ADB6}">
  <sheetPr codeName="Hoja36"/>
  <dimension ref="A1:H24"/>
  <sheetViews>
    <sheetView topLeftCell="B1" workbookViewId="0">
      <selection activeCell="D42" sqref="D4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7" ht="63.75" x14ac:dyDescent="0.25">
      <c r="A1" s="417"/>
      <c r="B1" s="418">
        <v>8.6</v>
      </c>
      <c r="C1" s="419" t="str">
        <f>+'PRESUPUESTO OFICIAL'!B50</f>
        <v>SUMINISTRO E INSTALACIÓN DE PUNTO ELÉCTRICO PARA TOMACORRIENTE DOBLE SOBRE CANALETA INCLUYE TUBERÍA CONDUIT Y 3 CABLE N° 12, CANALETA PVC, CONDUCTORES, APARTATO 8m Y DEMÁS ELEMENTOS NECESARIOS PARA SU CORRECTA EJECUCIÓN.</v>
      </c>
      <c r="D1" s="420" t="str">
        <f>+'PRESUPUESTO OFICIAL'!C37</f>
        <v>M2</v>
      </c>
      <c r="E1" s="552">
        <f>+G17</f>
        <v>111993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64" t="s">
        <v>478</v>
      </c>
      <c r="B4" s="428"/>
      <c r="C4" s="434" t="s">
        <v>580</v>
      </c>
      <c r="D4" s="430" t="s">
        <v>327</v>
      </c>
      <c r="E4" s="431">
        <v>3</v>
      </c>
      <c r="F4" s="435">
        <v>2000</v>
      </c>
      <c r="G4" s="433">
        <f t="shared" ref="G4" si="0">+E4*F4</f>
        <v>6000</v>
      </c>
    </row>
    <row r="5" spans="1:7" x14ac:dyDescent="0.25">
      <c r="A5" s="464" t="s">
        <v>479</v>
      </c>
      <c r="B5" s="428"/>
      <c r="C5" s="434" t="s">
        <v>582</v>
      </c>
      <c r="D5" s="430" t="s">
        <v>14</v>
      </c>
      <c r="E5" s="468">
        <v>1</v>
      </c>
      <c r="F5" s="435">
        <v>1800</v>
      </c>
      <c r="G5" s="433">
        <f t="shared" ref="G5:G10" si="1">+E5*F5</f>
        <v>1800</v>
      </c>
    </row>
    <row r="6" spans="1:7" x14ac:dyDescent="0.25">
      <c r="A6" s="464" t="s">
        <v>479</v>
      </c>
      <c r="B6" s="428"/>
      <c r="C6" s="434" t="s">
        <v>581</v>
      </c>
      <c r="D6" s="430" t="s">
        <v>14</v>
      </c>
      <c r="E6" s="468">
        <v>1</v>
      </c>
      <c r="F6" s="435">
        <v>450</v>
      </c>
      <c r="G6" s="433">
        <f t="shared" si="1"/>
        <v>450</v>
      </c>
    </row>
    <row r="7" spans="1:7" x14ac:dyDescent="0.25">
      <c r="A7" s="464" t="s">
        <v>479</v>
      </c>
      <c r="B7" s="428"/>
      <c r="C7" s="434" t="s">
        <v>583</v>
      </c>
      <c r="D7" s="430" t="s">
        <v>327</v>
      </c>
      <c r="E7" s="468">
        <v>8</v>
      </c>
      <c r="F7" s="435">
        <v>2800</v>
      </c>
      <c r="G7" s="433">
        <f t="shared" si="1"/>
        <v>22400</v>
      </c>
    </row>
    <row r="8" spans="1:7" x14ac:dyDescent="0.25">
      <c r="A8" s="464" t="s">
        <v>479</v>
      </c>
      <c r="B8" s="428"/>
      <c r="C8" s="434" t="s">
        <v>584</v>
      </c>
      <c r="D8" s="430" t="s">
        <v>327</v>
      </c>
      <c r="E8" s="468">
        <v>0.1</v>
      </c>
      <c r="F8" s="435">
        <v>3500</v>
      </c>
      <c r="G8" s="433">
        <f t="shared" si="1"/>
        <v>350</v>
      </c>
    </row>
    <row r="9" spans="1:7" x14ac:dyDescent="0.25">
      <c r="A9" s="464" t="s">
        <v>479</v>
      </c>
      <c r="B9" s="428"/>
      <c r="C9" s="434" t="s">
        <v>586</v>
      </c>
      <c r="D9" s="430" t="s">
        <v>327</v>
      </c>
      <c r="E9" s="468">
        <v>8</v>
      </c>
      <c r="F9" s="435">
        <v>4100</v>
      </c>
      <c r="G9" s="433">
        <f t="shared" si="1"/>
        <v>32800</v>
      </c>
    </row>
    <row r="10" spans="1:7" x14ac:dyDescent="0.25">
      <c r="A10" s="464" t="s">
        <v>479</v>
      </c>
      <c r="B10" s="428"/>
      <c r="C10" s="434" t="s">
        <v>585</v>
      </c>
      <c r="D10" s="430" t="s">
        <v>14</v>
      </c>
      <c r="E10" s="468">
        <v>1</v>
      </c>
      <c r="F10" s="435">
        <v>16280</v>
      </c>
      <c r="G10" s="433">
        <f t="shared" si="1"/>
        <v>16280</v>
      </c>
    </row>
    <row r="11" spans="1:7" x14ac:dyDescent="0.25">
      <c r="A11" s="427"/>
      <c r="B11" s="428"/>
      <c r="C11" s="429" t="s">
        <v>468</v>
      </c>
      <c r="D11" s="430"/>
      <c r="E11" s="431"/>
      <c r="F11" s="432"/>
      <c r="G11" s="433"/>
    </row>
    <row r="12" spans="1:7" x14ac:dyDescent="0.25">
      <c r="A12" s="464"/>
      <c r="B12" s="428"/>
      <c r="C12" s="434" t="s">
        <v>239</v>
      </c>
      <c r="D12" s="430" t="s">
        <v>257</v>
      </c>
      <c r="E12" s="466">
        <v>0.05</v>
      </c>
      <c r="F12" s="432">
        <f>+G16</f>
        <v>30393.35</v>
      </c>
      <c r="G12" s="433">
        <f>+E12*F12</f>
        <v>1519.6675</v>
      </c>
    </row>
    <row r="13" spans="1:7" x14ac:dyDescent="0.25">
      <c r="A13" s="427"/>
      <c r="B13" s="428"/>
      <c r="C13" s="429" t="s">
        <v>458</v>
      </c>
      <c r="D13" s="430"/>
      <c r="E13" s="431"/>
      <c r="F13" s="432"/>
      <c r="G13" s="433"/>
    </row>
    <row r="14" spans="1:7" x14ac:dyDescent="0.25">
      <c r="A14" s="464"/>
      <c r="B14" s="428"/>
      <c r="C14" s="434"/>
      <c r="D14" s="430"/>
      <c r="E14" s="466"/>
      <c r="F14" s="432"/>
      <c r="G14" s="433"/>
    </row>
    <row r="15" spans="1:7" x14ac:dyDescent="0.25">
      <c r="A15" s="436"/>
      <c r="B15" s="428"/>
      <c r="C15" s="429" t="s">
        <v>461</v>
      </c>
      <c r="D15" s="430"/>
      <c r="E15" s="431"/>
      <c r="F15" s="432"/>
      <c r="G15" s="433"/>
    </row>
    <row r="16" spans="1:7" x14ac:dyDescent="0.25">
      <c r="A16" s="427" t="s">
        <v>462</v>
      </c>
      <c r="B16" s="428"/>
      <c r="C16" s="434" t="s">
        <v>522</v>
      </c>
      <c r="D16" s="430" t="s">
        <v>495</v>
      </c>
      <c r="E16" s="431">
        <v>0.38</v>
      </c>
      <c r="F16" s="435">
        <f>61525*1.3</f>
        <v>79982.5</v>
      </c>
      <c r="G16" s="433">
        <f>+E16*F16</f>
        <v>30393.35</v>
      </c>
    </row>
    <row r="17" spans="1:8" ht="15.75" thickBot="1" x14ac:dyDescent="0.3">
      <c r="A17" s="437"/>
      <c r="B17" s="438"/>
      <c r="C17" s="439"/>
      <c r="D17" s="440"/>
      <c r="E17" s="441"/>
      <c r="F17" s="442"/>
      <c r="G17" s="443">
        <f>ROUND(SUM(G4:G16),0)</f>
        <v>111993</v>
      </c>
    </row>
    <row r="19" spans="1:8" ht="15.75" thickBot="1" x14ac:dyDescent="0.3">
      <c r="A19" s="112" t="s">
        <v>234</v>
      </c>
      <c r="B19" s="112"/>
      <c r="C19" s="112"/>
      <c r="D19" s="112"/>
      <c r="E19" s="112"/>
      <c r="F19" s="113"/>
      <c r="G19" s="113"/>
      <c r="H19" s="112"/>
    </row>
    <row r="20" spans="1:8" ht="15.75" thickTop="1" x14ac:dyDescent="0.25">
      <c r="A20" s="540" t="s">
        <v>26</v>
      </c>
      <c r="B20" s="541"/>
      <c r="C20" s="542"/>
      <c r="D20" s="165" t="s">
        <v>235</v>
      </c>
      <c r="E20" s="165" t="s">
        <v>215</v>
      </c>
      <c r="F20" s="165" t="s">
        <v>216</v>
      </c>
      <c r="G20" s="184" t="s">
        <v>217</v>
      </c>
      <c r="H20" s="503"/>
    </row>
    <row r="21" spans="1:8" ht="15.75" x14ac:dyDescent="0.25">
      <c r="A21" s="534" t="s">
        <v>236</v>
      </c>
      <c r="B21" s="535"/>
      <c r="C21" s="535"/>
      <c r="D21" s="167">
        <f>+'1.1 localizacion'!$D$35</f>
        <v>0.32</v>
      </c>
      <c r="E21" s="168"/>
      <c r="F21" s="169"/>
      <c r="G21" s="185">
        <f>G17*D21</f>
        <v>35837.760000000002</v>
      </c>
      <c r="H21" s="504"/>
    </row>
    <row r="22" spans="1:8" ht="15.75" thickBot="1" x14ac:dyDescent="0.3">
      <c r="A22" s="534" t="s">
        <v>237</v>
      </c>
      <c r="B22" s="536"/>
      <c r="C22" s="536"/>
      <c r="D22" s="167">
        <v>0.05</v>
      </c>
      <c r="E22" s="171"/>
      <c r="F22" s="171"/>
      <c r="G22" s="185">
        <f>G17*D22</f>
        <v>5599.6500000000005</v>
      </c>
      <c r="H22" s="504"/>
    </row>
    <row r="23" spans="1:8" ht="16.5" thickTop="1" thickBot="1" x14ac:dyDescent="0.3">
      <c r="A23" s="496"/>
      <c r="B23" s="486"/>
      <c r="C23" s="486"/>
      <c r="D23" s="128"/>
      <c r="E23" s="129"/>
      <c r="F23" s="130"/>
      <c r="G23" s="130" t="s">
        <v>218</v>
      </c>
      <c r="H23" s="131">
        <f>+G21+G22+G17</f>
        <v>153430.41</v>
      </c>
    </row>
    <row r="24" spans="1:8" ht="15.75" thickTop="1" x14ac:dyDescent="0.25"/>
  </sheetData>
  <mergeCells count="6">
    <mergeCell ref="A23:C23"/>
    <mergeCell ref="E1:G1"/>
    <mergeCell ref="A20:C20"/>
    <mergeCell ref="H20:H22"/>
    <mergeCell ref="A21:C21"/>
    <mergeCell ref="A22:C22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0CD30-C630-4FA0-8DC2-53B82A5D4692}">
  <sheetPr codeName="Hoja37"/>
  <dimension ref="A1:H19"/>
  <sheetViews>
    <sheetView topLeftCell="B12" workbookViewId="0">
      <selection activeCell="B2" sqref="B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x14ac:dyDescent="0.25">
      <c r="A1" s="417"/>
      <c r="B1" s="418">
        <v>9.1</v>
      </c>
      <c r="C1" s="419" t="str">
        <f>+'PRESUPUESTO OFICIAL'!B52</f>
        <v>DESMONTE APARATOS SANITARIOS</v>
      </c>
      <c r="D1" s="420" t="str">
        <f>+'PRESUPUESTO OFICIAL'!C37</f>
        <v>M2</v>
      </c>
      <c r="E1" s="552">
        <f>+G12</f>
        <v>63961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479</v>
      </c>
      <c r="B4" s="428"/>
      <c r="C4" s="434"/>
      <c r="D4" s="430"/>
      <c r="E4" s="468"/>
      <c r="F4" s="435"/>
      <c r="G4" s="433"/>
    </row>
    <row r="5" spans="1:8" x14ac:dyDescent="0.25">
      <c r="A5" s="427"/>
      <c r="B5" s="428"/>
      <c r="C5" s="429" t="s">
        <v>468</v>
      </c>
      <c r="D5" s="430"/>
      <c r="E5" s="431"/>
      <c r="F5" s="432"/>
      <c r="G5" s="433"/>
    </row>
    <row r="6" spans="1:8" x14ac:dyDescent="0.25">
      <c r="A6" s="464"/>
      <c r="B6" s="428"/>
      <c r="C6" s="434" t="s">
        <v>239</v>
      </c>
      <c r="D6" s="430" t="s">
        <v>257</v>
      </c>
      <c r="E6" s="466">
        <v>0.05</v>
      </c>
      <c r="F6" s="432">
        <v>118460</v>
      </c>
      <c r="G6" s="433">
        <f>+E6*F6</f>
        <v>5923</v>
      </c>
    </row>
    <row r="7" spans="1:8" x14ac:dyDescent="0.25">
      <c r="A7" s="427"/>
      <c r="B7" s="428"/>
      <c r="C7" s="429" t="s">
        <v>458</v>
      </c>
      <c r="D7" s="430"/>
      <c r="E7" s="431"/>
      <c r="F7" s="432"/>
      <c r="G7" s="433"/>
    </row>
    <row r="8" spans="1:8" x14ac:dyDescent="0.25">
      <c r="A8" s="464"/>
      <c r="B8" s="428"/>
      <c r="C8" s="434" t="s">
        <v>539</v>
      </c>
      <c r="D8" s="430" t="s">
        <v>540</v>
      </c>
      <c r="E8" s="469">
        <v>0.01</v>
      </c>
      <c r="F8" s="432">
        <v>162197</v>
      </c>
      <c r="G8" s="433">
        <f>+E8*F8</f>
        <v>1621.97</v>
      </c>
    </row>
    <row r="9" spans="1:8" x14ac:dyDescent="0.25">
      <c r="A9" s="464"/>
      <c r="B9" s="428"/>
      <c r="C9" s="434" t="s">
        <v>357</v>
      </c>
      <c r="D9" s="430" t="s">
        <v>14</v>
      </c>
      <c r="E9" s="469">
        <v>2.0099999999999998</v>
      </c>
      <c r="F9" s="432">
        <v>1824</v>
      </c>
      <c r="G9" s="433">
        <f>+E9*F9</f>
        <v>3666.24</v>
      </c>
    </row>
    <row r="10" spans="1:8" x14ac:dyDescent="0.25">
      <c r="A10" s="436"/>
      <c r="B10" s="428"/>
      <c r="C10" s="429" t="s">
        <v>461</v>
      </c>
      <c r="D10" s="430"/>
      <c r="E10" s="431"/>
      <c r="F10" s="432"/>
      <c r="G10" s="433"/>
    </row>
    <row r="11" spans="1:8" x14ac:dyDescent="0.25">
      <c r="A11" s="427" t="s">
        <v>462</v>
      </c>
      <c r="B11" s="428"/>
      <c r="C11" s="434" t="s">
        <v>538</v>
      </c>
      <c r="D11" s="430" t="s">
        <v>495</v>
      </c>
      <c r="E11" s="431">
        <v>1.7</v>
      </c>
      <c r="F11" s="435">
        <v>31029</v>
      </c>
      <c r="G11" s="433">
        <f>+E11*F11</f>
        <v>52749.299999999996</v>
      </c>
    </row>
    <row r="12" spans="1:8" ht="15.75" thickBot="1" x14ac:dyDescent="0.3">
      <c r="A12" s="437"/>
      <c r="B12" s="438"/>
      <c r="C12" s="439"/>
      <c r="D12" s="440"/>
      <c r="E12" s="441"/>
      <c r="F12" s="442"/>
      <c r="G12" s="443">
        <f>ROUND(SUM(G4:G11),0)</f>
        <v>63961</v>
      </c>
    </row>
    <row r="14" spans="1:8" ht="15.75" thickBot="1" x14ac:dyDescent="0.3">
      <c r="A14" s="112" t="s">
        <v>234</v>
      </c>
      <c r="B14" s="112"/>
      <c r="C14" s="112"/>
      <c r="D14" s="112"/>
      <c r="E14" s="112"/>
      <c r="F14" s="113"/>
      <c r="G14" s="113"/>
      <c r="H14" s="112"/>
    </row>
    <row r="15" spans="1:8" ht="15.75" thickTop="1" x14ac:dyDescent="0.25">
      <c r="A15" s="540" t="s">
        <v>26</v>
      </c>
      <c r="B15" s="541"/>
      <c r="C15" s="542"/>
      <c r="D15" s="165" t="s">
        <v>235</v>
      </c>
      <c r="E15" s="165" t="s">
        <v>215</v>
      </c>
      <c r="F15" s="165" t="s">
        <v>216</v>
      </c>
      <c r="G15" s="184" t="s">
        <v>217</v>
      </c>
      <c r="H15" s="503"/>
    </row>
    <row r="16" spans="1:8" ht="15.75" x14ac:dyDescent="0.25">
      <c r="A16" s="534" t="s">
        <v>236</v>
      </c>
      <c r="B16" s="535"/>
      <c r="C16" s="535"/>
      <c r="D16" s="167">
        <f>+'1.1 localizacion'!$D$35</f>
        <v>0.32</v>
      </c>
      <c r="E16" s="168"/>
      <c r="F16" s="169"/>
      <c r="G16" s="185">
        <f>G12*D16</f>
        <v>20467.52</v>
      </c>
      <c r="H16" s="504"/>
    </row>
    <row r="17" spans="1:8" ht="15.75" thickBot="1" x14ac:dyDescent="0.3">
      <c r="A17" s="534" t="s">
        <v>237</v>
      </c>
      <c r="B17" s="536"/>
      <c r="C17" s="536"/>
      <c r="D17" s="167">
        <v>0.05</v>
      </c>
      <c r="E17" s="171"/>
      <c r="F17" s="171"/>
      <c r="G17" s="185">
        <f>G12*D17</f>
        <v>3198.05</v>
      </c>
      <c r="H17" s="504"/>
    </row>
    <row r="18" spans="1:8" ht="16.5" thickTop="1" thickBot="1" x14ac:dyDescent="0.3">
      <c r="A18" s="496"/>
      <c r="B18" s="486"/>
      <c r="C18" s="486"/>
      <c r="D18" s="128"/>
      <c r="E18" s="129"/>
      <c r="F18" s="130"/>
      <c r="G18" s="130" t="s">
        <v>218</v>
      </c>
      <c r="H18" s="131">
        <f>+G16+G17+G12</f>
        <v>87626.57</v>
      </c>
    </row>
    <row r="19" spans="1:8" ht="15.75" thickTop="1" x14ac:dyDescent="0.25"/>
  </sheetData>
  <mergeCells count="6">
    <mergeCell ref="A18:C18"/>
    <mergeCell ref="E1:G1"/>
    <mergeCell ref="A15:C15"/>
    <mergeCell ref="H15:H17"/>
    <mergeCell ref="A16:C16"/>
    <mergeCell ref="A17:C1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C3792-25ED-4200-A57C-7BD7835DD613}">
  <sheetPr codeName="Hoja38"/>
  <dimension ref="A1:H23"/>
  <sheetViews>
    <sheetView topLeftCell="B15" workbookViewId="0">
      <selection activeCell="B2" sqref="B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7" x14ac:dyDescent="0.25">
      <c r="A1" s="417"/>
      <c r="B1" s="418">
        <v>9.1999999999999993</v>
      </c>
      <c r="C1" s="419" t="str">
        <f>+'PRESUPUESTO OFICIAL'!B53</f>
        <v>SUMINISTRO E INSTALACION DE COMBO SANITARIO Y LAVAMANOS.</v>
      </c>
      <c r="D1" s="420" t="str">
        <f>+'PRESUPUESTO OFICIAL'!C37</f>
        <v>M2</v>
      </c>
      <c r="E1" s="552">
        <f>+G16</f>
        <v>629882</v>
      </c>
      <c r="F1" s="552"/>
      <c r="G1" s="553"/>
    </row>
    <row r="2" spans="1:7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7" x14ac:dyDescent="0.25">
      <c r="A3" s="427"/>
      <c r="B3" s="428"/>
      <c r="C3" s="429" t="s">
        <v>441</v>
      </c>
      <c r="D3" s="430"/>
      <c r="E3" s="431"/>
      <c r="F3" s="432"/>
      <c r="G3" s="433"/>
    </row>
    <row r="4" spans="1:7" x14ac:dyDescent="0.25">
      <c r="A4" s="464" t="s">
        <v>479</v>
      </c>
      <c r="B4" s="428"/>
      <c r="C4" s="470" t="s">
        <v>542</v>
      </c>
      <c r="D4" s="430" t="s">
        <v>25</v>
      </c>
      <c r="E4" s="468">
        <v>1</v>
      </c>
      <c r="F4" s="435">
        <v>450000</v>
      </c>
      <c r="G4" s="433">
        <f>+E4*F4</f>
        <v>450000</v>
      </c>
    </row>
    <row r="5" spans="1:7" x14ac:dyDescent="0.25">
      <c r="A5" s="464" t="s">
        <v>479</v>
      </c>
      <c r="B5" s="428"/>
      <c r="C5" s="470" t="s">
        <v>543</v>
      </c>
      <c r="D5" s="430" t="s">
        <v>25</v>
      </c>
      <c r="E5" s="468">
        <v>1</v>
      </c>
      <c r="F5" s="435">
        <v>7038</v>
      </c>
      <c r="G5" s="433">
        <f t="shared" ref="G5:G9" si="0">+E5*F5</f>
        <v>7038</v>
      </c>
    </row>
    <row r="6" spans="1:7" x14ac:dyDescent="0.25">
      <c r="A6" s="464" t="s">
        <v>479</v>
      </c>
      <c r="B6" s="428"/>
      <c r="C6" s="470" t="s">
        <v>544</v>
      </c>
      <c r="D6" s="430" t="s">
        <v>25</v>
      </c>
      <c r="E6" s="468">
        <v>1</v>
      </c>
      <c r="F6" s="435">
        <v>17552.399999999998</v>
      </c>
      <c r="G6" s="433">
        <f t="shared" si="0"/>
        <v>17552.399999999998</v>
      </c>
    </row>
    <row r="7" spans="1:7" x14ac:dyDescent="0.25">
      <c r="A7" s="464" t="s">
        <v>479</v>
      </c>
      <c r="B7" s="428"/>
      <c r="C7" s="470" t="s">
        <v>545</v>
      </c>
      <c r="D7" s="430" t="s">
        <v>25</v>
      </c>
      <c r="E7" s="468">
        <v>1</v>
      </c>
      <c r="F7" s="435">
        <v>10468.799999999999</v>
      </c>
      <c r="G7" s="433">
        <f t="shared" si="0"/>
        <v>10468.799999999999</v>
      </c>
    </row>
    <row r="8" spans="1:7" x14ac:dyDescent="0.25">
      <c r="A8" s="464" t="s">
        <v>479</v>
      </c>
      <c r="B8" s="428"/>
      <c r="C8" s="470" t="s">
        <v>546</v>
      </c>
      <c r="D8" s="430" t="s">
        <v>25</v>
      </c>
      <c r="E8" s="468">
        <v>0.25</v>
      </c>
      <c r="F8" s="435">
        <v>1617.6</v>
      </c>
      <c r="G8" s="433">
        <f t="shared" si="0"/>
        <v>404.4</v>
      </c>
    </row>
    <row r="9" spans="1:7" x14ac:dyDescent="0.25">
      <c r="A9" s="464" t="s">
        <v>479</v>
      </c>
      <c r="B9" s="428"/>
      <c r="C9" s="470" t="s">
        <v>547</v>
      </c>
      <c r="D9" s="430" t="s">
        <v>374</v>
      </c>
      <c r="E9" s="468">
        <v>0.5</v>
      </c>
      <c r="F9" s="435">
        <v>2154</v>
      </c>
      <c r="G9" s="433">
        <f t="shared" si="0"/>
        <v>1077</v>
      </c>
    </row>
    <row r="10" spans="1:7" x14ac:dyDescent="0.25">
      <c r="A10" s="427"/>
      <c r="B10" s="428"/>
      <c r="C10" s="429" t="s">
        <v>468</v>
      </c>
      <c r="D10" s="430"/>
      <c r="E10" s="431"/>
      <c r="F10" s="432"/>
      <c r="G10" s="433"/>
    </row>
    <row r="11" spans="1:7" x14ac:dyDescent="0.25">
      <c r="A11" s="464"/>
      <c r="B11" s="428"/>
      <c r="C11" s="434" t="s">
        <v>239</v>
      </c>
      <c r="D11" s="430" t="s">
        <v>257</v>
      </c>
      <c r="E11" s="466">
        <v>0.05</v>
      </c>
      <c r="F11" s="432">
        <f>+G15</f>
        <v>128092.572</v>
      </c>
      <c r="G11" s="433">
        <f>+E11*F11</f>
        <v>6404.6286</v>
      </c>
    </row>
    <row r="12" spans="1:7" x14ac:dyDescent="0.25">
      <c r="A12" s="427"/>
      <c r="B12" s="428"/>
      <c r="C12" s="429" t="s">
        <v>458</v>
      </c>
      <c r="D12" s="430"/>
      <c r="E12" s="431"/>
      <c r="F12" s="432"/>
      <c r="G12" s="433"/>
    </row>
    <row r="13" spans="1:7" x14ac:dyDescent="0.25">
      <c r="A13" s="464"/>
      <c r="B13" s="428"/>
      <c r="C13" s="434" t="s">
        <v>377</v>
      </c>
      <c r="D13" s="430" t="s">
        <v>495</v>
      </c>
      <c r="E13" s="469">
        <v>0.2</v>
      </c>
      <c r="F13" s="432">
        <v>44220</v>
      </c>
      <c r="G13" s="433">
        <f>+E13*F13</f>
        <v>8844</v>
      </c>
    </row>
    <row r="14" spans="1:7" x14ac:dyDescent="0.25">
      <c r="A14" s="436"/>
      <c r="B14" s="428"/>
      <c r="C14" s="429" t="s">
        <v>461</v>
      </c>
      <c r="D14" s="430"/>
      <c r="E14" s="431"/>
      <c r="F14" s="432"/>
      <c r="G14" s="433"/>
    </row>
    <row r="15" spans="1:7" x14ac:dyDescent="0.25">
      <c r="A15" s="427" t="s">
        <v>462</v>
      </c>
      <c r="B15" s="428"/>
      <c r="C15" s="434" t="s">
        <v>548</v>
      </c>
      <c r="D15" s="430" t="s">
        <v>495</v>
      </c>
      <c r="E15" s="431">
        <v>0.52600000000000002</v>
      </c>
      <c r="F15" s="435">
        <v>243522</v>
      </c>
      <c r="G15" s="433">
        <f>+E15*F15</f>
        <v>128092.572</v>
      </c>
    </row>
    <row r="16" spans="1:7" ht="15.75" thickBot="1" x14ac:dyDescent="0.3">
      <c r="A16" s="437"/>
      <c r="B16" s="438"/>
      <c r="C16" s="439"/>
      <c r="D16" s="440"/>
      <c r="E16" s="441"/>
      <c r="F16" s="442"/>
      <c r="G16" s="443">
        <f>ROUND(SUM(G4:G15),0)</f>
        <v>629882</v>
      </c>
    </row>
    <row r="18" spans="1:8" ht="15.75" thickBot="1" x14ac:dyDescent="0.3">
      <c r="A18" s="112" t="s">
        <v>234</v>
      </c>
      <c r="B18" s="112"/>
      <c r="C18" s="112"/>
      <c r="D18" s="112"/>
      <c r="E18" s="112"/>
      <c r="F18" s="113"/>
      <c r="G18" s="113"/>
      <c r="H18" s="112"/>
    </row>
    <row r="19" spans="1:8" ht="15.75" thickTop="1" x14ac:dyDescent="0.25">
      <c r="A19" s="540" t="s">
        <v>26</v>
      </c>
      <c r="B19" s="541"/>
      <c r="C19" s="542"/>
      <c r="D19" s="165" t="s">
        <v>235</v>
      </c>
      <c r="E19" s="165" t="s">
        <v>215</v>
      </c>
      <c r="F19" s="165" t="s">
        <v>216</v>
      </c>
      <c r="G19" s="184" t="s">
        <v>217</v>
      </c>
      <c r="H19" s="503"/>
    </row>
    <row r="20" spans="1:8" ht="15.75" x14ac:dyDescent="0.25">
      <c r="A20" s="534" t="s">
        <v>236</v>
      </c>
      <c r="B20" s="535"/>
      <c r="C20" s="535"/>
      <c r="D20" s="167">
        <f>+'1.1 localizacion'!$D$35</f>
        <v>0.32</v>
      </c>
      <c r="E20" s="168"/>
      <c r="F20" s="169"/>
      <c r="G20" s="185">
        <f>G16*D20</f>
        <v>201562.23999999999</v>
      </c>
      <c r="H20" s="504"/>
    </row>
    <row r="21" spans="1:8" ht="15.75" thickBot="1" x14ac:dyDescent="0.3">
      <c r="A21" s="534" t="s">
        <v>237</v>
      </c>
      <c r="B21" s="536"/>
      <c r="C21" s="536"/>
      <c r="D21" s="167">
        <v>0.05</v>
      </c>
      <c r="E21" s="171"/>
      <c r="F21" s="171"/>
      <c r="G21" s="185">
        <f>G16*D21</f>
        <v>31494.100000000002</v>
      </c>
      <c r="H21" s="504"/>
    </row>
    <row r="22" spans="1:8" ht="16.5" thickTop="1" thickBot="1" x14ac:dyDescent="0.3">
      <c r="A22" s="496"/>
      <c r="B22" s="486"/>
      <c r="C22" s="486"/>
      <c r="D22" s="128"/>
      <c r="E22" s="129"/>
      <c r="F22" s="130"/>
      <c r="G22" s="130" t="s">
        <v>218</v>
      </c>
      <c r="H22" s="131">
        <f>+G20+G21+G16</f>
        <v>862938.34</v>
      </c>
    </row>
    <row r="23" spans="1:8" ht="15.75" thickTop="1" x14ac:dyDescent="0.25"/>
  </sheetData>
  <mergeCells count="6">
    <mergeCell ref="A22:C22"/>
    <mergeCell ref="E1:G1"/>
    <mergeCell ref="A19:C19"/>
    <mergeCell ref="H19:H21"/>
    <mergeCell ref="A20:C20"/>
    <mergeCell ref="A21:C2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013FD-D007-446B-A5F1-D2B29ED032FA}">
  <sheetPr codeName="Hoja39"/>
  <dimension ref="A1:H20"/>
  <sheetViews>
    <sheetView topLeftCell="B1" workbookViewId="0">
      <selection activeCell="B2" sqref="B2"/>
    </sheetView>
  </sheetViews>
  <sheetFormatPr baseColWidth="10" defaultRowHeight="15" x14ac:dyDescent="0.25"/>
  <cols>
    <col min="1" max="1" width="0" hidden="1" customWidth="1"/>
    <col min="3" max="3" width="56.42578125" customWidth="1"/>
    <col min="6" max="7" width="12.42578125" bestFit="1" customWidth="1"/>
  </cols>
  <sheetData>
    <row r="1" spans="1:8" ht="25.5" x14ac:dyDescent="0.25">
      <c r="A1" s="417"/>
      <c r="B1" s="418">
        <v>9.3000000000000007</v>
      </c>
      <c r="C1" s="419" t="str">
        <f>+'PRESUPUESTO OFICIAL'!B54</f>
        <v>SUMINISTRO, TRANSPORTE E INSTALACIÓN DE CERÁMICA DE PISOS PARA BAÑOS.</v>
      </c>
      <c r="D1" s="420" t="str">
        <f>+'PRESUPUESTO OFICIAL'!C37</f>
        <v>M2</v>
      </c>
      <c r="E1" s="552">
        <f>+G13</f>
        <v>86057</v>
      </c>
      <c r="F1" s="552"/>
      <c r="G1" s="553"/>
    </row>
    <row r="2" spans="1:8" ht="25.5" x14ac:dyDescent="0.25">
      <c r="A2" s="421"/>
      <c r="B2" s="422"/>
      <c r="C2" s="423" t="s">
        <v>411</v>
      </c>
      <c r="D2" s="423" t="s">
        <v>3</v>
      </c>
      <c r="E2" s="424" t="s">
        <v>4</v>
      </c>
      <c r="F2" s="425" t="s">
        <v>45</v>
      </c>
      <c r="G2" s="426" t="s">
        <v>440</v>
      </c>
    </row>
    <row r="3" spans="1:8" x14ac:dyDescent="0.25">
      <c r="A3" s="427"/>
      <c r="B3" s="428"/>
      <c r="C3" s="429" t="s">
        <v>441</v>
      </c>
      <c r="D3" s="430"/>
      <c r="E3" s="431"/>
      <c r="F3" s="432"/>
      <c r="G3" s="433"/>
    </row>
    <row r="4" spans="1:8" x14ac:dyDescent="0.25">
      <c r="A4" s="464" t="s">
        <v>479</v>
      </c>
      <c r="B4" s="428"/>
      <c r="C4" s="470" t="s">
        <v>550</v>
      </c>
      <c r="D4" s="430" t="s">
        <v>553</v>
      </c>
      <c r="E4" s="453">
        <v>1.05</v>
      </c>
      <c r="F4" s="435">
        <v>30200</v>
      </c>
      <c r="G4" s="454">
        <f>+E4*F4</f>
        <v>31710</v>
      </c>
    </row>
    <row r="5" spans="1:8" x14ac:dyDescent="0.25">
      <c r="A5" s="464" t="s">
        <v>479</v>
      </c>
      <c r="B5" s="428"/>
      <c r="C5" s="470" t="s">
        <v>551</v>
      </c>
      <c r="D5" s="430" t="s">
        <v>532</v>
      </c>
      <c r="E5" s="453">
        <v>8</v>
      </c>
      <c r="F5" s="435">
        <v>1120</v>
      </c>
      <c r="G5" s="454">
        <f>+E5*F5</f>
        <v>8960</v>
      </c>
    </row>
    <row r="6" spans="1:8" x14ac:dyDescent="0.25">
      <c r="A6" s="464" t="s">
        <v>479</v>
      </c>
      <c r="B6" s="428"/>
      <c r="C6" s="470" t="s">
        <v>552</v>
      </c>
      <c r="D6" s="430" t="s">
        <v>532</v>
      </c>
      <c r="E6" s="453">
        <v>1</v>
      </c>
      <c r="F6" s="435">
        <v>9000</v>
      </c>
      <c r="G6" s="454">
        <f>+E6*F6</f>
        <v>9000</v>
      </c>
    </row>
    <row r="7" spans="1:8" x14ac:dyDescent="0.25">
      <c r="A7" s="427"/>
      <c r="B7" s="428"/>
      <c r="C7" s="429" t="s">
        <v>468</v>
      </c>
      <c r="D7" s="430"/>
      <c r="E7" s="431"/>
      <c r="F7" s="432"/>
      <c r="G7" s="433"/>
    </row>
    <row r="8" spans="1:8" x14ac:dyDescent="0.25">
      <c r="A8" s="464"/>
      <c r="B8" s="428"/>
      <c r="C8" s="434" t="s">
        <v>239</v>
      </c>
      <c r="D8" s="430" t="s">
        <v>257</v>
      </c>
      <c r="E8" s="466">
        <v>0.08</v>
      </c>
      <c r="F8" s="432">
        <v>33691.360000000001</v>
      </c>
      <c r="G8" s="433">
        <f>+E8*F8</f>
        <v>2695.3088000000002</v>
      </c>
    </row>
    <row r="9" spans="1:8" x14ac:dyDescent="0.25">
      <c r="A9" s="427"/>
      <c r="B9" s="428"/>
      <c r="C9" s="429" t="s">
        <v>458</v>
      </c>
      <c r="D9" s="430"/>
      <c r="E9" s="431"/>
      <c r="F9" s="432"/>
      <c r="G9" s="433"/>
    </row>
    <row r="10" spans="1:8" x14ac:dyDescent="0.25">
      <c r="A10" s="464"/>
      <c r="B10" s="428"/>
      <c r="C10" s="434"/>
      <c r="D10" s="430"/>
      <c r="E10" s="469"/>
      <c r="F10" s="432"/>
      <c r="G10" s="433"/>
    </row>
    <row r="11" spans="1:8" x14ac:dyDescent="0.25">
      <c r="A11" s="436"/>
      <c r="B11" s="428"/>
      <c r="C11" s="429" t="s">
        <v>461</v>
      </c>
      <c r="D11" s="430"/>
      <c r="E11" s="431"/>
      <c r="F11" s="432"/>
      <c r="G11" s="433"/>
    </row>
    <row r="12" spans="1:8" x14ac:dyDescent="0.25">
      <c r="A12" s="427" t="s">
        <v>462</v>
      </c>
      <c r="B12" s="428"/>
      <c r="C12" s="434" t="s">
        <v>554</v>
      </c>
      <c r="D12" s="430" t="s">
        <v>454</v>
      </c>
      <c r="E12" s="453">
        <v>0.08</v>
      </c>
      <c r="F12" s="434">
        <v>421142</v>
      </c>
      <c r="G12" s="454">
        <f>+F12*E12</f>
        <v>33691.360000000001</v>
      </c>
    </row>
    <row r="13" spans="1:8" ht="15.75" thickBot="1" x14ac:dyDescent="0.3">
      <c r="A13" s="437"/>
      <c r="B13" s="438"/>
      <c r="C13" s="439"/>
      <c r="D13" s="440"/>
      <c r="E13" s="441"/>
      <c r="F13" s="442"/>
      <c r="G13" s="443">
        <f>ROUND(SUM(G4:G12),0)</f>
        <v>86057</v>
      </c>
    </row>
    <row r="15" spans="1:8" ht="15.75" thickBot="1" x14ac:dyDescent="0.3">
      <c r="A15" s="112" t="s">
        <v>234</v>
      </c>
      <c r="B15" s="112"/>
      <c r="C15" s="112"/>
      <c r="D15" s="112"/>
      <c r="E15" s="112"/>
      <c r="F15" s="113"/>
      <c r="G15" s="113"/>
      <c r="H15" s="112"/>
    </row>
    <row r="16" spans="1:8" ht="15.75" thickTop="1" x14ac:dyDescent="0.25">
      <c r="A16" s="540" t="s">
        <v>26</v>
      </c>
      <c r="B16" s="541"/>
      <c r="C16" s="542"/>
      <c r="D16" s="165" t="s">
        <v>235</v>
      </c>
      <c r="E16" s="165" t="s">
        <v>215</v>
      </c>
      <c r="F16" s="165" t="s">
        <v>216</v>
      </c>
      <c r="G16" s="184" t="s">
        <v>217</v>
      </c>
      <c r="H16" s="503"/>
    </row>
    <row r="17" spans="1:8" ht="15.75" x14ac:dyDescent="0.25">
      <c r="A17" s="534" t="s">
        <v>236</v>
      </c>
      <c r="B17" s="535"/>
      <c r="C17" s="535"/>
      <c r="D17" s="167">
        <f>+'1.1 localizacion'!$D$35</f>
        <v>0.32</v>
      </c>
      <c r="E17" s="168"/>
      <c r="F17" s="169"/>
      <c r="G17" s="185">
        <f>G13*D17</f>
        <v>27538.240000000002</v>
      </c>
      <c r="H17" s="504"/>
    </row>
    <row r="18" spans="1:8" ht="15.75" thickBot="1" x14ac:dyDescent="0.3">
      <c r="A18" s="534" t="s">
        <v>237</v>
      </c>
      <c r="B18" s="536"/>
      <c r="C18" s="536"/>
      <c r="D18" s="167">
        <v>0.05</v>
      </c>
      <c r="E18" s="171"/>
      <c r="F18" s="171"/>
      <c r="G18" s="185">
        <f>G13*D18</f>
        <v>4302.8500000000004</v>
      </c>
      <c r="H18" s="504"/>
    </row>
    <row r="19" spans="1:8" ht="16.5" thickTop="1" thickBot="1" x14ac:dyDescent="0.3">
      <c r="A19" s="496"/>
      <c r="B19" s="486"/>
      <c r="C19" s="486"/>
      <c r="D19" s="128"/>
      <c r="E19" s="129"/>
      <c r="F19" s="130"/>
      <c r="G19" s="130" t="s">
        <v>218</v>
      </c>
      <c r="H19" s="131">
        <f>+G17+G18+G13</f>
        <v>117898.09</v>
      </c>
    </row>
    <row r="20" spans="1:8" ht="15.75" thickTop="1" x14ac:dyDescent="0.25"/>
  </sheetData>
  <mergeCells count="6">
    <mergeCell ref="A19:C19"/>
    <mergeCell ref="E1:G1"/>
    <mergeCell ref="A16:C16"/>
    <mergeCell ref="H16:H18"/>
    <mergeCell ref="A17:C17"/>
    <mergeCell ref="A18:C18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41A8E-B8FA-470C-805A-4E30F5F6F065}">
  <sheetPr codeName="Hoja40">
    <tabColor rgb="FF92D050"/>
    <pageSetUpPr fitToPage="1"/>
  </sheetPr>
  <dimension ref="A1:H159"/>
  <sheetViews>
    <sheetView view="pageBreakPreview" topLeftCell="A8" zoomScale="70" zoomScaleNormal="100" zoomScaleSheetLayoutView="70" workbookViewId="0">
      <selection activeCell="A18" sqref="A18"/>
    </sheetView>
  </sheetViews>
  <sheetFormatPr baseColWidth="10" defaultColWidth="12.7109375" defaultRowHeight="15" customHeight="1" x14ac:dyDescent="0.25"/>
  <cols>
    <col min="1" max="1" width="77.42578125" style="74" customWidth="1"/>
    <col min="2" max="2" width="13.140625" style="49" customWidth="1"/>
    <col min="3" max="3" width="15.140625" style="49" customWidth="1"/>
    <col min="4" max="4" width="22.42578125" style="49" customWidth="1"/>
    <col min="5" max="7" width="11.42578125" style="49" customWidth="1"/>
    <col min="8" max="8" width="13.5703125" style="50" bestFit="1" customWidth="1"/>
    <col min="9" max="25" width="11.42578125" style="49" customWidth="1"/>
    <col min="26" max="16384" width="12.7109375" style="49"/>
  </cols>
  <sheetData>
    <row r="1" spans="1:8" ht="21" customHeight="1" x14ac:dyDescent="0.25">
      <c r="A1" s="581" t="s">
        <v>43</v>
      </c>
      <c r="B1" s="582"/>
      <c r="C1" s="582"/>
      <c r="D1" s="583"/>
    </row>
    <row r="2" spans="1:8" ht="19.5" customHeight="1" x14ac:dyDescent="0.25">
      <c r="A2" s="51" t="s">
        <v>44</v>
      </c>
      <c r="B2" s="52" t="s">
        <v>3</v>
      </c>
      <c r="C2" s="52" t="s">
        <v>4</v>
      </c>
      <c r="D2" s="53" t="s">
        <v>45</v>
      </c>
      <c r="H2" s="53" t="s">
        <v>46</v>
      </c>
    </row>
    <row r="3" spans="1:8" ht="12.75" x14ac:dyDescent="0.25">
      <c r="A3" s="54" t="s">
        <v>47</v>
      </c>
      <c r="B3" s="55" t="s">
        <v>48</v>
      </c>
      <c r="C3" s="55">
        <v>1</v>
      </c>
      <c r="D3" s="56">
        <f>+'ANALISIS M.O'!F29</f>
        <v>58364</v>
      </c>
      <c r="H3" s="57">
        <v>5.0999999999999997E-2</v>
      </c>
    </row>
    <row r="4" spans="1:8" ht="12.75" x14ac:dyDescent="0.25">
      <c r="A4" s="58" t="s">
        <v>49</v>
      </c>
      <c r="B4" s="59" t="s">
        <v>48</v>
      </c>
      <c r="C4" s="59">
        <v>1</v>
      </c>
      <c r="D4" s="60">
        <f>+'ANALISIS M.O'!F30</f>
        <v>81709</v>
      </c>
    </row>
    <row r="5" spans="1:8" ht="12.75" x14ac:dyDescent="0.25">
      <c r="A5" s="58" t="s">
        <v>50</v>
      </c>
      <c r="B5" s="59" t="s">
        <v>48</v>
      </c>
      <c r="C5" s="59">
        <v>1</v>
      </c>
      <c r="D5" s="60">
        <f>+'ANALISIS M.O'!F31</f>
        <v>105054</v>
      </c>
    </row>
    <row r="6" spans="1:8" ht="12.75" x14ac:dyDescent="0.25">
      <c r="A6" s="58" t="s">
        <v>51</v>
      </c>
      <c r="B6" s="59" t="s">
        <v>48</v>
      </c>
      <c r="C6" s="59">
        <v>1</v>
      </c>
      <c r="D6" s="60">
        <f>+'ANALISIS M.O'!F32</f>
        <v>87545</v>
      </c>
    </row>
    <row r="7" spans="1:8" ht="12.75" x14ac:dyDescent="0.25">
      <c r="A7" s="58" t="s">
        <v>52</v>
      </c>
      <c r="B7" s="59" t="s">
        <v>48</v>
      </c>
      <c r="C7" s="59">
        <v>1</v>
      </c>
      <c r="D7" s="60">
        <f>+'ANALISIS M.O'!F33</f>
        <v>58364</v>
      </c>
    </row>
    <row r="8" spans="1:8" ht="12.75" x14ac:dyDescent="0.25">
      <c r="A8" s="58" t="s">
        <v>53</v>
      </c>
      <c r="B8" s="59" t="s">
        <v>48</v>
      </c>
      <c r="C8" s="59">
        <v>1</v>
      </c>
      <c r="D8" s="60">
        <f>+'ANALISIS M.O'!F34</f>
        <v>163418</v>
      </c>
    </row>
    <row r="9" spans="1:8" ht="12.75" x14ac:dyDescent="0.25">
      <c r="A9" s="58" t="s">
        <v>54</v>
      </c>
      <c r="B9" s="59" t="s">
        <v>48</v>
      </c>
      <c r="C9" s="59">
        <v>1</v>
      </c>
      <c r="D9" s="60">
        <f>+'ANALISIS M.O'!F35</f>
        <v>105054</v>
      </c>
    </row>
    <row r="10" spans="1:8" ht="12.75" x14ac:dyDescent="0.25">
      <c r="A10" s="58" t="s">
        <v>55</v>
      </c>
      <c r="B10" s="59" t="s">
        <v>48</v>
      </c>
      <c r="C10" s="59">
        <v>1</v>
      </c>
      <c r="D10" s="60">
        <f>+'ANALISIS M.O'!F36</f>
        <v>175091</v>
      </c>
    </row>
    <row r="11" spans="1:8" ht="12.75" x14ac:dyDescent="0.25">
      <c r="A11" s="58" t="s">
        <v>56</v>
      </c>
      <c r="B11" s="59" t="s">
        <v>48</v>
      </c>
      <c r="C11" s="59">
        <v>1</v>
      </c>
      <c r="D11" s="60">
        <f>+'ANALISIS M.O'!F37</f>
        <v>116727</v>
      </c>
    </row>
    <row r="12" spans="1:8" ht="12.75" x14ac:dyDescent="0.25">
      <c r="A12" s="58" t="s">
        <v>57</v>
      </c>
      <c r="B12" s="59" t="s">
        <v>48</v>
      </c>
      <c r="C12" s="59">
        <v>1</v>
      </c>
      <c r="D12" s="60">
        <f>+'ANALISIS M.O'!F38</f>
        <v>204272</v>
      </c>
    </row>
    <row r="13" spans="1:8" ht="12.75" x14ac:dyDescent="0.25">
      <c r="A13" s="58" t="s">
        <v>58</v>
      </c>
      <c r="B13" s="59" t="s">
        <v>48</v>
      </c>
      <c r="C13" s="59">
        <v>1</v>
      </c>
      <c r="D13" s="60">
        <f>+'ANALISIS M.O'!F39</f>
        <v>163418</v>
      </c>
    </row>
    <row r="14" spans="1:8" ht="12.75" x14ac:dyDescent="0.25">
      <c r="A14" s="61" t="s">
        <v>59</v>
      </c>
      <c r="B14" s="59" t="s">
        <v>48</v>
      </c>
      <c r="C14" s="59">
        <v>1</v>
      </c>
      <c r="D14" s="60">
        <f>+'ANALISIS M.O'!F40</f>
        <v>163418</v>
      </c>
    </row>
    <row r="15" spans="1:8" ht="12.75" x14ac:dyDescent="0.25">
      <c r="A15" s="61" t="s">
        <v>60</v>
      </c>
      <c r="B15" s="59" t="s">
        <v>48</v>
      </c>
      <c r="C15" s="59">
        <v>1</v>
      </c>
      <c r="D15" s="60">
        <f>+'ANALISIS M.O'!F41</f>
        <v>221782</v>
      </c>
    </row>
    <row r="16" spans="1:8" ht="12.75" x14ac:dyDescent="0.25">
      <c r="A16" s="61" t="s">
        <v>61</v>
      </c>
      <c r="B16" s="59" t="s">
        <v>48</v>
      </c>
      <c r="C16" s="59">
        <v>1</v>
      </c>
      <c r="D16" s="60">
        <f>+'ANALISIS M.O'!F42</f>
        <v>338510</v>
      </c>
    </row>
    <row r="17" spans="1:8" ht="12.75" x14ac:dyDescent="0.25">
      <c r="A17" s="61" t="s">
        <v>62</v>
      </c>
      <c r="B17" s="59" t="s">
        <v>48</v>
      </c>
      <c r="C17" s="59">
        <v>1</v>
      </c>
      <c r="D17" s="60">
        <f>+'ANALISIS M.O'!F43</f>
        <v>408545</v>
      </c>
    </row>
    <row r="18" spans="1:8" ht="12.75" x14ac:dyDescent="0.25">
      <c r="A18" s="61" t="s">
        <v>63</v>
      </c>
      <c r="B18" s="59" t="s">
        <v>48</v>
      </c>
      <c r="C18" s="59">
        <v>1</v>
      </c>
      <c r="D18" s="60">
        <f>+'ANALISIS M.O'!F44</f>
        <v>513602</v>
      </c>
    </row>
    <row r="19" spans="1:8" ht="12.75" x14ac:dyDescent="0.25">
      <c r="A19" s="61" t="s">
        <v>64</v>
      </c>
      <c r="B19" s="59" t="s">
        <v>48</v>
      </c>
      <c r="C19" s="59">
        <v>1</v>
      </c>
      <c r="D19" s="60">
        <f>+'ANALISIS M.O'!F45</f>
        <v>443564</v>
      </c>
    </row>
    <row r="20" spans="1:8" ht="12.75" x14ac:dyDescent="0.25">
      <c r="A20" s="61" t="s">
        <v>65</v>
      </c>
      <c r="B20" s="59" t="s">
        <v>48</v>
      </c>
      <c r="C20" s="59">
        <v>1</v>
      </c>
      <c r="D20" s="60">
        <f>+'ANALISIS M.O'!F46</f>
        <v>863780</v>
      </c>
    </row>
    <row r="21" spans="1:8" ht="12.75" x14ac:dyDescent="0.25">
      <c r="A21" s="61" t="s">
        <v>66</v>
      </c>
      <c r="B21" s="59" t="s">
        <v>48</v>
      </c>
      <c r="C21" s="59">
        <v>1</v>
      </c>
      <c r="D21" s="60">
        <f>+'ANALISIS M.O'!F47</f>
        <v>233456</v>
      </c>
    </row>
    <row r="22" spans="1:8" ht="7.5" customHeight="1" x14ac:dyDescent="0.25">
      <c r="A22" s="61"/>
      <c r="B22" s="59"/>
      <c r="C22" s="59"/>
      <c r="D22" s="60"/>
    </row>
    <row r="23" spans="1:8" ht="12.75" x14ac:dyDescent="0.25">
      <c r="A23" s="58" t="s">
        <v>67</v>
      </c>
      <c r="B23" s="59" t="s">
        <v>68</v>
      </c>
      <c r="C23" s="59">
        <v>1</v>
      </c>
      <c r="D23" s="60">
        <f>ROUND(H23*(1+$H$3),0)</f>
        <v>1658</v>
      </c>
      <c r="H23" s="50">
        <v>1578</v>
      </c>
    </row>
    <row r="24" spans="1:8" ht="12.75" x14ac:dyDescent="0.25">
      <c r="A24" s="58" t="s">
        <v>69</v>
      </c>
      <c r="B24" s="59" t="s">
        <v>70</v>
      </c>
      <c r="C24" s="59">
        <v>1</v>
      </c>
      <c r="D24" s="60">
        <f t="shared" ref="D24:D128" si="0">ROUND(H24*(1+$H$3),0)</f>
        <v>27641</v>
      </c>
      <c r="E24" s="62"/>
      <c r="H24" s="50">
        <v>26300</v>
      </c>
    </row>
    <row r="25" spans="1:8" ht="12.75" x14ac:dyDescent="0.25">
      <c r="A25" s="58" t="s">
        <v>71</v>
      </c>
      <c r="B25" s="59" t="s">
        <v>72</v>
      </c>
      <c r="C25" s="59">
        <v>1</v>
      </c>
      <c r="D25" s="60">
        <f t="shared" si="0"/>
        <v>221</v>
      </c>
      <c r="E25" s="62"/>
      <c r="H25" s="50">
        <v>210</v>
      </c>
    </row>
    <row r="26" spans="1:8" ht="12.75" x14ac:dyDescent="0.25">
      <c r="A26" s="58" t="s">
        <v>73</v>
      </c>
      <c r="B26" s="59" t="s">
        <v>13</v>
      </c>
      <c r="C26" s="59">
        <v>1</v>
      </c>
      <c r="D26" s="60">
        <f t="shared" si="0"/>
        <v>4975</v>
      </c>
      <c r="E26" s="62"/>
      <c r="H26" s="50">
        <v>4734</v>
      </c>
    </row>
    <row r="27" spans="1:8" ht="12.75" x14ac:dyDescent="0.25">
      <c r="A27" s="58" t="s">
        <v>74</v>
      </c>
      <c r="B27" s="59" t="s">
        <v>75</v>
      </c>
      <c r="C27" s="59">
        <v>1</v>
      </c>
      <c r="D27" s="60">
        <f t="shared" si="0"/>
        <v>16585</v>
      </c>
      <c r="E27" s="62"/>
      <c r="H27" s="50">
        <v>15780</v>
      </c>
    </row>
    <row r="28" spans="1:8" ht="12.75" x14ac:dyDescent="0.25">
      <c r="A28" s="58" t="s">
        <v>76</v>
      </c>
      <c r="B28" s="59" t="s">
        <v>15</v>
      </c>
      <c r="C28" s="59">
        <v>1</v>
      </c>
      <c r="D28" s="60">
        <f t="shared" si="0"/>
        <v>3870</v>
      </c>
      <c r="E28" s="62"/>
      <c r="H28" s="50">
        <v>3682</v>
      </c>
    </row>
    <row r="29" spans="1:8" ht="12.75" x14ac:dyDescent="0.25">
      <c r="A29" s="58" t="s">
        <v>77</v>
      </c>
      <c r="B29" s="59" t="s">
        <v>78</v>
      </c>
      <c r="C29" s="59">
        <v>1</v>
      </c>
      <c r="D29" s="60">
        <f t="shared" si="0"/>
        <v>4423</v>
      </c>
      <c r="E29" s="62"/>
      <c r="H29" s="50">
        <v>4208</v>
      </c>
    </row>
    <row r="30" spans="1:8" ht="12.75" x14ac:dyDescent="0.25">
      <c r="A30" s="58" t="s">
        <v>79</v>
      </c>
      <c r="B30" s="59" t="s">
        <v>80</v>
      </c>
      <c r="C30" s="59">
        <v>1</v>
      </c>
      <c r="D30" s="60">
        <f t="shared" si="0"/>
        <v>110</v>
      </c>
      <c r="E30" s="62"/>
      <c r="H30" s="50">
        <v>105</v>
      </c>
    </row>
    <row r="31" spans="1:8" ht="12.75" x14ac:dyDescent="0.25">
      <c r="A31" s="58" t="s">
        <v>81</v>
      </c>
      <c r="B31" s="59" t="s">
        <v>82</v>
      </c>
      <c r="C31" s="59">
        <v>1</v>
      </c>
      <c r="D31" s="60">
        <f t="shared" si="0"/>
        <v>93980</v>
      </c>
      <c r="E31" s="62"/>
      <c r="H31" s="50">
        <v>89420</v>
      </c>
    </row>
    <row r="32" spans="1:8" ht="12.75" x14ac:dyDescent="0.25">
      <c r="A32" s="58" t="s">
        <v>83</v>
      </c>
      <c r="B32" s="59" t="s">
        <v>82</v>
      </c>
      <c r="C32" s="59">
        <v>1</v>
      </c>
      <c r="D32" s="60">
        <f t="shared" si="0"/>
        <v>60753</v>
      </c>
      <c r="E32" s="62"/>
      <c r="H32" s="50">
        <v>57805</v>
      </c>
    </row>
    <row r="33" spans="1:8" ht="12.75" x14ac:dyDescent="0.25">
      <c r="A33" s="58" t="s">
        <v>84</v>
      </c>
      <c r="B33" s="59" t="s">
        <v>85</v>
      </c>
      <c r="C33" s="59">
        <v>1</v>
      </c>
      <c r="D33" s="60">
        <f t="shared" si="0"/>
        <v>807</v>
      </c>
      <c r="E33" s="62"/>
      <c r="H33" s="50">
        <v>768</v>
      </c>
    </row>
    <row r="34" spans="1:8" ht="12.75" x14ac:dyDescent="0.25">
      <c r="A34" s="58" t="s">
        <v>86</v>
      </c>
      <c r="B34" s="59" t="s">
        <v>82</v>
      </c>
      <c r="C34" s="59">
        <v>1</v>
      </c>
      <c r="D34" s="60">
        <f t="shared" si="0"/>
        <v>99414</v>
      </c>
      <c r="E34" s="62"/>
      <c r="H34" s="50">
        <v>94590</v>
      </c>
    </row>
    <row r="35" spans="1:8" ht="12.75" x14ac:dyDescent="0.25">
      <c r="A35" s="58" t="s">
        <v>87</v>
      </c>
      <c r="B35" s="59" t="s">
        <v>82</v>
      </c>
      <c r="C35" s="59">
        <v>1</v>
      </c>
      <c r="D35" s="60">
        <f t="shared" si="0"/>
        <v>104937</v>
      </c>
      <c r="E35" s="62"/>
      <c r="H35" s="50">
        <v>99845</v>
      </c>
    </row>
    <row r="36" spans="1:8" ht="12.75" x14ac:dyDescent="0.25">
      <c r="A36" s="58" t="s">
        <v>349</v>
      </c>
      <c r="B36" s="59" t="s">
        <v>15</v>
      </c>
      <c r="C36" s="59">
        <v>1</v>
      </c>
      <c r="D36" s="60">
        <v>4760</v>
      </c>
      <c r="E36" s="62"/>
      <c r="H36" s="50">
        <v>5781</v>
      </c>
    </row>
    <row r="37" spans="1:8" ht="12.75" x14ac:dyDescent="0.25">
      <c r="A37" s="58" t="s">
        <v>88</v>
      </c>
      <c r="B37" s="59" t="s">
        <v>15</v>
      </c>
      <c r="C37" s="59">
        <v>1</v>
      </c>
      <c r="D37" s="60">
        <f t="shared" si="0"/>
        <v>6076</v>
      </c>
      <c r="E37" s="62"/>
      <c r="H37" s="50">
        <v>5781</v>
      </c>
    </row>
    <row r="38" spans="1:8" ht="12.75" x14ac:dyDescent="0.25">
      <c r="A38" s="58" t="s">
        <v>89</v>
      </c>
      <c r="B38" s="59" t="s">
        <v>90</v>
      </c>
      <c r="C38" s="59">
        <v>1</v>
      </c>
      <c r="D38" s="60">
        <f t="shared" si="0"/>
        <v>12151</v>
      </c>
      <c r="E38" s="62"/>
      <c r="H38" s="50">
        <v>11561</v>
      </c>
    </row>
    <row r="39" spans="1:8" ht="12.75" x14ac:dyDescent="0.25">
      <c r="A39" s="58" t="s">
        <v>91</v>
      </c>
      <c r="B39" s="59" t="s">
        <v>85</v>
      </c>
      <c r="C39" s="59">
        <v>1</v>
      </c>
      <c r="D39" s="60">
        <f t="shared" si="0"/>
        <v>3870</v>
      </c>
      <c r="E39" s="62"/>
      <c r="H39" s="50">
        <v>3682</v>
      </c>
    </row>
    <row r="40" spans="1:8" ht="12.75" x14ac:dyDescent="0.25">
      <c r="A40" s="58" t="s">
        <v>92</v>
      </c>
      <c r="B40" s="59" t="s">
        <v>15</v>
      </c>
      <c r="C40" s="59">
        <v>1</v>
      </c>
      <c r="D40" s="60">
        <f t="shared" si="0"/>
        <v>7180</v>
      </c>
      <c r="E40" s="62"/>
      <c r="H40" s="50">
        <v>6832</v>
      </c>
    </row>
    <row r="41" spans="1:8" ht="12.75" x14ac:dyDescent="0.25">
      <c r="A41" s="58" t="s">
        <v>93</v>
      </c>
      <c r="B41" s="59" t="s">
        <v>85</v>
      </c>
      <c r="C41" s="59">
        <v>1</v>
      </c>
      <c r="D41" s="60">
        <f t="shared" si="0"/>
        <v>7740</v>
      </c>
      <c r="E41" s="62"/>
      <c r="H41" s="50">
        <v>7364</v>
      </c>
    </row>
    <row r="42" spans="1:8" ht="12.75" x14ac:dyDescent="0.25">
      <c r="A42" s="58" t="s">
        <v>94</v>
      </c>
      <c r="B42" s="59" t="s">
        <v>15</v>
      </c>
      <c r="C42" s="59">
        <v>1</v>
      </c>
      <c r="D42" s="60">
        <f t="shared" si="0"/>
        <v>160320</v>
      </c>
      <c r="E42" s="62"/>
      <c r="H42" s="50">
        <v>152540</v>
      </c>
    </row>
    <row r="43" spans="1:8" ht="12.75" x14ac:dyDescent="0.25">
      <c r="A43" s="58" t="s">
        <v>95</v>
      </c>
      <c r="B43" s="59" t="s">
        <v>96</v>
      </c>
      <c r="C43" s="59">
        <v>1</v>
      </c>
      <c r="D43" s="60">
        <f t="shared" si="0"/>
        <v>160320</v>
      </c>
      <c r="E43" s="62"/>
      <c r="H43" s="50">
        <v>152540</v>
      </c>
    </row>
    <row r="44" spans="1:8" ht="12.75" x14ac:dyDescent="0.25">
      <c r="A44" s="58" t="s">
        <v>97</v>
      </c>
      <c r="B44" s="59" t="s">
        <v>96</v>
      </c>
      <c r="C44" s="59">
        <v>1</v>
      </c>
      <c r="D44" s="60">
        <f t="shared" si="0"/>
        <v>27641</v>
      </c>
      <c r="E44" s="62"/>
      <c r="H44" s="50">
        <v>26300</v>
      </c>
    </row>
    <row r="45" spans="1:8" ht="12.75" x14ac:dyDescent="0.25">
      <c r="A45" s="58" t="s">
        <v>98</v>
      </c>
      <c r="B45" s="59" t="s">
        <v>96</v>
      </c>
      <c r="C45" s="59">
        <v>1</v>
      </c>
      <c r="D45" s="60">
        <f t="shared" si="0"/>
        <v>13255</v>
      </c>
      <c r="E45" s="62"/>
      <c r="H45" s="50">
        <v>12612</v>
      </c>
    </row>
    <row r="46" spans="1:8" ht="12.75" x14ac:dyDescent="0.25">
      <c r="A46" s="58" t="s">
        <v>99</v>
      </c>
      <c r="B46" s="59" t="s">
        <v>85</v>
      </c>
      <c r="C46" s="59">
        <v>1</v>
      </c>
      <c r="D46" s="60">
        <f t="shared" si="0"/>
        <v>16585</v>
      </c>
      <c r="E46" s="62"/>
      <c r="H46" s="50">
        <v>15780</v>
      </c>
    </row>
    <row r="47" spans="1:8" ht="12.75" x14ac:dyDescent="0.25">
      <c r="A47" s="58" t="s">
        <v>100</v>
      </c>
      <c r="B47" s="59" t="s">
        <v>85</v>
      </c>
      <c r="C47" s="59">
        <v>1</v>
      </c>
      <c r="D47" s="60">
        <f t="shared" si="0"/>
        <v>9398</v>
      </c>
      <c r="E47" s="62"/>
      <c r="H47" s="50">
        <v>8942</v>
      </c>
    </row>
    <row r="48" spans="1:8" ht="12.75" x14ac:dyDescent="0.25">
      <c r="A48" s="58" t="s">
        <v>101</v>
      </c>
      <c r="B48" s="59" t="s">
        <v>90</v>
      </c>
      <c r="C48" s="59">
        <v>1</v>
      </c>
      <c r="D48" s="60">
        <f t="shared" si="0"/>
        <v>19902</v>
      </c>
      <c r="E48" s="62"/>
      <c r="H48" s="50">
        <v>18936</v>
      </c>
    </row>
    <row r="49" spans="1:8" ht="12.75" x14ac:dyDescent="0.25">
      <c r="A49" s="58" t="s">
        <v>102</v>
      </c>
      <c r="B49" s="59" t="s">
        <v>85</v>
      </c>
      <c r="C49" s="59">
        <v>1</v>
      </c>
      <c r="D49" s="60">
        <f t="shared" si="0"/>
        <v>1658</v>
      </c>
      <c r="E49" s="62"/>
      <c r="H49" s="50">
        <v>1578</v>
      </c>
    </row>
    <row r="50" spans="1:8" ht="12.75" x14ac:dyDescent="0.25">
      <c r="A50" s="58" t="s">
        <v>103</v>
      </c>
      <c r="B50" s="59" t="s">
        <v>15</v>
      </c>
      <c r="C50" s="59">
        <v>1</v>
      </c>
      <c r="D50" s="60">
        <f t="shared" si="0"/>
        <v>7519</v>
      </c>
      <c r="E50" s="62"/>
      <c r="H50" s="50">
        <v>7154</v>
      </c>
    </row>
    <row r="51" spans="1:8" ht="12.75" x14ac:dyDescent="0.25">
      <c r="A51" s="58" t="s">
        <v>104</v>
      </c>
      <c r="B51" s="59" t="s">
        <v>15</v>
      </c>
      <c r="C51" s="59">
        <v>1</v>
      </c>
      <c r="D51" s="60">
        <f t="shared" si="0"/>
        <v>663391</v>
      </c>
      <c r="E51" s="62"/>
      <c r="H51" s="50">
        <v>631200</v>
      </c>
    </row>
    <row r="52" spans="1:8" ht="12.75" x14ac:dyDescent="0.25">
      <c r="A52" s="58" t="s">
        <v>105</v>
      </c>
      <c r="B52" s="59" t="s">
        <v>78</v>
      </c>
      <c r="C52" s="59">
        <v>1</v>
      </c>
      <c r="D52" s="60">
        <f t="shared" si="0"/>
        <v>718674</v>
      </c>
      <c r="E52" s="62"/>
      <c r="H52" s="50">
        <v>683800</v>
      </c>
    </row>
    <row r="53" spans="1:8" ht="12.75" x14ac:dyDescent="0.25">
      <c r="A53" s="58" t="s">
        <v>106</v>
      </c>
      <c r="B53" s="59" t="s">
        <v>78</v>
      </c>
      <c r="C53" s="59">
        <v>1</v>
      </c>
      <c r="D53" s="60">
        <f t="shared" si="0"/>
        <v>121622</v>
      </c>
      <c r="E53" s="62"/>
      <c r="H53" s="50">
        <v>115720</v>
      </c>
    </row>
    <row r="54" spans="1:8" ht="12.75" x14ac:dyDescent="0.25">
      <c r="A54" s="58" t="s">
        <v>107</v>
      </c>
      <c r="B54" s="59" t="s">
        <v>15</v>
      </c>
      <c r="C54" s="59">
        <v>1</v>
      </c>
      <c r="D54" s="60">
        <f t="shared" si="0"/>
        <v>210074</v>
      </c>
      <c r="E54" s="62"/>
      <c r="H54" s="50">
        <v>199880</v>
      </c>
    </row>
    <row r="55" spans="1:8" ht="12.75" x14ac:dyDescent="0.25">
      <c r="A55" s="58" t="s">
        <v>108</v>
      </c>
      <c r="B55" s="59" t="s">
        <v>78</v>
      </c>
      <c r="C55" s="59">
        <v>1</v>
      </c>
      <c r="D55" s="60">
        <f t="shared" si="0"/>
        <v>8845</v>
      </c>
      <c r="E55" s="62"/>
      <c r="H55" s="50">
        <v>8416</v>
      </c>
    </row>
    <row r="56" spans="1:8" ht="12.75" x14ac:dyDescent="0.25">
      <c r="A56" s="58" t="s">
        <v>109</v>
      </c>
      <c r="B56" s="59" t="s">
        <v>13</v>
      </c>
      <c r="C56" s="59">
        <v>1</v>
      </c>
      <c r="D56" s="60">
        <f t="shared" si="0"/>
        <v>331696</v>
      </c>
      <c r="E56" s="62"/>
      <c r="H56" s="50">
        <v>315600</v>
      </c>
    </row>
    <row r="57" spans="1:8" ht="12.75" x14ac:dyDescent="0.25">
      <c r="A57" s="58" t="s">
        <v>110</v>
      </c>
      <c r="B57" s="59" t="s">
        <v>78</v>
      </c>
      <c r="C57" s="59">
        <v>1</v>
      </c>
      <c r="D57" s="60">
        <f t="shared" si="0"/>
        <v>386978</v>
      </c>
      <c r="E57" s="62"/>
      <c r="H57" s="50">
        <v>368200</v>
      </c>
    </row>
    <row r="58" spans="1:8" ht="25.5" x14ac:dyDescent="0.25">
      <c r="A58" s="58" t="s">
        <v>111</v>
      </c>
      <c r="B58" s="59" t="s">
        <v>78</v>
      </c>
      <c r="C58" s="59">
        <v>1</v>
      </c>
      <c r="D58" s="60">
        <f t="shared" si="0"/>
        <v>149263</v>
      </c>
      <c r="E58" s="62"/>
      <c r="H58" s="50">
        <v>142020</v>
      </c>
    </row>
    <row r="59" spans="1:8" ht="12.75" x14ac:dyDescent="0.25">
      <c r="A59" s="58" t="s">
        <v>112</v>
      </c>
      <c r="B59" s="59" t="s">
        <v>96</v>
      </c>
      <c r="C59" s="59">
        <v>1</v>
      </c>
      <c r="D59" s="60">
        <f t="shared" si="0"/>
        <v>221130</v>
      </c>
      <c r="E59" s="62"/>
      <c r="H59" s="50">
        <v>210400</v>
      </c>
    </row>
    <row r="60" spans="1:8" ht="12.75" x14ac:dyDescent="0.25">
      <c r="A60" s="58" t="s">
        <v>113</v>
      </c>
      <c r="B60" s="59" t="s">
        <v>96</v>
      </c>
      <c r="C60" s="59">
        <v>1</v>
      </c>
      <c r="D60" s="60">
        <f t="shared" si="0"/>
        <v>210200</v>
      </c>
      <c r="E60" s="62"/>
      <c r="H60" s="50">
        <v>200000</v>
      </c>
    </row>
    <row r="61" spans="1:8" ht="12.75" x14ac:dyDescent="0.25">
      <c r="A61" s="58" t="s">
        <v>283</v>
      </c>
      <c r="B61" s="59" t="s">
        <v>78</v>
      </c>
      <c r="C61" s="59">
        <v>1</v>
      </c>
      <c r="D61" s="60">
        <v>71100</v>
      </c>
      <c r="E61" s="62"/>
    </row>
    <row r="62" spans="1:8" ht="12.75" x14ac:dyDescent="0.25">
      <c r="A62" s="58" t="s">
        <v>288</v>
      </c>
      <c r="B62" s="59" t="s">
        <v>15</v>
      </c>
      <c r="C62" s="59">
        <v>1</v>
      </c>
      <c r="D62" s="60">
        <v>28900</v>
      </c>
      <c r="E62" s="62"/>
    </row>
    <row r="63" spans="1:8" ht="12.75" x14ac:dyDescent="0.25">
      <c r="A63" s="58" t="s">
        <v>292</v>
      </c>
      <c r="B63" s="59" t="s">
        <v>15</v>
      </c>
      <c r="C63" s="59">
        <v>1</v>
      </c>
      <c r="D63" s="60">
        <v>10500</v>
      </c>
      <c r="E63" s="62"/>
    </row>
    <row r="64" spans="1:8" ht="12.75" x14ac:dyDescent="0.25">
      <c r="A64" s="58" t="s">
        <v>287</v>
      </c>
      <c r="B64" s="59" t="s">
        <v>78</v>
      </c>
      <c r="C64" s="59">
        <v>1</v>
      </c>
      <c r="D64" s="60">
        <v>11412</v>
      </c>
      <c r="E64" s="62"/>
    </row>
    <row r="65" spans="1:5" ht="12.75" x14ac:dyDescent="0.25">
      <c r="A65" s="58" t="s">
        <v>284</v>
      </c>
      <c r="B65" s="59" t="s">
        <v>78</v>
      </c>
      <c r="C65" s="59">
        <v>1</v>
      </c>
      <c r="D65" s="60">
        <v>349600</v>
      </c>
      <c r="E65" s="62"/>
    </row>
    <row r="66" spans="1:5" ht="12.75" x14ac:dyDescent="0.25">
      <c r="A66" s="58" t="s">
        <v>293</v>
      </c>
      <c r="B66" s="59" t="s">
        <v>78</v>
      </c>
      <c r="C66" s="59">
        <v>1</v>
      </c>
      <c r="D66" s="60">
        <v>24600</v>
      </c>
      <c r="E66" s="62"/>
    </row>
    <row r="67" spans="1:5" ht="12.75" x14ac:dyDescent="0.25">
      <c r="A67" s="58" t="s">
        <v>294</v>
      </c>
      <c r="B67" s="59" t="s">
        <v>68</v>
      </c>
      <c r="C67" s="59">
        <v>1</v>
      </c>
      <c r="D67" s="60">
        <v>24300</v>
      </c>
      <c r="E67" s="62"/>
    </row>
    <row r="68" spans="1:5" ht="12.75" x14ac:dyDescent="0.25">
      <c r="A68" s="58" t="s">
        <v>286</v>
      </c>
      <c r="B68" s="59" t="s">
        <v>78</v>
      </c>
      <c r="C68" s="59">
        <v>1</v>
      </c>
      <c r="D68" s="60">
        <v>3600</v>
      </c>
      <c r="E68" s="62"/>
    </row>
    <row r="69" spans="1:5" ht="12.75" x14ac:dyDescent="0.25">
      <c r="A69" s="58" t="s">
        <v>289</v>
      </c>
      <c r="B69" s="59" t="s">
        <v>78</v>
      </c>
      <c r="C69" s="59">
        <v>1</v>
      </c>
      <c r="D69" s="60">
        <v>50</v>
      </c>
      <c r="E69" s="62"/>
    </row>
    <row r="70" spans="1:5" ht="12.75" x14ac:dyDescent="0.25">
      <c r="A70" s="58" t="s">
        <v>290</v>
      </c>
      <c r="B70" s="59" t="s">
        <v>291</v>
      </c>
      <c r="C70" s="59">
        <v>1</v>
      </c>
      <c r="D70" s="60">
        <v>118900</v>
      </c>
      <c r="E70" s="62"/>
    </row>
    <row r="71" spans="1:5" ht="12.75" x14ac:dyDescent="0.25">
      <c r="A71" s="58" t="s">
        <v>308</v>
      </c>
      <c r="B71" s="59" t="s">
        <v>291</v>
      </c>
      <c r="C71" s="59">
        <v>1</v>
      </c>
      <c r="D71" s="60">
        <v>39100</v>
      </c>
      <c r="E71" s="62"/>
    </row>
    <row r="72" spans="1:5" ht="12.75" x14ac:dyDescent="0.25">
      <c r="A72" s="58" t="s">
        <v>309</v>
      </c>
      <c r="B72" s="59" t="s">
        <v>291</v>
      </c>
      <c r="C72" s="59">
        <v>1</v>
      </c>
      <c r="D72" s="60">
        <v>26450</v>
      </c>
      <c r="E72" s="62"/>
    </row>
    <row r="73" spans="1:5" ht="12.75" x14ac:dyDescent="0.25">
      <c r="A73" s="58" t="s">
        <v>285</v>
      </c>
      <c r="B73" s="59" t="s">
        <v>85</v>
      </c>
      <c r="C73" s="59">
        <v>1</v>
      </c>
      <c r="D73" s="60">
        <v>67700</v>
      </c>
      <c r="E73" s="62"/>
    </row>
    <row r="74" spans="1:5" ht="12.75" x14ac:dyDescent="0.25">
      <c r="A74" s="58" t="s">
        <v>296</v>
      </c>
      <c r="B74" s="59" t="s">
        <v>291</v>
      </c>
      <c r="C74" s="59">
        <v>1</v>
      </c>
      <c r="D74" s="60">
        <v>110140</v>
      </c>
      <c r="E74" s="62"/>
    </row>
    <row r="75" spans="1:5" ht="12.75" x14ac:dyDescent="0.25">
      <c r="A75" s="58" t="s">
        <v>298</v>
      </c>
      <c r="B75" s="59" t="s">
        <v>13</v>
      </c>
      <c r="C75" s="59">
        <v>1</v>
      </c>
      <c r="D75" s="60">
        <v>34260</v>
      </c>
      <c r="E75" s="62"/>
    </row>
    <row r="76" spans="1:5" ht="12.75" x14ac:dyDescent="0.25">
      <c r="A76" s="58" t="s">
        <v>297</v>
      </c>
      <c r="B76" s="59" t="s">
        <v>80</v>
      </c>
      <c r="C76" s="59">
        <v>1</v>
      </c>
      <c r="D76" s="60">
        <v>5430</v>
      </c>
      <c r="E76" s="62"/>
    </row>
    <row r="77" spans="1:5" ht="12.75" x14ac:dyDescent="0.25">
      <c r="A77" s="58" t="s">
        <v>300</v>
      </c>
      <c r="B77" s="59" t="s">
        <v>78</v>
      </c>
      <c r="C77" s="59">
        <v>1</v>
      </c>
      <c r="D77" s="60">
        <v>29350</v>
      </c>
      <c r="E77" s="62"/>
    </row>
    <row r="78" spans="1:5" ht="12.75" x14ac:dyDescent="0.25">
      <c r="A78" s="58" t="s">
        <v>301</v>
      </c>
      <c r="B78" s="59" t="s">
        <v>85</v>
      </c>
      <c r="C78" s="59">
        <v>1</v>
      </c>
      <c r="D78" s="60">
        <v>44320</v>
      </c>
      <c r="E78" s="62"/>
    </row>
    <row r="79" spans="1:5" ht="12.75" x14ac:dyDescent="0.25">
      <c r="A79" s="58" t="s">
        <v>304</v>
      </c>
      <c r="B79" s="59" t="s">
        <v>13</v>
      </c>
      <c r="C79" s="59">
        <v>1</v>
      </c>
      <c r="D79" s="60">
        <v>48500</v>
      </c>
      <c r="E79" s="62"/>
    </row>
    <row r="80" spans="1:5" ht="12.75" x14ac:dyDescent="0.25">
      <c r="A80" s="58" t="s">
        <v>305</v>
      </c>
      <c r="B80" s="59" t="s">
        <v>78</v>
      </c>
      <c r="C80" s="59">
        <v>1</v>
      </c>
      <c r="D80" s="60">
        <v>8050</v>
      </c>
      <c r="E80" s="62"/>
    </row>
    <row r="81" spans="1:5" ht="12.75" x14ac:dyDescent="0.25">
      <c r="A81" s="58" t="s">
        <v>306</v>
      </c>
      <c r="B81" s="59" t="s">
        <v>78</v>
      </c>
      <c r="C81" s="59">
        <v>1</v>
      </c>
      <c r="D81" s="60">
        <v>1650</v>
      </c>
      <c r="E81" s="62"/>
    </row>
    <row r="82" spans="1:5" ht="12.75" x14ac:dyDescent="0.25">
      <c r="A82" s="58" t="s">
        <v>310</v>
      </c>
      <c r="B82" s="59" t="s">
        <v>13</v>
      </c>
      <c r="C82" s="59">
        <v>1</v>
      </c>
      <c r="D82" s="60">
        <v>31520</v>
      </c>
      <c r="E82" s="62"/>
    </row>
    <row r="83" spans="1:5" ht="12.75" x14ac:dyDescent="0.25">
      <c r="A83" s="58" t="s">
        <v>311</v>
      </c>
      <c r="B83" s="59" t="s">
        <v>78</v>
      </c>
      <c r="C83" s="59">
        <v>1</v>
      </c>
      <c r="D83" s="60">
        <v>2640</v>
      </c>
      <c r="E83" s="62"/>
    </row>
    <row r="84" spans="1:5" ht="12.75" x14ac:dyDescent="0.25">
      <c r="A84" s="58" t="s">
        <v>312</v>
      </c>
      <c r="B84" s="59" t="s">
        <v>78</v>
      </c>
      <c r="C84" s="59">
        <v>1</v>
      </c>
      <c r="D84" s="60">
        <v>1120</v>
      </c>
      <c r="E84" s="62"/>
    </row>
    <row r="85" spans="1:5" ht="12.75" x14ac:dyDescent="0.25">
      <c r="A85" s="58" t="s">
        <v>313</v>
      </c>
      <c r="B85" s="59" t="s">
        <v>78</v>
      </c>
      <c r="C85" s="59">
        <v>1</v>
      </c>
      <c r="D85" s="60">
        <v>243</v>
      </c>
      <c r="E85" s="62"/>
    </row>
    <row r="86" spans="1:5" ht="12.75" x14ac:dyDescent="0.25">
      <c r="A86" s="58" t="s">
        <v>321</v>
      </c>
      <c r="B86" s="59" t="s">
        <v>14</v>
      </c>
      <c r="C86" s="59">
        <v>1</v>
      </c>
      <c r="D86" s="60">
        <v>2849</v>
      </c>
      <c r="E86" s="62"/>
    </row>
    <row r="87" spans="1:5" ht="12.75" x14ac:dyDescent="0.25">
      <c r="A87" s="58" t="s">
        <v>322</v>
      </c>
      <c r="B87" s="59" t="s">
        <v>14</v>
      </c>
      <c r="C87" s="59">
        <v>1</v>
      </c>
      <c r="D87" s="60">
        <v>9901</v>
      </c>
      <c r="E87" s="62"/>
    </row>
    <row r="88" spans="1:5" ht="12.75" x14ac:dyDescent="0.25">
      <c r="A88" s="58" t="s">
        <v>323</v>
      </c>
      <c r="B88" s="59" t="s">
        <v>14</v>
      </c>
      <c r="C88" s="59">
        <v>1</v>
      </c>
      <c r="D88" s="60">
        <v>62393</v>
      </c>
      <c r="E88" s="62"/>
    </row>
    <row r="89" spans="1:5" ht="12.75" x14ac:dyDescent="0.25">
      <c r="A89" s="58" t="s">
        <v>324</v>
      </c>
      <c r="B89" s="59" t="s">
        <v>14</v>
      </c>
      <c r="C89" s="59">
        <v>1</v>
      </c>
      <c r="D89" s="60">
        <v>129335</v>
      </c>
      <c r="E89" s="62"/>
    </row>
    <row r="90" spans="1:5" ht="12.75" x14ac:dyDescent="0.25">
      <c r="A90" s="58" t="s">
        <v>325</v>
      </c>
      <c r="B90" s="59" t="s">
        <v>327</v>
      </c>
      <c r="C90" s="59">
        <v>1</v>
      </c>
      <c r="D90" s="60">
        <v>12317</v>
      </c>
      <c r="E90" s="62"/>
    </row>
    <row r="91" spans="1:5" ht="12.75" x14ac:dyDescent="0.25">
      <c r="A91" s="58" t="s">
        <v>326</v>
      </c>
      <c r="B91" s="59" t="s">
        <v>14</v>
      </c>
      <c r="C91" s="59">
        <v>1</v>
      </c>
      <c r="D91" s="60">
        <v>4974</v>
      </c>
      <c r="E91" s="62"/>
    </row>
    <row r="92" spans="1:5" ht="12.75" x14ac:dyDescent="0.25">
      <c r="A92" s="58" t="s">
        <v>328</v>
      </c>
      <c r="B92" s="59" t="s">
        <v>291</v>
      </c>
      <c r="C92" s="59">
        <v>1</v>
      </c>
      <c r="D92" s="60">
        <v>59900</v>
      </c>
      <c r="E92" s="62"/>
    </row>
    <row r="93" spans="1:5" ht="12.75" x14ac:dyDescent="0.25">
      <c r="A93" s="58" t="s">
        <v>329</v>
      </c>
      <c r="B93" s="59" t="s">
        <v>291</v>
      </c>
      <c r="C93" s="59">
        <v>1</v>
      </c>
      <c r="D93" s="60">
        <v>104901</v>
      </c>
      <c r="E93" s="62"/>
    </row>
    <row r="94" spans="1:5" ht="12.75" x14ac:dyDescent="0.25">
      <c r="A94" s="58" t="s">
        <v>330</v>
      </c>
      <c r="B94" s="59" t="s">
        <v>338</v>
      </c>
      <c r="C94" s="59">
        <v>1</v>
      </c>
      <c r="D94" s="60">
        <v>12900</v>
      </c>
      <c r="E94" s="62"/>
    </row>
    <row r="95" spans="1:5" ht="12.75" x14ac:dyDescent="0.25">
      <c r="A95" s="58" t="s">
        <v>331</v>
      </c>
      <c r="B95" s="59" t="s">
        <v>14</v>
      </c>
      <c r="C95" s="59">
        <v>1</v>
      </c>
      <c r="D95" s="60">
        <v>3601</v>
      </c>
      <c r="E95" s="62"/>
    </row>
    <row r="96" spans="1:5" ht="12.75" x14ac:dyDescent="0.25">
      <c r="A96" s="58" t="s">
        <v>332</v>
      </c>
      <c r="B96" s="59" t="s">
        <v>14</v>
      </c>
      <c r="C96" s="59">
        <v>1</v>
      </c>
      <c r="D96" s="60">
        <v>3650</v>
      </c>
      <c r="E96" s="62"/>
    </row>
    <row r="97" spans="1:8" ht="12.75" x14ac:dyDescent="0.25">
      <c r="A97" s="58" t="s">
        <v>333</v>
      </c>
      <c r="B97" s="59" t="s">
        <v>14</v>
      </c>
      <c r="C97" s="59">
        <v>1</v>
      </c>
      <c r="D97" s="60">
        <v>2275</v>
      </c>
      <c r="E97" s="62"/>
    </row>
    <row r="98" spans="1:8" ht="12.75" x14ac:dyDescent="0.25">
      <c r="A98" s="58" t="s">
        <v>334</v>
      </c>
      <c r="B98" s="59" t="s">
        <v>13</v>
      </c>
      <c r="C98" s="59">
        <v>1</v>
      </c>
      <c r="D98" s="60">
        <v>20277.777777777777</v>
      </c>
      <c r="E98" s="62"/>
    </row>
    <row r="99" spans="1:8" ht="12.75" x14ac:dyDescent="0.25">
      <c r="A99" s="58" t="s">
        <v>339</v>
      </c>
      <c r="B99" s="59" t="s">
        <v>13</v>
      </c>
      <c r="C99" s="59">
        <v>1</v>
      </c>
      <c r="D99" s="60">
        <v>13389</v>
      </c>
      <c r="E99" s="62"/>
    </row>
    <row r="100" spans="1:8" ht="12.75" x14ac:dyDescent="0.25">
      <c r="A100" s="58" t="s">
        <v>335</v>
      </c>
      <c r="B100" s="59" t="s">
        <v>14</v>
      </c>
      <c r="C100" s="59">
        <v>1</v>
      </c>
      <c r="D100" s="60">
        <v>42</v>
      </c>
      <c r="E100" s="62"/>
    </row>
    <row r="101" spans="1:8" ht="12.75" x14ac:dyDescent="0.25">
      <c r="A101" s="58" t="s">
        <v>336</v>
      </c>
      <c r="B101" s="59" t="s">
        <v>14</v>
      </c>
      <c r="C101" s="59">
        <v>1</v>
      </c>
      <c r="D101" s="60">
        <v>42</v>
      </c>
      <c r="E101" s="62"/>
    </row>
    <row r="102" spans="1:8" ht="12.75" x14ac:dyDescent="0.25">
      <c r="A102" s="58" t="s">
        <v>337</v>
      </c>
      <c r="B102" s="59" t="s">
        <v>14</v>
      </c>
      <c r="C102" s="59">
        <v>1</v>
      </c>
      <c r="D102" s="60">
        <v>77</v>
      </c>
      <c r="E102" s="62"/>
    </row>
    <row r="103" spans="1:8" ht="13.9" customHeight="1" x14ac:dyDescent="0.25">
      <c r="A103" s="58" t="s">
        <v>340</v>
      </c>
      <c r="B103" s="59" t="s">
        <v>341</v>
      </c>
      <c r="C103" s="59">
        <v>1</v>
      </c>
      <c r="D103" s="60">
        <v>61900</v>
      </c>
      <c r="E103" s="62"/>
    </row>
    <row r="104" spans="1:8" ht="13.9" customHeight="1" x14ac:dyDescent="0.25">
      <c r="A104" s="58" t="s">
        <v>342</v>
      </c>
      <c r="B104" s="59" t="s">
        <v>14</v>
      </c>
      <c r="C104" s="59">
        <v>1</v>
      </c>
      <c r="D104" s="60">
        <v>5936</v>
      </c>
      <c r="E104" s="62"/>
    </row>
    <row r="105" spans="1:8" ht="13.9" customHeight="1" x14ac:dyDescent="0.25">
      <c r="A105" s="58" t="s">
        <v>343</v>
      </c>
      <c r="B105" s="59" t="s">
        <v>13</v>
      </c>
      <c r="C105" s="59">
        <v>1</v>
      </c>
      <c r="D105" s="60">
        <v>14850</v>
      </c>
      <c r="E105" s="62"/>
    </row>
    <row r="106" spans="1:8" ht="13.9" customHeight="1" x14ac:dyDescent="0.25">
      <c r="A106" s="58"/>
      <c r="B106" s="59"/>
      <c r="C106" s="59"/>
      <c r="D106" s="60"/>
      <c r="E106" s="62"/>
    </row>
    <row r="107" spans="1:8" ht="12.75" x14ac:dyDescent="0.25">
      <c r="A107" s="58" t="s">
        <v>114</v>
      </c>
      <c r="B107" s="59" t="s">
        <v>115</v>
      </c>
      <c r="C107" s="59">
        <v>1</v>
      </c>
      <c r="D107" s="60">
        <f t="shared" si="0"/>
        <v>157650</v>
      </c>
      <c r="E107" s="62"/>
      <c r="H107" s="50">
        <v>150000</v>
      </c>
    </row>
    <row r="108" spans="1:8" ht="12.75" x14ac:dyDescent="0.25">
      <c r="A108" s="58" t="s">
        <v>116</v>
      </c>
      <c r="B108" s="59" t="s">
        <v>115</v>
      </c>
      <c r="C108" s="59">
        <v>1</v>
      </c>
      <c r="D108" s="60">
        <f t="shared" si="0"/>
        <v>189180</v>
      </c>
      <c r="E108" s="62"/>
      <c r="H108" s="50">
        <v>180000</v>
      </c>
    </row>
    <row r="109" spans="1:8" ht="25.5" x14ac:dyDescent="0.25">
      <c r="A109" s="58" t="s">
        <v>117</v>
      </c>
      <c r="B109" s="59" t="s">
        <v>115</v>
      </c>
      <c r="C109" s="59">
        <v>1</v>
      </c>
      <c r="D109" s="60">
        <f t="shared" si="0"/>
        <v>210200</v>
      </c>
      <c r="E109" s="62"/>
      <c r="H109" s="50">
        <v>200000</v>
      </c>
    </row>
    <row r="110" spans="1:8" ht="25.5" x14ac:dyDescent="0.25">
      <c r="A110" s="58" t="s">
        <v>118</v>
      </c>
      <c r="B110" s="59" t="s">
        <v>115</v>
      </c>
      <c r="C110" s="59">
        <v>1</v>
      </c>
      <c r="D110" s="60">
        <f t="shared" si="0"/>
        <v>157650</v>
      </c>
      <c r="E110" s="62"/>
      <c r="H110" s="50">
        <v>150000</v>
      </c>
    </row>
    <row r="111" spans="1:8" ht="25.5" x14ac:dyDescent="0.25">
      <c r="A111" s="58" t="s">
        <v>119</v>
      </c>
      <c r="B111" s="59" t="s">
        <v>115</v>
      </c>
      <c r="C111" s="59">
        <v>1</v>
      </c>
      <c r="D111" s="60">
        <f t="shared" si="0"/>
        <v>131375</v>
      </c>
      <c r="E111" s="62"/>
      <c r="H111" s="50">
        <v>125000</v>
      </c>
    </row>
    <row r="112" spans="1:8" ht="33" customHeight="1" x14ac:dyDescent="0.25">
      <c r="A112" s="58" t="s">
        <v>120</v>
      </c>
      <c r="B112" s="59" t="s">
        <v>115</v>
      </c>
      <c r="C112" s="59">
        <v>1</v>
      </c>
      <c r="D112" s="60">
        <f t="shared" si="0"/>
        <v>131375</v>
      </c>
      <c r="E112" s="62"/>
      <c r="H112" s="50">
        <v>125000</v>
      </c>
    </row>
    <row r="113" spans="1:8" ht="12.75" x14ac:dyDescent="0.25">
      <c r="A113" s="58" t="s">
        <v>121</v>
      </c>
      <c r="B113" s="59" t="s">
        <v>115</v>
      </c>
      <c r="C113" s="59">
        <v>1</v>
      </c>
      <c r="D113" s="60">
        <f t="shared" si="0"/>
        <v>92593</v>
      </c>
      <c r="E113" s="62"/>
      <c r="H113" s="50">
        <v>88100</v>
      </c>
    </row>
    <row r="114" spans="1:8" ht="12.75" x14ac:dyDescent="0.25">
      <c r="A114" s="58" t="s">
        <v>122</v>
      </c>
      <c r="B114" s="59" t="s">
        <v>115</v>
      </c>
      <c r="C114" s="59">
        <v>1</v>
      </c>
      <c r="D114" s="60">
        <f t="shared" si="0"/>
        <v>7357</v>
      </c>
      <c r="E114" s="62"/>
      <c r="H114" s="50">
        <v>7000</v>
      </c>
    </row>
    <row r="115" spans="1:8" ht="12.75" x14ac:dyDescent="0.25">
      <c r="A115" s="58" t="s">
        <v>123</v>
      </c>
      <c r="B115" s="59" t="s">
        <v>115</v>
      </c>
      <c r="C115" s="59">
        <v>1</v>
      </c>
      <c r="D115" s="60">
        <f t="shared" si="0"/>
        <v>9985</v>
      </c>
      <c r="E115" s="62"/>
      <c r="H115" s="50">
        <v>9500</v>
      </c>
    </row>
    <row r="116" spans="1:8" ht="12.75" x14ac:dyDescent="0.25">
      <c r="A116" s="58" t="s">
        <v>124</v>
      </c>
      <c r="B116" s="59" t="s">
        <v>115</v>
      </c>
      <c r="C116" s="59">
        <v>1</v>
      </c>
      <c r="D116" s="60">
        <f t="shared" si="0"/>
        <v>8408</v>
      </c>
      <c r="E116" s="62">
        <f>+D116*8</f>
        <v>67264</v>
      </c>
      <c r="H116" s="50">
        <v>8000</v>
      </c>
    </row>
    <row r="117" spans="1:8" ht="12.75" x14ac:dyDescent="0.25">
      <c r="A117" s="58" t="s">
        <v>125</v>
      </c>
      <c r="B117" s="59" t="s">
        <v>115</v>
      </c>
      <c r="C117" s="59">
        <v>1</v>
      </c>
      <c r="D117" s="60">
        <f t="shared" si="0"/>
        <v>14714</v>
      </c>
      <c r="E117" s="62"/>
      <c r="H117" s="50">
        <v>14000</v>
      </c>
    </row>
    <row r="118" spans="1:8" ht="12.75" x14ac:dyDescent="0.25">
      <c r="A118" s="58" t="s">
        <v>126</v>
      </c>
      <c r="B118" s="59" t="s">
        <v>78</v>
      </c>
      <c r="C118" s="59">
        <v>1</v>
      </c>
      <c r="D118" s="60">
        <f t="shared" si="0"/>
        <v>4730</v>
      </c>
      <c r="E118" s="62"/>
      <c r="H118" s="50">
        <v>4500</v>
      </c>
    </row>
    <row r="119" spans="1:8" ht="12.75" x14ac:dyDescent="0.25">
      <c r="A119" s="58" t="s">
        <v>127</v>
      </c>
      <c r="B119" s="59" t="s">
        <v>115</v>
      </c>
      <c r="C119" s="59">
        <v>1</v>
      </c>
      <c r="D119" s="60">
        <f t="shared" si="0"/>
        <v>631</v>
      </c>
      <c r="E119" s="62"/>
      <c r="H119" s="50">
        <v>600</v>
      </c>
    </row>
    <row r="120" spans="1:8" ht="12.75" x14ac:dyDescent="0.25">
      <c r="A120" s="58" t="s">
        <v>128</v>
      </c>
      <c r="B120" s="59" t="s">
        <v>115</v>
      </c>
      <c r="C120" s="59">
        <v>1</v>
      </c>
      <c r="D120" s="60">
        <f t="shared" si="0"/>
        <v>9459</v>
      </c>
      <c r="E120" s="62"/>
      <c r="H120" s="50">
        <v>9000</v>
      </c>
    </row>
    <row r="121" spans="1:8" ht="12.75" x14ac:dyDescent="0.25">
      <c r="A121" s="58" t="s">
        <v>129</v>
      </c>
      <c r="B121" s="59" t="s">
        <v>115</v>
      </c>
      <c r="C121" s="59">
        <v>1</v>
      </c>
      <c r="D121" s="60">
        <f t="shared" si="0"/>
        <v>3153</v>
      </c>
      <c r="E121" s="62"/>
      <c r="H121" s="50">
        <v>3000</v>
      </c>
    </row>
    <row r="122" spans="1:8" ht="12.75" x14ac:dyDescent="0.25">
      <c r="A122" s="58" t="s">
        <v>130</v>
      </c>
      <c r="B122" s="59" t="s">
        <v>115</v>
      </c>
      <c r="C122" s="59">
        <v>1</v>
      </c>
      <c r="D122" s="60">
        <f t="shared" si="0"/>
        <v>42040</v>
      </c>
      <c r="E122" s="62"/>
      <c r="H122" s="50">
        <v>40000</v>
      </c>
    </row>
    <row r="123" spans="1:8" ht="12.75" x14ac:dyDescent="0.25">
      <c r="A123" s="58" t="s">
        <v>131</v>
      </c>
      <c r="B123" s="59" t="s">
        <v>115</v>
      </c>
      <c r="C123" s="59">
        <v>1</v>
      </c>
      <c r="D123" s="60">
        <f t="shared" si="0"/>
        <v>84080</v>
      </c>
      <c r="E123" s="62"/>
      <c r="H123" s="50">
        <v>80000</v>
      </c>
    </row>
    <row r="124" spans="1:8" ht="12.75" x14ac:dyDescent="0.25">
      <c r="A124" s="58" t="s">
        <v>132</v>
      </c>
      <c r="B124" s="59" t="s">
        <v>115</v>
      </c>
      <c r="C124" s="59">
        <v>1</v>
      </c>
      <c r="D124" s="60">
        <f t="shared" si="0"/>
        <v>6306</v>
      </c>
      <c r="E124" s="62"/>
      <c r="H124" s="50">
        <v>6000</v>
      </c>
    </row>
    <row r="125" spans="1:8" ht="12.75" x14ac:dyDescent="0.25">
      <c r="A125" s="58" t="s">
        <v>133</v>
      </c>
      <c r="B125" s="59" t="s">
        <v>78</v>
      </c>
      <c r="C125" s="59">
        <v>1</v>
      </c>
      <c r="D125" s="60">
        <f t="shared" si="0"/>
        <v>472950</v>
      </c>
      <c r="E125" s="62"/>
      <c r="H125" s="50">
        <v>450000</v>
      </c>
    </row>
    <row r="126" spans="1:8" ht="12.75" x14ac:dyDescent="0.25">
      <c r="A126" s="58" t="s">
        <v>109</v>
      </c>
      <c r="B126" s="59" t="s">
        <v>13</v>
      </c>
      <c r="C126" s="59">
        <v>1</v>
      </c>
      <c r="D126" s="60">
        <f t="shared" si="0"/>
        <v>7567</v>
      </c>
      <c r="E126" s="62"/>
      <c r="H126" s="50">
        <v>7200</v>
      </c>
    </row>
    <row r="127" spans="1:8" ht="12.75" x14ac:dyDescent="0.25">
      <c r="A127" s="58" t="s">
        <v>134</v>
      </c>
      <c r="B127" s="59" t="s">
        <v>78</v>
      </c>
      <c r="C127" s="59">
        <v>1</v>
      </c>
      <c r="D127" s="60">
        <f t="shared" si="0"/>
        <v>15765</v>
      </c>
      <c r="E127" s="62"/>
      <c r="H127" s="50">
        <v>15000</v>
      </c>
    </row>
    <row r="128" spans="1:8" ht="12.75" x14ac:dyDescent="0.25">
      <c r="A128" s="58" t="s">
        <v>135</v>
      </c>
      <c r="B128" s="59" t="s">
        <v>136</v>
      </c>
      <c r="C128" s="59">
        <v>1</v>
      </c>
      <c r="D128" s="60">
        <f t="shared" si="0"/>
        <v>21020</v>
      </c>
      <c r="E128" s="62"/>
      <c r="H128" s="50">
        <v>20000</v>
      </c>
    </row>
    <row r="129" spans="1:8" ht="12.75" x14ac:dyDescent="0.25">
      <c r="A129" s="58" t="s">
        <v>137</v>
      </c>
      <c r="B129" s="59" t="s">
        <v>15</v>
      </c>
      <c r="C129" s="59">
        <v>1</v>
      </c>
      <c r="D129" s="60">
        <f t="shared" ref="D129" si="1">ROUND(H129*(1+$H$3),0)</f>
        <v>26275</v>
      </c>
      <c r="E129" s="62"/>
      <c r="H129" s="50">
        <v>25000</v>
      </c>
    </row>
    <row r="130" spans="1:8" ht="12.75" x14ac:dyDescent="0.25">
      <c r="A130" s="58" t="s">
        <v>280</v>
      </c>
      <c r="B130" s="59" t="s">
        <v>115</v>
      </c>
      <c r="C130" s="59">
        <v>1</v>
      </c>
      <c r="D130" s="60">
        <v>450</v>
      </c>
      <c r="E130" s="62"/>
    </row>
    <row r="131" spans="1:8" ht="12.75" x14ac:dyDescent="0.25">
      <c r="A131" s="58" t="s">
        <v>299</v>
      </c>
      <c r="B131" s="59" t="s">
        <v>115</v>
      </c>
      <c r="C131" s="59">
        <v>1</v>
      </c>
      <c r="D131" s="60">
        <v>5500</v>
      </c>
    </row>
    <row r="132" spans="1:8" ht="12.75" x14ac:dyDescent="0.25">
      <c r="A132" s="63"/>
      <c r="B132" s="64"/>
      <c r="C132" s="64"/>
      <c r="D132" s="65"/>
    </row>
    <row r="133" spans="1:8" ht="12.75" x14ac:dyDescent="0.25">
      <c r="A133" s="66" t="s">
        <v>138</v>
      </c>
      <c r="B133" s="67" t="s">
        <v>78</v>
      </c>
      <c r="C133" s="67">
        <v>1</v>
      </c>
      <c r="D133" s="68">
        <f t="shared" ref="D133:D152" si="2">ROUND(H133*(1+$H$3),0)</f>
        <v>169830</v>
      </c>
      <c r="H133" s="50">
        <v>161589.37014901999</v>
      </c>
    </row>
    <row r="134" spans="1:8" ht="12.75" x14ac:dyDescent="0.25">
      <c r="A134" s="66" t="s">
        <v>139</v>
      </c>
      <c r="B134" s="67" t="s">
        <v>78</v>
      </c>
      <c r="C134" s="67">
        <v>1</v>
      </c>
      <c r="D134" s="68">
        <f t="shared" si="2"/>
        <v>777873</v>
      </c>
      <c r="H134" s="50">
        <v>740126.43964771205</v>
      </c>
    </row>
    <row r="135" spans="1:8" ht="12.75" x14ac:dyDescent="0.25">
      <c r="A135" s="66" t="s">
        <v>140</v>
      </c>
      <c r="B135" s="67" t="s">
        <v>115</v>
      </c>
      <c r="C135" s="67">
        <v>1</v>
      </c>
      <c r="D135" s="68">
        <f t="shared" si="2"/>
        <v>208741</v>
      </c>
      <c r="H135" s="50">
        <v>198611.77077895601</v>
      </c>
    </row>
    <row r="136" spans="1:8" ht="12.75" x14ac:dyDescent="0.25">
      <c r="A136" s="66" t="s">
        <v>141</v>
      </c>
      <c r="B136" s="67" t="s">
        <v>15</v>
      </c>
      <c r="C136" s="67">
        <v>1</v>
      </c>
      <c r="D136" s="68">
        <f t="shared" si="2"/>
        <v>142649</v>
      </c>
      <c r="H136" s="50">
        <v>135727</v>
      </c>
    </row>
    <row r="137" spans="1:8" ht="12.75" x14ac:dyDescent="0.25">
      <c r="A137" s="66" t="s">
        <v>142</v>
      </c>
      <c r="B137" s="67" t="s">
        <v>115</v>
      </c>
      <c r="C137" s="67">
        <v>1</v>
      </c>
      <c r="D137" s="68">
        <f t="shared" si="2"/>
        <v>36785</v>
      </c>
      <c r="H137" s="50">
        <v>35000</v>
      </c>
    </row>
    <row r="138" spans="1:8" ht="12.75" x14ac:dyDescent="0.25">
      <c r="A138" s="66" t="s">
        <v>143</v>
      </c>
      <c r="B138" s="67" t="s">
        <v>82</v>
      </c>
      <c r="C138" s="67">
        <v>1</v>
      </c>
      <c r="D138" s="68">
        <f t="shared" si="2"/>
        <v>937662</v>
      </c>
      <c r="H138" s="50">
        <v>892162</v>
      </c>
    </row>
    <row r="139" spans="1:8" ht="12.75" x14ac:dyDescent="0.25">
      <c r="A139" s="66" t="s">
        <v>303</v>
      </c>
      <c r="B139" s="67" t="s">
        <v>82</v>
      </c>
      <c r="C139" s="67">
        <v>1</v>
      </c>
      <c r="D139" s="68">
        <v>436656</v>
      </c>
    </row>
    <row r="140" spans="1:8" ht="12.75" x14ac:dyDescent="0.25">
      <c r="A140" s="66" t="s">
        <v>106</v>
      </c>
      <c r="B140" s="67" t="s">
        <v>78</v>
      </c>
      <c r="C140" s="67">
        <v>1</v>
      </c>
      <c r="D140" s="68">
        <f t="shared" si="2"/>
        <v>754115</v>
      </c>
      <c r="H140" s="50">
        <v>717521.15237058804</v>
      </c>
    </row>
    <row r="141" spans="1:8" ht="12.75" x14ac:dyDescent="0.25">
      <c r="A141" s="66" t="s">
        <v>144</v>
      </c>
      <c r="B141" s="67" t="s">
        <v>15</v>
      </c>
      <c r="C141" s="67">
        <v>1</v>
      </c>
      <c r="D141" s="68">
        <f t="shared" si="2"/>
        <v>47480</v>
      </c>
      <c r="H141" s="50">
        <v>45176</v>
      </c>
    </row>
    <row r="142" spans="1:8" ht="12.75" x14ac:dyDescent="0.25">
      <c r="A142" s="66" t="s">
        <v>145</v>
      </c>
      <c r="B142" s="67" t="s">
        <v>78</v>
      </c>
      <c r="C142" s="67">
        <v>1</v>
      </c>
      <c r="D142" s="68">
        <f t="shared" si="2"/>
        <v>230119</v>
      </c>
      <c r="H142" s="50">
        <v>218952</v>
      </c>
    </row>
    <row r="143" spans="1:8" ht="12.75" x14ac:dyDescent="0.25">
      <c r="A143" s="66" t="s">
        <v>146</v>
      </c>
      <c r="B143" s="67" t="s">
        <v>147</v>
      </c>
      <c r="C143" s="67">
        <v>1</v>
      </c>
      <c r="D143" s="68">
        <f t="shared" si="2"/>
        <v>104947</v>
      </c>
      <c r="H143" s="50">
        <v>99854</v>
      </c>
    </row>
    <row r="144" spans="1:8" ht="12.75" x14ac:dyDescent="0.25">
      <c r="A144" s="66" t="s">
        <v>148</v>
      </c>
      <c r="B144" s="67" t="s">
        <v>15</v>
      </c>
      <c r="C144" s="67">
        <v>1</v>
      </c>
      <c r="D144" s="68">
        <f t="shared" si="2"/>
        <v>99133</v>
      </c>
      <c r="H144" s="50">
        <v>94323</v>
      </c>
    </row>
    <row r="145" spans="1:8" ht="12.75" x14ac:dyDescent="0.25">
      <c r="A145" s="66" t="s">
        <v>149</v>
      </c>
      <c r="B145" s="67" t="s">
        <v>15</v>
      </c>
      <c r="C145" s="67">
        <v>1</v>
      </c>
      <c r="D145" s="68">
        <f t="shared" si="2"/>
        <v>16067</v>
      </c>
      <c r="H145" s="50">
        <v>15287</v>
      </c>
    </row>
    <row r="146" spans="1:8" ht="12.75" customHeight="1" x14ac:dyDescent="0.25">
      <c r="A146" s="66" t="s">
        <v>150</v>
      </c>
      <c r="B146" s="67" t="s">
        <v>15</v>
      </c>
      <c r="C146" s="67">
        <v>1</v>
      </c>
      <c r="D146" s="68">
        <f t="shared" si="2"/>
        <v>3078</v>
      </c>
      <c r="H146" s="50">
        <v>2929</v>
      </c>
    </row>
    <row r="147" spans="1:8" ht="12.75" customHeight="1" x14ac:dyDescent="0.25">
      <c r="A147" s="66" t="s">
        <v>151</v>
      </c>
      <c r="B147" s="67" t="s">
        <v>78</v>
      </c>
      <c r="C147" s="67">
        <v>1</v>
      </c>
      <c r="D147" s="68">
        <f t="shared" si="2"/>
        <v>18530</v>
      </c>
      <c r="H147" s="50">
        <v>17631</v>
      </c>
    </row>
    <row r="148" spans="1:8" ht="12.75" customHeight="1" x14ac:dyDescent="0.25">
      <c r="A148" s="66" t="s">
        <v>152</v>
      </c>
      <c r="B148" s="67" t="s">
        <v>78</v>
      </c>
      <c r="C148" s="67">
        <v>1</v>
      </c>
      <c r="D148" s="68">
        <f t="shared" si="2"/>
        <v>3084</v>
      </c>
      <c r="H148" s="50">
        <v>2934</v>
      </c>
    </row>
    <row r="149" spans="1:8" ht="12.75" customHeight="1" x14ac:dyDescent="0.25">
      <c r="A149" s="66" t="s">
        <v>153</v>
      </c>
      <c r="B149" s="67" t="s">
        <v>78</v>
      </c>
      <c r="C149" s="67">
        <v>1</v>
      </c>
      <c r="D149" s="68">
        <f t="shared" si="2"/>
        <v>131375</v>
      </c>
      <c r="H149" s="50">
        <v>125000</v>
      </c>
    </row>
    <row r="150" spans="1:8" ht="12.75" customHeight="1" x14ac:dyDescent="0.25">
      <c r="A150" s="66" t="s">
        <v>154</v>
      </c>
      <c r="B150" s="67" t="s">
        <v>82</v>
      </c>
      <c r="C150" s="67">
        <v>1</v>
      </c>
      <c r="D150" s="68">
        <f t="shared" si="2"/>
        <v>89335</v>
      </c>
      <c r="H150" s="50">
        <v>85000</v>
      </c>
    </row>
    <row r="151" spans="1:8" ht="12.75" customHeight="1" x14ac:dyDescent="0.25">
      <c r="A151" s="66" t="s">
        <v>155</v>
      </c>
      <c r="B151" s="67" t="s">
        <v>15</v>
      </c>
      <c r="C151" s="67">
        <v>1</v>
      </c>
      <c r="D151" s="68">
        <f t="shared" si="2"/>
        <v>10424</v>
      </c>
      <c r="H151" s="50">
        <v>9918</v>
      </c>
    </row>
    <row r="152" spans="1:8" ht="12.75" customHeight="1" x14ac:dyDescent="0.25">
      <c r="A152" s="66" t="s">
        <v>156</v>
      </c>
      <c r="B152" s="67" t="s">
        <v>13</v>
      </c>
      <c r="C152" s="67">
        <v>1</v>
      </c>
      <c r="D152" s="68">
        <f t="shared" si="2"/>
        <v>17867</v>
      </c>
      <c r="H152" s="50">
        <v>17000</v>
      </c>
    </row>
    <row r="153" spans="1:8" ht="12.75" customHeight="1" x14ac:dyDescent="0.25">
      <c r="A153" s="63"/>
      <c r="B153" s="64"/>
      <c r="C153" s="64"/>
      <c r="D153" s="69"/>
    </row>
    <row r="154" spans="1:8" ht="12.75" customHeight="1" x14ac:dyDescent="0.25">
      <c r="A154" s="63"/>
      <c r="B154" s="64"/>
      <c r="C154" s="64"/>
      <c r="D154" s="69"/>
    </row>
    <row r="155" spans="1:8" ht="12.75" customHeight="1" x14ac:dyDescent="0.25">
      <c r="A155" s="63"/>
      <c r="B155" s="64"/>
      <c r="C155" s="64"/>
      <c r="D155" s="69"/>
    </row>
    <row r="156" spans="1:8" ht="12.75" customHeight="1" x14ac:dyDescent="0.25">
      <c r="A156" s="63"/>
      <c r="B156" s="64"/>
      <c r="C156" s="64"/>
      <c r="D156" s="69"/>
    </row>
    <row r="157" spans="1:8" ht="12.75" customHeight="1" x14ac:dyDescent="0.25">
      <c r="A157" s="70"/>
      <c r="B157" s="64"/>
      <c r="C157" s="64"/>
      <c r="D157" s="71"/>
    </row>
    <row r="158" spans="1:8" ht="12.75" customHeight="1" x14ac:dyDescent="0.25">
      <c r="A158" s="63"/>
      <c r="B158" s="64"/>
      <c r="C158" s="64"/>
      <c r="D158" s="71"/>
    </row>
    <row r="159" spans="1:8" ht="12.75" customHeight="1" x14ac:dyDescent="0.25">
      <c r="A159" s="63"/>
      <c r="B159" s="72"/>
      <c r="C159" s="73"/>
      <c r="D159" s="73"/>
    </row>
  </sheetData>
  <mergeCells count="1">
    <mergeCell ref="A1:D1"/>
  </mergeCells>
  <pageMargins left="0.51181102362204722" right="0.51181102362204722" top="0.55118110236220474" bottom="0.55118110236220474" header="0" footer="0"/>
  <pageSetup scale="74" fitToHeight="0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A661D-5C23-46C3-89DE-4D2B8F32E9D8}">
  <sheetPr codeName="Hoja41">
    <tabColor theme="9" tint="0.59999389629810485"/>
    <pageSetUpPr fitToPage="1"/>
  </sheetPr>
  <dimension ref="A1:F63"/>
  <sheetViews>
    <sheetView tabSelected="1" view="pageBreakPreview" topLeftCell="A36" zoomScale="70" zoomScaleNormal="70" zoomScaleSheetLayoutView="70" workbookViewId="0">
      <selection activeCell="B40" sqref="B40"/>
    </sheetView>
  </sheetViews>
  <sheetFormatPr baseColWidth="10" defaultColWidth="11.5703125" defaultRowHeight="14.25" x14ac:dyDescent="0.2"/>
  <cols>
    <col min="1" max="1" width="11.5703125" style="2"/>
    <col min="2" max="2" width="67.28515625" style="3" customWidth="1"/>
    <col min="3" max="3" width="15.42578125" style="2" bestFit="1" customWidth="1"/>
    <col min="4" max="4" width="11.5703125" style="2"/>
    <col min="5" max="5" width="16.28515625" style="4" customWidth="1"/>
    <col min="6" max="6" width="22.140625" style="4" bestFit="1" customWidth="1"/>
    <col min="7" max="16384" width="11.5703125" style="1"/>
  </cols>
  <sheetData>
    <row r="1" spans="1:6" ht="15" x14ac:dyDescent="0.2">
      <c r="A1" s="479" t="s">
        <v>0</v>
      </c>
      <c r="B1" s="479"/>
      <c r="C1" s="479"/>
      <c r="D1" s="479"/>
      <c r="E1" s="479"/>
      <c r="F1" s="479"/>
    </row>
    <row r="2" spans="1:6" ht="30.6" customHeight="1" x14ac:dyDescent="0.2">
      <c r="A2" s="480" t="s">
        <v>632</v>
      </c>
      <c r="B2" s="480"/>
      <c r="C2" s="480"/>
      <c r="D2" s="480"/>
      <c r="E2" s="480"/>
      <c r="F2" s="480"/>
    </row>
    <row r="3" spans="1:6" ht="15" x14ac:dyDescent="0.2">
      <c r="A3" s="8" t="s">
        <v>1</v>
      </c>
      <c r="B3" s="11" t="s">
        <v>2</v>
      </c>
      <c r="C3" s="8" t="s">
        <v>3</v>
      </c>
      <c r="D3" s="8" t="s">
        <v>4</v>
      </c>
      <c r="E3" s="10" t="s">
        <v>5</v>
      </c>
      <c r="F3" s="10" t="s">
        <v>6</v>
      </c>
    </row>
    <row r="4" spans="1:6" ht="15" x14ac:dyDescent="0.2">
      <c r="A4" s="8">
        <v>1</v>
      </c>
      <c r="B4" s="9" t="s">
        <v>7</v>
      </c>
      <c r="C4" s="8"/>
      <c r="D4" s="8"/>
      <c r="E4" s="293"/>
      <c r="F4" s="294">
        <f>ROUNDUP(SUM(F5:F8),0)</f>
        <v>5707216</v>
      </c>
    </row>
    <row r="5" spans="1:6" x14ac:dyDescent="0.2">
      <c r="A5" s="5">
        <v>1.1000000000000001</v>
      </c>
      <c r="B5" s="6" t="s">
        <v>275</v>
      </c>
      <c r="C5" s="5" t="s">
        <v>13</v>
      </c>
      <c r="D5" s="48">
        <f>+'1,1'!K27</f>
        <v>260.48</v>
      </c>
      <c r="E5" s="295">
        <f>+'1.1 localizacion'!H40</f>
        <v>7656</v>
      </c>
      <c r="F5" s="295">
        <f>D5*E5</f>
        <v>1994234.8800000001</v>
      </c>
    </row>
    <row r="6" spans="1:6" ht="28.5" x14ac:dyDescent="0.2">
      <c r="A6" s="5">
        <v>1.2</v>
      </c>
      <c r="B6" s="6" t="s">
        <v>277</v>
      </c>
      <c r="C6" s="5" t="s">
        <v>14</v>
      </c>
      <c r="D6" s="48">
        <f>+'1,2'!K28</f>
        <v>1</v>
      </c>
      <c r="E6" s="295">
        <v>1128314.6193649888</v>
      </c>
      <c r="F6" s="295">
        <f>D6*E6</f>
        <v>1128314.6193649888</v>
      </c>
    </row>
    <row r="7" spans="1:6" ht="28.5" x14ac:dyDescent="0.2">
      <c r="A7" s="5">
        <v>1.3</v>
      </c>
      <c r="B7" s="6" t="s">
        <v>8</v>
      </c>
      <c r="C7" s="5" t="s">
        <v>14</v>
      </c>
      <c r="D7" s="48">
        <v>5</v>
      </c>
      <c r="E7" s="295">
        <f>+'1.3 señal '!H42</f>
        <v>277928</v>
      </c>
      <c r="F7" s="295">
        <f t="shared" ref="F7:F8" si="0">D7*E7</f>
        <v>1389640</v>
      </c>
    </row>
    <row r="8" spans="1:6" ht="42.75" x14ac:dyDescent="0.2">
      <c r="A8" s="5">
        <v>1.4</v>
      </c>
      <c r="B8" s="6" t="s">
        <v>42</v>
      </c>
      <c r="C8" s="5" t="s">
        <v>15</v>
      </c>
      <c r="D8" s="48">
        <f>'1,4'!K28</f>
        <v>67.680000000000007</v>
      </c>
      <c r="E8" s="295">
        <f>+'1.4 Cerramiento '!H43</f>
        <v>17657</v>
      </c>
      <c r="F8" s="295">
        <f t="shared" si="0"/>
        <v>1195025.76</v>
      </c>
    </row>
    <row r="9" spans="1:6" ht="15" x14ac:dyDescent="0.2">
      <c r="A9" s="8">
        <v>2</v>
      </c>
      <c r="B9" s="9" t="s">
        <v>9</v>
      </c>
      <c r="C9" s="8"/>
      <c r="D9" s="8"/>
      <c r="E9" s="294"/>
      <c r="F9" s="294">
        <f>ROUNDUP(SUM(F10:F13),0)</f>
        <v>13750234</v>
      </c>
    </row>
    <row r="10" spans="1:6" ht="28.5" x14ac:dyDescent="0.2">
      <c r="A10" s="5">
        <v>2.1</v>
      </c>
      <c r="B10" s="6" t="s">
        <v>353</v>
      </c>
      <c r="C10" s="5" t="s">
        <v>13</v>
      </c>
      <c r="D10" s="48">
        <f>'2,1'!K27</f>
        <v>269.81</v>
      </c>
      <c r="E10" s="295">
        <f>+'2.1 Desmonte teja'!H44</f>
        <v>24233</v>
      </c>
      <c r="F10" s="295">
        <f>D10*E10</f>
        <v>6538305.7300000004</v>
      </c>
    </row>
    <row r="11" spans="1:6" x14ac:dyDescent="0.2">
      <c r="A11" s="5">
        <v>2.2000000000000002</v>
      </c>
      <c r="B11" s="6" t="s">
        <v>367</v>
      </c>
      <c r="C11" s="5" t="s">
        <v>13</v>
      </c>
      <c r="D11" s="48">
        <f>+'2,2'!K28</f>
        <v>260.48</v>
      </c>
      <c r="E11" s="295">
        <f>+'2.2 Desmonte cielo raso'!H43</f>
        <v>18455</v>
      </c>
      <c r="F11" s="295">
        <f t="shared" ref="F11" si="1">D11*E11</f>
        <v>4807158.4000000004</v>
      </c>
    </row>
    <row r="12" spans="1:6" ht="28.5" x14ac:dyDescent="0.2">
      <c r="A12" s="5">
        <v>2.2999999999999998</v>
      </c>
      <c r="B12" s="6" t="s">
        <v>470</v>
      </c>
      <c r="C12" s="5" t="s">
        <v>13</v>
      </c>
      <c r="D12" s="48">
        <f>+'2,3'!K28</f>
        <v>65.87</v>
      </c>
      <c r="E12" s="295">
        <f>+'2.3 Desmonte Madera'!H40</f>
        <v>17311</v>
      </c>
      <c r="F12" s="295">
        <f>D12*E12</f>
        <v>1140275.57</v>
      </c>
    </row>
    <row r="13" spans="1:6" x14ac:dyDescent="0.2">
      <c r="A13" s="5">
        <v>2.4</v>
      </c>
      <c r="B13" s="6" t="s">
        <v>565</v>
      </c>
      <c r="C13" s="5" t="s">
        <v>13</v>
      </c>
      <c r="D13" s="48">
        <f>+'2,4'!K28</f>
        <v>54.78</v>
      </c>
      <c r="E13" s="295">
        <f>+'2.4 demolición ceramica'!H19</f>
        <v>23083.13</v>
      </c>
      <c r="F13" s="295">
        <f>D13*E13</f>
        <v>1264493.8614000001</v>
      </c>
    </row>
    <row r="14" spans="1:6" ht="15" x14ac:dyDescent="0.2">
      <c r="A14" s="8">
        <v>3</v>
      </c>
      <c r="B14" s="9" t="s">
        <v>10</v>
      </c>
      <c r="C14" s="8"/>
      <c r="D14" s="8"/>
      <c r="E14" s="294"/>
      <c r="F14" s="294">
        <f>ROUNDUP(SUM(F15:F20),0)</f>
        <v>60329111</v>
      </c>
    </row>
    <row r="15" spans="1:6" ht="42.75" x14ac:dyDescent="0.2">
      <c r="A15" s="5" t="s">
        <v>307</v>
      </c>
      <c r="B15" s="6" t="s">
        <v>366</v>
      </c>
      <c r="C15" s="5" t="s">
        <v>13</v>
      </c>
      <c r="D15" s="48">
        <f>+'3,1'!K28</f>
        <v>286.52999999999997</v>
      </c>
      <c r="E15" s="295">
        <f>+'3.1. Teja termoacustica'!H44</f>
        <v>138909</v>
      </c>
      <c r="F15" s="295">
        <f t="shared" ref="F15:F17" si="2">D15*E15</f>
        <v>39801595.769999996</v>
      </c>
    </row>
    <row r="16" spans="1:6" ht="42.75" x14ac:dyDescent="0.2">
      <c r="A16" s="5">
        <v>3.2</v>
      </c>
      <c r="B16" s="6" t="s">
        <v>368</v>
      </c>
      <c r="C16" s="5" t="s">
        <v>15</v>
      </c>
      <c r="D16" s="48">
        <f>+'3,2'!K28</f>
        <v>23.1</v>
      </c>
      <c r="E16" s="295">
        <f>+'3.2 Caballete termo'!H44</f>
        <v>90919</v>
      </c>
      <c r="F16" s="295">
        <f t="shared" si="2"/>
        <v>2100228.9</v>
      </c>
    </row>
    <row r="17" spans="1:6" ht="57" x14ac:dyDescent="0.2">
      <c r="A17" s="5">
        <v>3.3</v>
      </c>
      <c r="B17" s="6" t="s">
        <v>344</v>
      </c>
      <c r="C17" s="5" t="s">
        <v>13</v>
      </c>
      <c r="D17" s="48">
        <f>+'3,3'!K28</f>
        <v>95.1</v>
      </c>
      <c r="E17" s="295">
        <f>+'3.3 Impermiabiliazación'!H42</f>
        <v>72922</v>
      </c>
      <c r="F17" s="295">
        <f t="shared" si="2"/>
        <v>6934882.1999999993</v>
      </c>
    </row>
    <row r="18" spans="1:6" ht="57" x14ac:dyDescent="0.2">
      <c r="A18" s="7">
        <v>3.4</v>
      </c>
      <c r="B18" s="6" t="s">
        <v>11</v>
      </c>
      <c r="C18" s="5" t="s">
        <v>15</v>
      </c>
      <c r="D18" s="48">
        <f>+'3,4'!K28</f>
        <v>23.68</v>
      </c>
      <c r="E18" s="295">
        <f>+'3.4 Canal'!H46</f>
        <v>131234</v>
      </c>
      <c r="F18" s="295">
        <f t="shared" ref="F18:F19" si="3">D18*E18</f>
        <v>3107621.12</v>
      </c>
    </row>
    <row r="19" spans="1:6" ht="42.75" x14ac:dyDescent="0.2">
      <c r="A19" s="5">
        <v>3.5</v>
      </c>
      <c r="B19" s="6" t="s">
        <v>12</v>
      </c>
      <c r="C19" s="5" t="s">
        <v>15</v>
      </c>
      <c r="D19" s="48">
        <f>+'3,5'!K27</f>
        <v>75</v>
      </c>
      <c r="E19" s="295">
        <f>+'3.5 Bajante'!H46</f>
        <v>53823</v>
      </c>
      <c r="F19" s="295">
        <f t="shared" si="3"/>
        <v>4036725</v>
      </c>
    </row>
    <row r="20" spans="1:6" x14ac:dyDescent="0.2">
      <c r="A20" s="5">
        <v>3.6</v>
      </c>
      <c r="B20" s="6" t="s">
        <v>557</v>
      </c>
      <c r="C20" s="5" t="s">
        <v>13</v>
      </c>
      <c r="D20" s="48">
        <f>+'3,6'!K27</f>
        <v>149.84</v>
      </c>
      <c r="E20" s="295">
        <f>+'3.6 Recorrido cubierta'!H44</f>
        <v>29018</v>
      </c>
      <c r="F20" s="295">
        <f t="shared" ref="F20" si="4">D20*E20</f>
        <v>4348057.12</v>
      </c>
    </row>
    <row r="21" spans="1:6" ht="15" x14ac:dyDescent="0.2">
      <c r="A21" s="8">
        <v>4</v>
      </c>
      <c r="B21" s="9" t="s">
        <v>373</v>
      </c>
      <c r="C21" s="8"/>
      <c r="D21" s="8"/>
      <c r="E21" s="294"/>
      <c r="F21" s="294">
        <f>ROUNDUP(SUM(F22:F26),0)</f>
        <v>44526633</v>
      </c>
    </row>
    <row r="22" spans="1:6" ht="28.5" x14ac:dyDescent="0.2">
      <c r="A22" s="5">
        <v>4.0999999999999996</v>
      </c>
      <c r="B22" s="6" t="s">
        <v>427</v>
      </c>
      <c r="C22" s="5" t="s">
        <v>13</v>
      </c>
      <c r="D22" s="48">
        <f>+'4,1'!K27</f>
        <v>63.72</v>
      </c>
      <c r="E22" s="295">
        <f>+'4.1 cielo raso pvc'!H45</f>
        <v>139784</v>
      </c>
      <c r="F22" s="295">
        <f>D22*E22</f>
        <v>8907036.4800000004</v>
      </c>
    </row>
    <row r="23" spans="1:6" ht="28.5" x14ac:dyDescent="0.2">
      <c r="A23" s="5">
        <v>4.2</v>
      </c>
      <c r="B23" s="6" t="s">
        <v>379</v>
      </c>
      <c r="C23" s="5" t="s">
        <v>14</v>
      </c>
      <c r="D23" s="48">
        <f>+'4,2'!K28</f>
        <v>20</v>
      </c>
      <c r="E23" s="295">
        <f>+'4.2 luminarias'!H42</f>
        <v>235909</v>
      </c>
      <c r="F23" s="295">
        <f t="shared" ref="F23:F24" si="5">D23*E23</f>
        <v>4718180</v>
      </c>
    </row>
    <row r="24" spans="1:6" ht="28.5" x14ac:dyDescent="0.2">
      <c r="A24" s="5">
        <v>4.3</v>
      </c>
      <c r="B24" s="6" t="s">
        <v>389</v>
      </c>
      <c r="C24" s="5" t="s">
        <v>14</v>
      </c>
      <c r="D24" s="48">
        <f>+'4,3'!K27</f>
        <v>5</v>
      </c>
      <c r="E24" s="295">
        <f>+'4.3 Puntos eléctricos'!F36</f>
        <v>176373.8</v>
      </c>
      <c r="F24" s="295">
        <f t="shared" si="5"/>
        <v>881869</v>
      </c>
    </row>
    <row r="25" spans="1:6" ht="42.75" x14ac:dyDescent="0.2">
      <c r="A25" s="5">
        <f>+A24+0.1</f>
        <v>4.3999999999999995</v>
      </c>
      <c r="B25" s="476" t="s">
        <v>589</v>
      </c>
      <c r="C25" s="5" t="s">
        <v>13</v>
      </c>
      <c r="D25" s="48">
        <f>+'4,4'!K27</f>
        <v>286.52999999999997</v>
      </c>
      <c r="E25" s="295">
        <f>+'4.4 Triplex'!H49</f>
        <v>77449.611036000002</v>
      </c>
      <c r="F25" s="295">
        <f t="shared" ref="F25:F26" si="6">D25*E25</f>
        <v>22191637.050145078</v>
      </c>
    </row>
    <row r="26" spans="1:6" ht="28.5" x14ac:dyDescent="0.2">
      <c r="A26" s="5">
        <f>+A25+0.1</f>
        <v>4.4999999999999991</v>
      </c>
      <c r="B26" s="476" t="s">
        <v>590</v>
      </c>
      <c r="C26" s="5" t="s">
        <v>13</v>
      </c>
      <c r="D26" s="48">
        <f>+'4,5'!K27</f>
        <v>286.52999999999997</v>
      </c>
      <c r="E26" s="295">
        <f>+'4.5 frescasa'!H43</f>
        <v>27319.686627000003</v>
      </c>
      <c r="F26" s="295">
        <f t="shared" si="6"/>
        <v>7827909.8092343099</v>
      </c>
    </row>
    <row r="27" spans="1:6" ht="15" x14ac:dyDescent="0.2">
      <c r="A27" s="8">
        <v>5</v>
      </c>
      <c r="B27" s="9" t="s">
        <v>426</v>
      </c>
      <c r="C27" s="8"/>
      <c r="D27" s="8"/>
      <c r="E27" s="294"/>
      <c r="F27" s="294">
        <f>ROUNDUP(SUM(F28:F31),0)</f>
        <v>58561793</v>
      </c>
    </row>
    <row r="28" spans="1:6" ht="66" customHeight="1" x14ac:dyDescent="0.2">
      <c r="A28" s="5">
        <f>+A27+0.1</f>
        <v>5.0999999999999996</v>
      </c>
      <c r="B28" s="6" t="s">
        <v>428</v>
      </c>
      <c r="C28" s="5" t="s">
        <v>13</v>
      </c>
      <c r="D28" s="48">
        <f>+'5.1'!K27</f>
        <v>463.4</v>
      </c>
      <c r="E28" s="295">
        <f>+'5.1 pintura exterior'!H21</f>
        <v>54272.55</v>
      </c>
      <c r="F28" s="295">
        <f>D28*E28</f>
        <v>25149899.670000002</v>
      </c>
    </row>
    <row r="29" spans="1:6" ht="85.5" x14ac:dyDescent="0.2">
      <c r="A29" s="5">
        <f>+A28+0.1</f>
        <v>5.1999999999999993</v>
      </c>
      <c r="B29" s="6" t="s">
        <v>429</v>
      </c>
      <c r="C29" s="5" t="s">
        <v>13</v>
      </c>
      <c r="D29" s="48">
        <f>+'5.2'!K34</f>
        <v>736.62</v>
      </c>
      <c r="E29" s="295">
        <f>+'5.2 Pintura interior'!H20</f>
        <v>41420.58</v>
      </c>
      <c r="F29" s="295">
        <f t="shared" ref="F29" si="7">D29*E29</f>
        <v>30511227.639600001</v>
      </c>
    </row>
    <row r="30" spans="1:6" ht="28.5" x14ac:dyDescent="0.2">
      <c r="A30" s="5">
        <f>+A29+0.1</f>
        <v>5.2999999999999989</v>
      </c>
      <c r="B30" s="6" t="s">
        <v>570</v>
      </c>
      <c r="C30" s="5" t="s">
        <v>13</v>
      </c>
      <c r="D30" s="48">
        <f>+'5.3'!K23</f>
        <v>34.89</v>
      </c>
      <c r="E30" s="295">
        <f>+'5.3 pintura ventanas'!H22</f>
        <v>29439.93</v>
      </c>
      <c r="F30" s="295">
        <f t="shared" ref="F30" si="8">D30*E30</f>
        <v>1027159.1577</v>
      </c>
    </row>
    <row r="31" spans="1:6" ht="42.75" x14ac:dyDescent="0.2">
      <c r="A31" s="5">
        <f>+A30+0.1</f>
        <v>5.3999999999999986</v>
      </c>
      <c r="B31" s="6" t="s">
        <v>571</v>
      </c>
      <c r="C31" s="5" t="s">
        <v>13</v>
      </c>
      <c r="D31" s="48">
        <f>+'5.4'!K22</f>
        <v>13.46</v>
      </c>
      <c r="E31" s="295">
        <f>+'5.4 mantenimiento ventanales'!H23</f>
        <v>139190.63</v>
      </c>
      <c r="F31" s="295">
        <f t="shared" ref="F31" si="9">D31*E31</f>
        <v>1873505.8798000002</v>
      </c>
    </row>
    <row r="32" spans="1:6" ht="15" x14ac:dyDescent="0.2">
      <c r="A32" s="8">
        <v>6</v>
      </c>
      <c r="B32" s="9" t="s">
        <v>512</v>
      </c>
      <c r="C32" s="8"/>
      <c r="D32" s="8"/>
      <c r="E32" s="294"/>
      <c r="F32" s="294">
        <f>ROUNDUP(SUM(F33:F39),0)</f>
        <v>90433592</v>
      </c>
    </row>
    <row r="33" spans="1:6" ht="28.5" x14ac:dyDescent="0.2">
      <c r="A33" s="5">
        <f t="shared" ref="A33:A39" si="10">+A32+0.1</f>
        <v>6.1</v>
      </c>
      <c r="B33" s="6" t="s">
        <v>472</v>
      </c>
      <c r="C33" s="5" t="s">
        <v>82</v>
      </c>
      <c r="D33" s="48">
        <f>+'6.1'!K22</f>
        <v>43.78</v>
      </c>
      <c r="E33" s="295">
        <f>+'6.1 Muro concreto'!H23</f>
        <v>1151345.26</v>
      </c>
      <c r="F33" s="295">
        <f>D33*E33</f>
        <v>50405895.482799999</v>
      </c>
    </row>
    <row r="34" spans="1:6" x14ac:dyDescent="0.2">
      <c r="A34" s="5">
        <f t="shared" si="10"/>
        <v>6.1999999999999993</v>
      </c>
      <c r="B34" s="6" t="s">
        <v>489</v>
      </c>
      <c r="C34" s="5" t="s">
        <v>13</v>
      </c>
      <c r="D34" s="48">
        <f>+'6.2'!K22</f>
        <v>110.16</v>
      </c>
      <c r="E34" s="295">
        <v>73823.400000000009</v>
      </c>
      <c r="F34" s="295">
        <f t="shared" ref="F34" si="11">D34*E34</f>
        <v>8132385.7440000009</v>
      </c>
    </row>
    <row r="35" spans="1:6" x14ac:dyDescent="0.2">
      <c r="A35" s="5">
        <f>+A34+0.1</f>
        <v>6.2999999999999989</v>
      </c>
      <c r="B35" s="6" t="s">
        <v>626</v>
      </c>
      <c r="C35" s="5" t="s">
        <v>13</v>
      </c>
      <c r="D35" s="48">
        <f>+'6.3'!K22</f>
        <v>65.540000000000006</v>
      </c>
      <c r="E35" s="295">
        <v>279788.85000000003</v>
      </c>
      <c r="F35" s="295">
        <f t="shared" ref="F35:F36" si="12">D35*E35</f>
        <v>18337361.229000006</v>
      </c>
    </row>
    <row r="36" spans="1:6" ht="42.75" x14ac:dyDescent="0.2">
      <c r="A36" s="5">
        <v>6.4</v>
      </c>
      <c r="B36" s="6" t="s">
        <v>490</v>
      </c>
      <c r="C36" s="5" t="s">
        <v>13</v>
      </c>
      <c r="D36" s="48">
        <f>+'6.4'!K22</f>
        <v>20.72</v>
      </c>
      <c r="E36" s="295">
        <v>226289.7</v>
      </c>
      <c r="F36" s="295">
        <f t="shared" si="12"/>
        <v>4688722.5839999998</v>
      </c>
    </row>
    <row r="37" spans="1:6" ht="57" x14ac:dyDescent="0.2">
      <c r="A37" s="5">
        <f>+A36+0.1</f>
        <v>6.5</v>
      </c>
      <c r="B37" s="6" t="s">
        <v>491</v>
      </c>
      <c r="C37" s="5" t="s">
        <v>13</v>
      </c>
      <c r="D37" s="48">
        <f>+'6.5'!K22</f>
        <v>88</v>
      </c>
      <c r="E37" s="295">
        <f>+'6.4 Antideslizante'!H19</f>
        <v>28363.11</v>
      </c>
      <c r="F37" s="295">
        <f t="shared" ref="F37" si="13">D37*E37</f>
        <v>2495953.6800000002</v>
      </c>
    </row>
    <row r="38" spans="1:6" ht="28.5" x14ac:dyDescent="0.2">
      <c r="A38" s="5">
        <f t="shared" si="10"/>
        <v>6.6</v>
      </c>
      <c r="B38" s="6" t="s">
        <v>628</v>
      </c>
      <c r="C38" s="5" t="s">
        <v>13</v>
      </c>
      <c r="D38" s="48">
        <f>+'6.6'!K22</f>
        <v>23.54</v>
      </c>
      <c r="E38" s="295">
        <f>+'6.5 piso tablilla'!H20</f>
        <v>220523.42</v>
      </c>
      <c r="F38" s="295">
        <f t="shared" ref="F38" si="14">D38*E38</f>
        <v>5191121.3068000004</v>
      </c>
    </row>
    <row r="39" spans="1:6" ht="71.25" x14ac:dyDescent="0.2">
      <c r="A39" s="5">
        <f t="shared" si="10"/>
        <v>6.6999999999999993</v>
      </c>
      <c r="B39" s="6" t="s">
        <v>503</v>
      </c>
      <c r="C39" s="5" t="s">
        <v>13</v>
      </c>
      <c r="D39" s="48">
        <f>+'6.7'!K22</f>
        <v>2.4700000000000002</v>
      </c>
      <c r="E39" s="295">
        <f>+'6.6 Escaleras'!H24</f>
        <v>478604.02</v>
      </c>
      <c r="F39" s="295">
        <f t="shared" ref="F39" si="15">D39*E39</f>
        <v>1182151.9294000003</v>
      </c>
    </row>
    <row r="40" spans="1:6" ht="15" x14ac:dyDescent="0.2">
      <c r="A40" s="8">
        <v>7</v>
      </c>
      <c r="B40" s="9" t="s">
        <v>513</v>
      </c>
      <c r="C40" s="8"/>
      <c r="D40" s="8"/>
      <c r="E40" s="294"/>
      <c r="F40" s="294">
        <f>ROUNDUP(SUM(F41:F43),0)</f>
        <v>13059970</v>
      </c>
    </row>
    <row r="41" spans="1:6" ht="85.5" x14ac:dyDescent="0.2">
      <c r="A41" s="5">
        <f>+A40+0.1</f>
        <v>7.1</v>
      </c>
      <c r="B41" s="6" t="s">
        <v>514</v>
      </c>
      <c r="C41" s="5" t="s">
        <v>14</v>
      </c>
      <c r="D41" s="48">
        <f>+'7.1'!K27</f>
        <v>4</v>
      </c>
      <c r="E41" s="295">
        <v>1356032.2050000001</v>
      </c>
      <c r="F41" s="295">
        <f>D41*E41</f>
        <v>5424128.8200000003</v>
      </c>
    </row>
    <row r="42" spans="1:6" ht="28.5" x14ac:dyDescent="0.2">
      <c r="A42" s="5">
        <f>+A41+0.1</f>
        <v>7.1999999999999993</v>
      </c>
      <c r="B42" s="6" t="s">
        <v>562</v>
      </c>
      <c r="C42" s="5" t="s">
        <v>13</v>
      </c>
      <c r="D42" s="48">
        <f>+'7.2'!K25</f>
        <v>33.99</v>
      </c>
      <c r="E42" s="295">
        <f>+'7.2 Vidrios'!H42</f>
        <v>119545</v>
      </c>
      <c r="F42" s="295">
        <f t="shared" ref="F42:F43" si="16">D42*E42</f>
        <v>4063334.5500000003</v>
      </c>
    </row>
    <row r="43" spans="1:6" ht="28.5" x14ac:dyDescent="0.2">
      <c r="A43" s="5">
        <f>+A42+0.1</f>
        <v>7.2999999999999989</v>
      </c>
      <c r="B43" s="6" t="s">
        <v>568</v>
      </c>
      <c r="C43" s="5" t="s">
        <v>13</v>
      </c>
      <c r="D43" s="48">
        <f>+'7.3'!K25</f>
        <v>18.989999999999998</v>
      </c>
      <c r="E43" s="295">
        <f>+'7.4 ceramica '!H19</f>
        <v>188125.66</v>
      </c>
      <c r="F43" s="295">
        <f t="shared" si="16"/>
        <v>3572506.2833999996</v>
      </c>
    </row>
    <row r="44" spans="1:6" ht="15" x14ac:dyDescent="0.2">
      <c r="A44" s="8">
        <v>8</v>
      </c>
      <c r="B44" s="9" t="s">
        <v>515</v>
      </c>
      <c r="C44" s="8"/>
      <c r="D44" s="8"/>
      <c r="E44" s="294"/>
      <c r="F44" s="294">
        <f>ROUNDUP(SUM(F45:F50),0)</f>
        <v>10082694</v>
      </c>
    </row>
    <row r="45" spans="1:6" ht="28.5" x14ac:dyDescent="0.2">
      <c r="A45" s="5">
        <f t="shared" ref="A45:A50" si="17">+A44+0.1</f>
        <v>8.1</v>
      </c>
      <c r="B45" s="6" t="s">
        <v>516</v>
      </c>
      <c r="C45" s="5" t="s">
        <v>14</v>
      </c>
      <c r="D45" s="48">
        <f>+'8.1'!K27</f>
        <v>25</v>
      </c>
      <c r="E45" s="295">
        <f>+'8.1 Tomacorriente doble'!H22</f>
        <v>30922.27</v>
      </c>
      <c r="F45" s="295">
        <f>D45*E45</f>
        <v>773056.75</v>
      </c>
    </row>
    <row r="46" spans="1:6" ht="28.5" x14ac:dyDescent="0.2">
      <c r="A46" s="5">
        <f t="shared" si="17"/>
        <v>8.1999999999999993</v>
      </c>
      <c r="B46" s="6" t="s">
        <v>608</v>
      </c>
      <c r="C46" s="5" t="s">
        <v>14</v>
      </c>
      <c r="D46" s="48">
        <f>+'8.2'!K27</f>
        <v>1</v>
      </c>
      <c r="E46" s="295">
        <f>+'8.2 Lámpara sobreponer'!H20</f>
        <v>73448.44</v>
      </c>
      <c r="F46" s="295">
        <f t="shared" ref="F46:F50" si="18">D46*E46</f>
        <v>73448.44</v>
      </c>
    </row>
    <row r="47" spans="1:6" ht="28.5" x14ac:dyDescent="0.2">
      <c r="A47" s="5">
        <f t="shared" si="17"/>
        <v>8.2999999999999989</v>
      </c>
      <c r="B47" s="6" t="s">
        <v>607</v>
      </c>
      <c r="C47" s="5" t="s">
        <v>14</v>
      </c>
      <c r="D47" s="48">
        <f>+'8.3'!K20</f>
        <v>11</v>
      </c>
      <c r="E47" s="295">
        <f>+'8.2 Lámpara sobreponer'!H20</f>
        <v>73448.44</v>
      </c>
      <c r="F47" s="295">
        <f t="shared" ref="F47" si="19">D47*E47</f>
        <v>807932.84000000008</v>
      </c>
    </row>
    <row r="48" spans="1:6" ht="28.5" x14ac:dyDescent="0.2">
      <c r="A48" s="5">
        <f t="shared" si="17"/>
        <v>8.3999999999999986</v>
      </c>
      <c r="B48" s="6" t="s">
        <v>555</v>
      </c>
      <c r="C48" s="5" t="s">
        <v>13</v>
      </c>
      <c r="D48" s="48">
        <f>+'8.4'!K20</f>
        <v>1</v>
      </c>
      <c r="E48" s="295">
        <f>+'8.4 Interruptor sencillo'!H22</f>
        <v>18482.669999999998</v>
      </c>
      <c r="F48" s="295">
        <f t="shared" si="18"/>
        <v>18482.669999999998</v>
      </c>
    </row>
    <row r="49" spans="1:6" ht="28.5" x14ac:dyDescent="0.2">
      <c r="A49" s="5">
        <f t="shared" si="17"/>
        <v>8.4999999999999982</v>
      </c>
      <c r="B49" s="6" t="s">
        <v>560</v>
      </c>
      <c r="C49" s="5" t="s">
        <v>561</v>
      </c>
      <c r="D49" s="48">
        <f>+'8.5'!K20</f>
        <v>1</v>
      </c>
      <c r="E49" s="295">
        <v>3500000</v>
      </c>
      <c r="F49" s="295">
        <f t="shared" si="18"/>
        <v>3500000</v>
      </c>
    </row>
    <row r="50" spans="1:6" ht="71.25" x14ac:dyDescent="0.2">
      <c r="A50" s="5">
        <f t="shared" si="17"/>
        <v>8.5999999999999979</v>
      </c>
      <c r="B50" s="6" t="s">
        <v>587</v>
      </c>
      <c r="C50" s="5" t="s">
        <v>14</v>
      </c>
      <c r="D50" s="48">
        <f>+'8.6'!K27</f>
        <v>32</v>
      </c>
      <c r="E50" s="295">
        <f>+'8.6 tomacorrientes canaleta'!H23</f>
        <v>153430.41</v>
      </c>
      <c r="F50" s="295">
        <f t="shared" si="18"/>
        <v>4909773.12</v>
      </c>
    </row>
    <row r="51" spans="1:6" ht="15" x14ac:dyDescent="0.2">
      <c r="A51" s="8">
        <v>9</v>
      </c>
      <c r="B51" s="9" t="s">
        <v>536</v>
      </c>
      <c r="C51" s="8"/>
      <c r="D51" s="8"/>
      <c r="E51" s="294"/>
      <c r="F51" s="294">
        <f>ROUNDUP(SUM(F52:F54),0)</f>
        <v>3548757</v>
      </c>
    </row>
    <row r="52" spans="1:6" x14ac:dyDescent="0.2">
      <c r="A52" s="5">
        <f>+A51+0.1</f>
        <v>9.1</v>
      </c>
      <c r="B52" s="6" t="s">
        <v>537</v>
      </c>
      <c r="C52" s="5" t="s">
        <v>14</v>
      </c>
      <c r="D52" s="48">
        <f>+'9.1'!K22</f>
        <v>3</v>
      </c>
      <c r="E52" s="295">
        <f>+'9. Desmonte sanitarios'!H18</f>
        <v>87626.57</v>
      </c>
      <c r="F52" s="295">
        <f>D52*E52</f>
        <v>262879.71000000002</v>
      </c>
    </row>
    <row r="53" spans="1:6" ht="28.5" x14ac:dyDescent="0.2">
      <c r="A53" s="5">
        <f>+A52+0.1</f>
        <v>9.1999999999999993</v>
      </c>
      <c r="B53" s="6" t="s">
        <v>541</v>
      </c>
      <c r="C53" s="5" t="s">
        <v>14</v>
      </c>
      <c r="D53" s="48">
        <f>+'9.2'!K22</f>
        <v>3</v>
      </c>
      <c r="E53" s="295">
        <f>+'9.2 Combo sanitarios'!H22</f>
        <v>862938.34</v>
      </c>
      <c r="F53" s="295">
        <f t="shared" ref="F53:F54" si="20">D53*E53</f>
        <v>2588815.02</v>
      </c>
    </row>
    <row r="54" spans="1:6" ht="28.5" x14ac:dyDescent="0.2">
      <c r="A54" s="5">
        <f>+A53+0.1</f>
        <v>9.2999999999999989</v>
      </c>
      <c r="B54" s="6" t="s">
        <v>549</v>
      </c>
      <c r="C54" s="5" t="s">
        <v>13</v>
      </c>
      <c r="D54" s="48">
        <f>+'9.3'!K22</f>
        <v>8.1</v>
      </c>
      <c r="E54" s="295">
        <f>+'9.3 ceramica baño '!G13</f>
        <v>86057</v>
      </c>
      <c r="F54" s="295">
        <f t="shared" si="20"/>
        <v>697061.7</v>
      </c>
    </row>
    <row r="55" spans="1:6" ht="14.45" customHeight="1" x14ac:dyDescent="0.2">
      <c r="A55" s="478" t="s">
        <v>633</v>
      </c>
      <c r="B55" s="478"/>
      <c r="C55" s="478"/>
      <c r="D55" s="478"/>
      <c r="E55" s="478"/>
      <c r="F55" s="294">
        <f>SUM(F4+F9+F14+F21+F27+F32+F40+F44+F51)</f>
        <v>300000000</v>
      </c>
    </row>
    <row r="56" spans="1:6" ht="14.45" customHeight="1" x14ac:dyDescent="0.2">
      <c r="A56" s="480" t="s">
        <v>16</v>
      </c>
      <c r="B56" s="480"/>
      <c r="C56" s="480"/>
      <c r="D56" s="480"/>
      <c r="E56" s="12"/>
      <c r="F56" s="296">
        <f>+ROUND(F55/(1+E57+E58+E59),2)</f>
        <v>218978102.19</v>
      </c>
    </row>
    <row r="57" spans="1:6" ht="14.45" customHeight="1" x14ac:dyDescent="0.2">
      <c r="A57" s="480" t="s">
        <v>17</v>
      </c>
      <c r="B57" s="480"/>
      <c r="C57" s="480"/>
      <c r="D57" s="480"/>
      <c r="E57" s="12">
        <v>0.32</v>
      </c>
      <c r="F57" s="296">
        <f>E57*$F$56</f>
        <v>70072992.700800002</v>
      </c>
    </row>
    <row r="58" spans="1:6" ht="15" x14ac:dyDescent="0.2">
      <c r="A58" s="480" t="s">
        <v>18</v>
      </c>
      <c r="B58" s="480"/>
      <c r="C58" s="480"/>
      <c r="D58" s="480"/>
      <c r="E58" s="12">
        <v>0</v>
      </c>
      <c r="F58" s="296">
        <f t="shared" ref="F58:F59" si="21">E58*$F$56</f>
        <v>0</v>
      </c>
    </row>
    <row r="59" spans="1:6" ht="15" x14ac:dyDescent="0.2">
      <c r="A59" s="480" t="s">
        <v>19</v>
      </c>
      <c r="B59" s="480"/>
      <c r="C59" s="480"/>
      <c r="D59" s="480"/>
      <c r="E59" s="12">
        <v>0.05</v>
      </c>
      <c r="F59" s="296">
        <f t="shared" si="21"/>
        <v>10948905.1095</v>
      </c>
    </row>
    <row r="60" spans="1:6" ht="15" x14ac:dyDescent="0.2">
      <c r="A60" s="478" t="s">
        <v>255</v>
      </c>
      <c r="B60" s="478"/>
      <c r="C60" s="478"/>
      <c r="D60" s="478"/>
      <c r="E60" s="478"/>
      <c r="F60" s="294">
        <f>SUM(F56:F59)</f>
        <v>300000000.00029999</v>
      </c>
    </row>
    <row r="61" spans="1:6" x14ac:dyDescent="0.2">
      <c r="F61" s="303"/>
    </row>
    <row r="63" spans="1:6" x14ac:dyDescent="0.2">
      <c r="C63" s="477"/>
    </row>
  </sheetData>
  <mergeCells count="8">
    <mergeCell ref="A60:E60"/>
    <mergeCell ref="A1:F1"/>
    <mergeCell ref="A2:F2"/>
    <mergeCell ref="A55:E55"/>
    <mergeCell ref="A57:D57"/>
    <mergeCell ref="A58:D58"/>
    <mergeCell ref="A59:D59"/>
    <mergeCell ref="A56:D56"/>
  </mergeCells>
  <pageMargins left="0.7" right="0.7" top="0.75" bottom="0.75" header="0.3" footer="0.3"/>
  <pageSetup scale="62" fitToHeight="0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C81DC-C4E5-447E-A671-E103EEAE7E25}">
  <sheetPr codeName="Hoja42"/>
  <dimension ref="A1:K28"/>
  <sheetViews>
    <sheetView view="pageBreakPreview" topLeftCell="A3" zoomScaleNormal="100" zoomScaleSheetLayoutView="100" workbookViewId="0">
      <selection activeCell="E10" sqref="E10"/>
    </sheetView>
  </sheetViews>
  <sheetFormatPr baseColWidth="10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41.45" customHeight="1" thickBot="1" x14ac:dyDescent="0.3">
      <c r="A5" s="45"/>
      <c r="B5" s="43">
        <v>1.1000000000000001</v>
      </c>
      <c r="C5" s="46" t="str">
        <f>VLOOKUP(B5,'PRESUPUESTO OFICIAL'!$A$1:$F$61,3,FALSE)</f>
        <v>M2</v>
      </c>
      <c r="D5" s="613" t="str">
        <f>VLOOKUP(B5,'PRESUPUESTO OFICIAL'!A1:F61,2,FALSE)</f>
        <v>LOCALIZACIÓN Y REPLANTEO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352</v>
      </c>
      <c r="B9" s="604"/>
      <c r="C9" s="604"/>
      <c r="D9" s="604"/>
      <c r="E9" s="40">
        <v>11.84</v>
      </c>
      <c r="F9" s="40">
        <v>22</v>
      </c>
      <c r="G9" s="18"/>
      <c r="H9" s="18"/>
      <c r="I9" s="18"/>
      <c r="J9" s="40">
        <v>1</v>
      </c>
      <c r="K9" s="42">
        <f>+PRODUCT(E9:J9)</f>
        <v>260.48</v>
      </c>
    </row>
    <row r="10" spans="1:11" x14ac:dyDescent="0.25">
      <c r="A10" s="603"/>
      <c r="B10" s="604"/>
      <c r="C10" s="604"/>
      <c r="D10" s="604"/>
      <c r="E10" s="40"/>
      <c r="F10" s="40"/>
      <c r="G10" s="18"/>
      <c r="H10" s="18"/>
      <c r="I10" s="18"/>
      <c r="J10" s="40"/>
      <c r="K10" s="42">
        <f>+PRODUCT(E10:J10)</f>
        <v>0</v>
      </c>
    </row>
    <row r="11" spans="1:11" x14ac:dyDescent="0.25">
      <c r="A11" s="593"/>
      <c r="B11" s="594"/>
      <c r="C11" s="594"/>
      <c r="D11" s="594"/>
      <c r="E11" s="40"/>
      <c r="F11" s="40"/>
      <c r="G11" s="21"/>
      <c r="H11" s="21"/>
      <c r="I11" s="21"/>
      <c r="J11" s="40"/>
      <c r="K11" s="42">
        <f>+PRODUCT(E11:J11)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ROUND(SUM(K9:K20),2)</f>
        <v>260.48</v>
      </c>
    </row>
    <row r="28" spans="1:11" x14ac:dyDescent="0.25">
      <c r="K28" s="31"/>
    </row>
  </sheetData>
  <mergeCells count="32">
    <mergeCell ref="G4:I4"/>
    <mergeCell ref="J4:K4"/>
    <mergeCell ref="A1:K1"/>
    <mergeCell ref="A2:B2"/>
    <mergeCell ref="C2:K2"/>
    <mergeCell ref="A3:B3"/>
    <mergeCell ref="C3:K3"/>
    <mergeCell ref="D4:F4"/>
    <mergeCell ref="G5:I5"/>
    <mergeCell ref="J5:K5"/>
    <mergeCell ref="A6:D7"/>
    <mergeCell ref="E6:J6"/>
    <mergeCell ref="K6:K7"/>
    <mergeCell ref="D5:F5"/>
    <mergeCell ref="A16:D16"/>
    <mergeCell ref="A8:K8"/>
    <mergeCell ref="A12:D12"/>
    <mergeCell ref="A13:D13"/>
    <mergeCell ref="A14:D14"/>
    <mergeCell ref="A15:D15"/>
    <mergeCell ref="A11:D11"/>
    <mergeCell ref="A10:D10"/>
    <mergeCell ref="A9:D9"/>
    <mergeCell ref="A26:E26"/>
    <mergeCell ref="F26:J26"/>
    <mergeCell ref="A27:J27"/>
    <mergeCell ref="A17:D17"/>
    <mergeCell ref="A18:D18"/>
    <mergeCell ref="A19:D19"/>
    <mergeCell ref="A20:D20"/>
    <mergeCell ref="A21:E21"/>
    <mergeCell ref="F21:J21"/>
  </mergeCells>
  <pageMargins left="0.7" right="0.7" top="0.75" bottom="0.75" header="0.3" footer="0.3"/>
  <pageSetup paperSize="9" scale="6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59E99-FC63-406F-B3C8-72FABC819C58}">
  <sheetPr codeName="Hoja43"/>
  <dimension ref="A1:K29"/>
  <sheetViews>
    <sheetView view="pageBreakPreview" topLeftCell="A3" zoomScale="60" zoomScaleNormal="100" workbookViewId="0">
      <selection activeCell="K9" sqref="K9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58.15" customHeight="1" thickBot="1" x14ac:dyDescent="0.3">
      <c r="A5" s="45"/>
      <c r="B5" s="43">
        <f>'PRESUPUESTO OFICIAL'!A6</f>
        <v>1.2</v>
      </c>
      <c r="C5" s="46" t="str">
        <f>VLOOKUP(B5,'PRESUPUESTO OFICIAL'!$A$1:$F$61,3,FALSE)</f>
        <v>UND</v>
      </c>
      <c r="D5" s="613" t="str">
        <f>VLOOKUP(B5,'PRESUPUESTO OFICIAL'!A1:F61,2,FALSE)</f>
        <v>SUMINISTRO, TRANSPORTE E INSTALACIÓN DE VALLA INFORMATIVA GENERAL DEL PROYECTO  2x4MTS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276</v>
      </c>
      <c r="B9" s="604"/>
      <c r="C9" s="604"/>
      <c r="D9" s="604"/>
      <c r="E9" s="40"/>
      <c r="F9" s="41"/>
      <c r="G9" s="41"/>
      <c r="H9" s="41"/>
      <c r="I9" s="41"/>
      <c r="J9" s="40">
        <v>1</v>
      </c>
      <c r="K9" s="42">
        <f>+J9</f>
        <v>1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19"/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1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8D445-F812-434E-825F-B58439D0DDFD}">
  <sheetPr codeName="Hoja44"/>
  <dimension ref="A1:K29"/>
  <sheetViews>
    <sheetView view="pageBreakPreview" topLeftCell="A6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61.15" customHeight="1" thickBot="1" x14ac:dyDescent="0.3">
      <c r="A5" s="45"/>
      <c r="B5" s="43">
        <v>1.3</v>
      </c>
      <c r="C5" s="46" t="str">
        <f>VLOOKUP(B5,'PRESUPUESTO OFICIAL'!$A$1:$F$61,3,FALSE)</f>
        <v>UND</v>
      </c>
      <c r="D5" s="613" t="str">
        <f>VLOOKUP(B5,'PRESUPUESTO OFICIAL'!A1:F61,2,FALSE)</f>
        <v>SUMINISTRO, TRANSPORTE E INSTALACIÓN DE SEÑAL PREVENTIVA, REGLAMENTARIA E INFORMATIVA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350</v>
      </c>
      <c r="B9" s="604"/>
      <c r="C9" s="604"/>
      <c r="D9" s="604"/>
      <c r="E9" s="40"/>
      <c r="F9" s="41"/>
      <c r="G9" s="41"/>
      <c r="H9" s="41"/>
      <c r="I9" s="41"/>
      <c r="J9" s="40">
        <v>10</v>
      </c>
      <c r="K9" s="42">
        <f>+J9</f>
        <v>10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19"/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10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C699D-4291-447C-82FE-D5B5EAB5743A}">
  <sheetPr codeName="Hoja45"/>
  <dimension ref="A1:K29"/>
  <sheetViews>
    <sheetView view="pageBreakPreview" topLeftCell="A4" zoomScale="85" zoomScaleNormal="100" zoomScaleSheetLayoutView="85" workbookViewId="0">
      <selection activeCell="F10" sqref="F10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1.4</v>
      </c>
      <c r="C5" s="46" t="str">
        <f>VLOOKUP(B5,'PRESUPUESTO OFICIAL'!$A$1:$F$61,3,FALSE)</f>
        <v>ML</v>
      </c>
      <c r="D5" s="613" t="str">
        <f>VLOOKUP(B5,'PRESUPUESTO OFICIAL'!A1:F61,2,FALSE)</f>
        <v xml:space="preserve">SUMINISTRO, TRANSPORTE E INSTALACION BARRERA CON BOMBONES PLÁSTICOS, CINTA DE SEGURIDAD Y YUTE PARA CERRAMIENTO 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351</v>
      </c>
      <c r="B9" s="604"/>
      <c r="C9" s="604"/>
      <c r="D9" s="604"/>
      <c r="E9" s="40"/>
      <c r="F9" s="41">
        <f>+('1,1'!E9+'1,1'!F9)*2</f>
        <v>67.680000000000007</v>
      </c>
      <c r="G9" s="41"/>
      <c r="H9" s="41"/>
      <c r="I9" s="41"/>
      <c r="J9" s="40">
        <v>1</v>
      </c>
      <c r="K9" s="42">
        <f>F9</f>
        <v>67.680000000000007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42"/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67.680000000000007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7EE1B-A91B-4D0F-B17C-072F9966EE6E}">
  <sheetPr codeName="Hoja46"/>
  <dimension ref="A1:K28"/>
  <sheetViews>
    <sheetView view="pageBreakPreview" zoomScale="85" zoomScaleNormal="100" zoomScaleSheetLayoutView="85" workbookViewId="0">
      <selection activeCell="E9" sqref="E9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2.1</v>
      </c>
      <c r="C5" s="46" t="str">
        <f>VLOOKUP(B5,'PRESUPUESTO OFICIAL'!$A$1:$F$61,3,FALSE)</f>
        <v>M2</v>
      </c>
      <c r="D5" s="613" t="str">
        <f>VLOOKUP(B5,'PRESUPUESTO OFICIAL'!A1:F61,2,FALSE)</f>
        <v xml:space="preserve">DESMONTE DE CUBIERTA EN LÁMINA DE FIBROCEMENTO. INCLUYE RETIRO 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593" t="str">
        <f>+'1,1'!A9</f>
        <v>Área auditorio</v>
      </c>
      <c r="B9" s="594"/>
      <c r="C9" s="594"/>
      <c r="D9" s="594"/>
      <c r="E9" s="17">
        <f>+'1,1'!E9</f>
        <v>11.84</v>
      </c>
      <c r="F9" s="18">
        <f>+'1,1'!F9</f>
        <v>22</v>
      </c>
      <c r="G9" s="18"/>
      <c r="H9" s="41"/>
      <c r="I9" s="18"/>
      <c r="J9" s="40">
        <f t="shared" ref="J9" si="0">SQRT(1+((0.27)^2))</f>
        <v>1.0358088626768938</v>
      </c>
      <c r="K9" s="42">
        <f t="shared" ref="K9" si="1">+PRODUCT(E9:J9)</f>
        <v>269.80749255007731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41"/>
      <c r="I10" s="18"/>
      <c r="J10" s="40"/>
      <c r="K10" s="42">
        <f t="shared" ref="K10:K11" si="2">+PRODUCT(E10:J10)</f>
        <v>0</v>
      </c>
    </row>
    <row r="11" spans="1:11" x14ac:dyDescent="0.25">
      <c r="A11" s="595"/>
      <c r="B11" s="596"/>
      <c r="C11" s="596"/>
      <c r="D11" s="596"/>
      <c r="E11" s="20"/>
      <c r="F11" s="21"/>
      <c r="G11" s="21"/>
      <c r="H11" s="41"/>
      <c r="I11" s="21"/>
      <c r="J11" s="40"/>
      <c r="K11" s="42">
        <f t="shared" si="2"/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ROUND(SUM(K9:K20),2)</f>
        <v>269.81</v>
      </c>
    </row>
    <row r="28" spans="1:11" x14ac:dyDescent="0.25">
      <c r="K28" s="31"/>
    </row>
  </sheetData>
  <mergeCells count="32">
    <mergeCell ref="A27:J27"/>
    <mergeCell ref="A19:D19"/>
    <mergeCell ref="A20:D20"/>
    <mergeCell ref="A21:E21"/>
    <mergeCell ref="F21:J21"/>
    <mergeCell ref="A26:E26"/>
    <mergeCell ref="F26:J26"/>
    <mergeCell ref="A18:D18"/>
    <mergeCell ref="A8:K8"/>
    <mergeCell ref="A10:D10"/>
    <mergeCell ref="A11:D11"/>
    <mergeCell ref="A12:D12"/>
    <mergeCell ref="A13:D13"/>
    <mergeCell ref="A14:D14"/>
    <mergeCell ref="A15:D15"/>
    <mergeCell ref="A16:D16"/>
    <mergeCell ref="A17:D17"/>
    <mergeCell ref="A9:D9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36204-A3D5-4188-97FE-479C0464D11C}">
  <sheetPr codeName="Hoja47"/>
  <dimension ref="A1:K29"/>
  <sheetViews>
    <sheetView view="pageBreakPreview" topLeftCell="A7" zoomScale="85" zoomScaleNormal="100" zoomScaleSheetLayoutView="85" workbookViewId="0">
      <selection activeCell="P22" sqref="P22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2.2000000000000002</v>
      </c>
      <c r="C5" s="46" t="str">
        <f>VLOOKUP(B5,'PRESUPUESTO OFICIAL'!$A$1:$F$61,3,FALSE)</f>
        <v>M2</v>
      </c>
      <c r="D5" s="613" t="str">
        <f>VLOOKUP(B5,'PRESUPUESTO OFICIAL'!A1:F61,2,FALSE)</f>
        <v>DESMONTE CIELO RASO (INCLUYE RETIRO)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tr">
        <f>+'1,1'!A9:D9</f>
        <v>Área auditorio</v>
      </c>
      <c r="B9" s="604"/>
      <c r="C9" s="604"/>
      <c r="D9" s="604"/>
      <c r="E9" s="40">
        <f>+'1,1'!E9</f>
        <v>11.84</v>
      </c>
      <c r="F9" s="41">
        <f>+'1,1'!F9</f>
        <v>22</v>
      </c>
      <c r="G9" s="41"/>
      <c r="H9" s="41"/>
      <c r="I9" s="41"/>
      <c r="J9" s="40"/>
      <c r="K9" s="42">
        <f>+E9*F9</f>
        <v>260.48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42"/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260.48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962D-E96D-40FE-A1FF-4F5173441859}">
  <sheetPr codeName="Hoja48"/>
  <dimension ref="A1:K29"/>
  <sheetViews>
    <sheetView view="pageBreakPreview" topLeftCell="A4" zoomScale="85" zoomScaleNormal="100" zoomScaleSheetLayoutView="85" workbookViewId="0">
      <selection activeCell="K13" sqref="K13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2.2999999999999998</v>
      </c>
      <c r="C5" s="46" t="str">
        <f>VLOOKUP(B5,'PRESUPUESTO OFICIAL'!$A$1:$F$61,3,FALSE)</f>
        <v>M2</v>
      </c>
      <c r="D5" s="613" t="str">
        <f>VLOOKUP(B5,'PRESUPUESTO OFICIAL'!A1:F61,2,FALSE)</f>
        <v>DESMONTE DE PISOS O PAREDES EN MADERA; INCLUYE ESTRUCTURA DE SOPORTE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591</v>
      </c>
      <c r="B9" s="604"/>
      <c r="C9" s="604"/>
      <c r="D9" s="604"/>
      <c r="E9" s="40">
        <v>9</v>
      </c>
      <c r="F9" s="41">
        <v>4.1500000000000004</v>
      </c>
      <c r="G9" s="41"/>
      <c r="H9" s="41"/>
      <c r="I9" s="41"/>
      <c r="J9" s="40"/>
      <c r="K9" s="42">
        <f>+E9*F9</f>
        <v>37.35</v>
      </c>
    </row>
    <row r="10" spans="1:11" x14ac:dyDescent="0.25">
      <c r="A10" s="593" t="s">
        <v>592</v>
      </c>
      <c r="B10" s="594"/>
      <c r="C10" s="594"/>
      <c r="D10" s="594"/>
      <c r="E10" s="17">
        <v>9</v>
      </c>
      <c r="F10" s="18"/>
      <c r="G10" s="18">
        <v>1.25</v>
      </c>
      <c r="H10" s="18"/>
      <c r="I10" s="18"/>
      <c r="J10" s="17"/>
      <c r="K10" s="42">
        <f>+E10*G10</f>
        <v>11.25</v>
      </c>
    </row>
    <row r="11" spans="1:11" x14ac:dyDescent="0.25">
      <c r="A11" s="593" t="s">
        <v>593</v>
      </c>
      <c r="B11" s="594"/>
      <c r="C11" s="594"/>
      <c r="D11" s="594"/>
      <c r="E11" s="17">
        <v>2.8</v>
      </c>
      <c r="F11" s="18">
        <v>3.9</v>
      </c>
      <c r="G11" s="18"/>
      <c r="H11" s="18"/>
      <c r="I11" s="18"/>
      <c r="J11" s="17"/>
      <c r="K11" s="42">
        <f>+E11*F11</f>
        <v>10.92</v>
      </c>
    </row>
    <row r="12" spans="1:11" x14ac:dyDescent="0.25">
      <c r="A12" s="595" t="s">
        <v>594</v>
      </c>
      <c r="B12" s="596"/>
      <c r="C12" s="596"/>
      <c r="D12" s="596"/>
      <c r="E12" s="20">
        <v>2.7</v>
      </c>
      <c r="F12" s="21">
        <v>2.35</v>
      </c>
      <c r="G12" s="21"/>
      <c r="H12" s="21"/>
      <c r="I12" s="21"/>
      <c r="J12" s="47"/>
      <c r="K12" s="42">
        <f>+E12*F12</f>
        <v>6.3450000000000006</v>
      </c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65.87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EACFE-E8D3-4F2D-8E2C-1D191749BD98}">
  <sheetPr codeName="Hoja49"/>
  <dimension ref="A1:K29"/>
  <sheetViews>
    <sheetView view="pageBreakPreview" topLeftCell="A11" zoomScale="85" zoomScaleNormal="100" zoomScaleSheetLayoutView="85" workbookViewId="0">
      <selection activeCell="K28" sqref="K28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2.4</v>
      </c>
      <c r="C5" s="46" t="str">
        <f>VLOOKUP(B5,'PRESUPUESTO OFICIAL'!$A$1:$F$61,3,FALSE)</f>
        <v>M2</v>
      </c>
      <c r="D5" s="613" t="str">
        <f>VLOOKUP(B5,'PRESUPUESTO OFICIAL'!A1:F61,2,FALSE)</f>
        <v>DEMOLICIÓN MANUAL DE ENCHAPE O PAÑETE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595</v>
      </c>
      <c r="B9" s="604"/>
      <c r="C9" s="604"/>
      <c r="D9" s="604"/>
      <c r="E9" s="40">
        <v>6.6</v>
      </c>
      <c r="F9" s="41">
        <v>8.3000000000000007</v>
      </c>
      <c r="G9" s="41"/>
      <c r="H9" s="41"/>
      <c r="I9" s="41"/>
      <c r="J9" s="40"/>
      <c r="K9" s="42">
        <f>+E9*F9</f>
        <v>54.78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42">
        <f>+E10*G10</f>
        <v>0</v>
      </c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42">
        <f t="shared" ref="K11:K12" si="0">+E11*F11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42">
        <f t="shared" si="0"/>
        <v>0</v>
      </c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54.78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F3F-A24D-48F9-9529-2EFE1725F219}">
  <sheetPr codeName="Hoja50"/>
  <dimension ref="A1:K29"/>
  <sheetViews>
    <sheetView view="pageBreakPreview" topLeftCell="A5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cols>
    <col min="10" max="10" width="12.7109375" bestFit="1" customWidth="1"/>
  </cols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 t="s">
        <v>307</v>
      </c>
      <c r="C5" s="46" t="str">
        <f>VLOOKUP(B5,'PRESUPUESTO OFICIAL'!$A$1:$F$61,3,FALSE)</f>
        <v>M2</v>
      </c>
      <c r="D5" s="613" t="str">
        <f>VLOOKUP(B5,'PRESUPUESTO OFICIAL'!A1:F61,2,FALSE)</f>
        <v>SUMINISTRO, TRANSPORTE E INSTALACIÓN DE TEJA TERMOACÚSTICA TIPO CINDURIB O SIMILAR, A=0.82 M, INCLUYE ACCESORIOS DE FIJACIÓN.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tr">
        <f>+'1,1'!A9</f>
        <v>Área auditorio</v>
      </c>
      <c r="B9" s="604"/>
      <c r="C9" s="604"/>
      <c r="D9" s="604"/>
      <c r="E9" s="40">
        <f>+'1,1'!E9</f>
        <v>11.84</v>
      </c>
      <c r="F9" s="41">
        <f>+'1,1'!F9</f>
        <v>22</v>
      </c>
      <c r="G9" s="41"/>
      <c r="H9" s="41"/>
      <c r="I9" s="41"/>
      <c r="J9" s="40">
        <v>1.1000000000000001</v>
      </c>
      <c r="K9" s="42">
        <f>+PRODUCT(E9:J9)</f>
        <v>286.52800000000002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41"/>
      <c r="I10" s="18"/>
      <c r="J10" s="40"/>
      <c r="K10" s="42"/>
    </row>
    <row r="11" spans="1:11" x14ac:dyDescent="0.25">
      <c r="A11" s="593"/>
      <c r="B11" s="594"/>
      <c r="C11" s="594"/>
      <c r="D11" s="594"/>
      <c r="E11" s="17"/>
      <c r="F11" s="18"/>
      <c r="G11" s="18"/>
      <c r="H11" s="41"/>
      <c r="I11" s="18"/>
      <c r="J11" s="40"/>
      <c r="K11" s="42"/>
    </row>
    <row r="12" spans="1:11" x14ac:dyDescent="0.25">
      <c r="A12" s="595"/>
      <c r="B12" s="596"/>
      <c r="C12" s="596"/>
      <c r="D12" s="596"/>
      <c r="E12" s="20"/>
      <c r="F12" s="21"/>
      <c r="G12" s="21"/>
      <c r="H12" s="41"/>
      <c r="I12" s="21"/>
      <c r="J12" s="40"/>
      <c r="K12" s="42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286.52999999999997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8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392D5-79D9-48F9-86CC-9B5031B2F532}">
  <sheetPr codeName="Hoja51"/>
  <dimension ref="A1:K29"/>
  <sheetViews>
    <sheetView view="pageBreakPreview" topLeftCell="A18" zoomScale="115" zoomScaleNormal="100" zoomScaleSheetLayoutView="115" workbookViewId="0">
      <selection activeCell="K28" sqref="K28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3.2</v>
      </c>
      <c r="C5" s="46" t="str">
        <f>VLOOKUP(B5,'PRESUPUESTO OFICIAL'!$A$1:$F$61,3,FALSE)</f>
        <v>ML</v>
      </c>
      <c r="D5" s="613" t="str">
        <f>VLOOKUP(B5,'PRESUPUESTO OFICIAL'!A1:F61,2,FALSE)</f>
        <v>SUMINISTRO, TRANSPORTE E INSTALACION CABALLETE TEJA TERMOACÚSTICA CINDULIT / CINDURIB O SIMILAR. COLOR SEGÚN DISEÑO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417</v>
      </c>
      <c r="B9" s="604"/>
      <c r="C9" s="604"/>
      <c r="D9" s="604"/>
      <c r="E9" s="40"/>
      <c r="F9" s="41">
        <f>+'1,1'!F9</f>
        <v>22</v>
      </c>
      <c r="G9" s="41"/>
      <c r="H9" s="41"/>
      <c r="I9" s="41"/>
      <c r="J9" s="40">
        <v>1.05</v>
      </c>
      <c r="K9" s="42">
        <f>+PRODUCT(E9:J9)</f>
        <v>23.1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19"/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23.1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4671C-07E1-4DD6-AE8C-4854F342952A}">
  <sheetPr codeName="Hoja52"/>
  <dimension ref="A1:K29"/>
  <sheetViews>
    <sheetView view="pageBreakPreview" topLeftCell="A5" zoomScaleNormal="100" zoomScaleSheetLayoutView="100" workbookViewId="0">
      <selection activeCell="J10" sqref="J10"/>
    </sheetView>
  </sheetViews>
  <sheetFormatPr baseColWidth="10" defaultColWidth="11.5703125" defaultRowHeight="15" x14ac:dyDescent="0.25"/>
  <cols>
    <col min="10" max="10" width="13.42578125" customWidth="1"/>
  </cols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138" customHeight="1" thickBot="1" x14ac:dyDescent="0.3">
      <c r="A5" s="45"/>
      <c r="B5" s="43">
        <v>3.3</v>
      </c>
      <c r="C5" s="46" t="str">
        <f>VLOOKUP(B5,'PRESUPUESTO OFICIAL'!$A$1:$F$61,3,FALSE)</f>
        <v>M2</v>
      </c>
      <c r="D5" s="613" t="str">
        <f>VLOOKUP(B5,'PRESUPUESTO OFICIAL'!A1:F61,2,FALSE)</f>
        <v>SUMINISTRO, TRANSPORTE E INSTALACION IMPERMEABILIZACION Tipo Manto Morter Plas AL-80 de 3.5 mm con foil de aluminio o Similar. INCLUYE (Canales y/o cubiertas planas, incluye media cañas, remates, pintura bituminosa)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39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418</v>
      </c>
      <c r="B9" s="604"/>
      <c r="C9" s="604"/>
      <c r="D9" s="604"/>
      <c r="E9" s="40"/>
      <c r="F9" s="41">
        <f>+'1,1'!F9</f>
        <v>22</v>
      </c>
      <c r="G9" s="41"/>
      <c r="H9" s="41"/>
      <c r="I9" s="41"/>
      <c r="J9" s="40">
        <v>2.0499999999999998</v>
      </c>
      <c r="K9" s="42">
        <f>+PRODUCT(E9:J9)</f>
        <v>45.099999999999994</v>
      </c>
    </row>
    <row r="10" spans="1:11" x14ac:dyDescent="0.25">
      <c r="A10" s="593" t="s">
        <v>419</v>
      </c>
      <c r="B10" s="594"/>
      <c r="C10" s="594"/>
      <c r="D10" s="594"/>
      <c r="E10" s="17">
        <v>5</v>
      </c>
      <c r="F10" s="18">
        <v>5</v>
      </c>
      <c r="G10" s="18"/>
      <c r="H10" s="18"/>
      <c r="I10" s="18"/>
      <c r="J10" s="17">
        <v>2</v>
      </c>
      <c r="K10" s="19">
        <f>+E10*F10*J10</f>
        <v>50</v>
      </c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95.1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8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1DB23-84C4-485C-80EA-6F4DB75E9F97}">
  <sheetPr codeName="Hoja53"/>
  <dimension ref="A1:K29"/>
  <sheetViews>
    <sheetView view="pageBreakPreview" topLeftCell="A5" zoomScaleNormal="100" zoomScaleSheetLayoutView="100" workbookViewId="0">
      <selection activeCell="K11" sqref="K11"/>
    </sheetView>
  </sheetViews>
  <sheetFormatPr baseColWidth="10" defaultColWidth="11.5703125" defaultRowHeight="15" x14ac:dyDescent="0.25"/>
  <cols>
    <col min="10" max="10" width="13.7109375" customWidth="1"/>
  </cols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8" customHeight="1" thickBot="1" x14ac:dyDescent="0.3">
      <c r="A5" s="45"/>
      <c r="B5" s="43">
        <v>3.4</v>
      </c>
      <c r="C5" s="46" t="str">
        <f>VLOOKUP(B5,'PRESUPUESTO OFICIAL'!$A$1:$F$61,3,FALSE)</f>
        <v>ML</v>
      </c>
      <c r="D5" s="613" t="str">
        <f>VLOOKUP(B5,'PRESUPUESTO OFICIAL'!A1:F61,2,FALSE)</f>
        <v>SUMINISTRO, TRANSPORTE E INSTALACION CANAL EN LAMINA GALVANIZADA CAL .20 D/ 0.60 M. (SUMINISTRO E INSTALACIÓN CON WASH PRIMER + ESMALTE + ANCLAJE A MURO + SILICONA)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68.45" customHeight="1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420</v>
      </c>
      <c r="B9" s="604"/>
      <c r="C9" s="604"/>
      <c r="D9" s="604"/>
      <c r="E9" s="40"/>
      <c r="F9" s="41">
        <f>+'1,1'!E9</f>
        <v>11.84</v>
      </c>
      <c r="G9" s="41"/>
      <c r="H9" s="41"/>
      <c r="I9" s="41"/>
      <c r="J9" s="40">
        <v>2</v>
      </c>
      <c r="K9" s="42">
        <f>+PRODUCT(E9:J9)</f>
        <v>23.68</v>
      </c>
    </row>
    <row r="10" spans="1:11" x14ac:dyDescent="0.25">
      <c r="A10" s="593"/>
      <c r="B10" s="594"/>
      <c r="C10" s="594"/>
      <c r="D10" s="594"/>
      <c r="E10" s="17"/>
      <c r="F10" s="18"/>
      <c r="G10" s="18"/>
      <c r="H10" s="18"/>
      <c r="I10" s="18"/>
      <c r="J10" s="17"/>
      <c r="K10" s="42"/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19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7"/>
      <c r="K12" s="39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23.68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8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83258-1E4C-4CCF-AB12-D06FDD3E72AA}">
  <sheetPr codeName="Hoja54"/>
  <dimension ref="A1:K28"/>
  <sheetViews>
    <sheetView view="pageBreakPreview" topLeftCell="D5" zoomScaleNormal="100" zoomScaleSheetLayoutView="100" workbookViewId="0">
      <selection activeCell="J10" sqref="J10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3.5</v>
      </c>
      <c r="C5" s="46" t="str">
        <f>VLOOKUP(B5,'PRESUPUESTO OFICIAL'!$A$1:$F$61,3,FALSE)</f>
        <v>ML</v>
      </c>
      <c r="D5" s="613" t="str">
        <f>VLOOKUP(B5,'PRESUPUESTO OFICIAL'!A1:F61,2,FALSE)</f>
        <v>SUMINISTRO, TRANSPORTE E INSTALACION BAJANTE AGUAS LLUVIAS PVC 3" (INCLUYE CODO, UNION Y ACCESORIOS DE FIJACION)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23" t="s">
        <v>421</v>
      </c>
      <c r="B9" s="624"/>
      <c r="C9" s="624"/>
      <c r="D9" s="631"/>
      <c r="E9" s="40"/>
      <c r="F9" s="40"/>
      <c r="G9" s="40">
        <v>15</v>
      </c>
      <c r="H9" s="40"/>
      <c r="I9" s="40"/>
      <c r="J9" s="40">
        <v>5</v>
      </c>
      <c r="K9" s="42">
        <f>+PRODUCT(E9:J9)</f>
        <v>75</v>
      </c>
    </row>
    <row r="10" spans="1:11" x14ac:dyDescent="0.25">
      <c r="A10" s="603"/>
      <c r="B10" s="604"/>
      <c r="C10" s="604"/>
      <c r="D10" s="604"/>
      <c r="E10" s="40"/>
      <c r="F10" s="40"/>
      <c r="G10" s="40"/>
      <c r="H10" s="40"/>
      <c r="I10" s="40"/>
      <c r="J10" s="40"/>
      <c r="K10" s="42">
        <f>+PRODUCT(E10:J10)</f>
        <v>0</v>
      </c>
    </row>
    <row r="11" spans="1:11" x14ac:dyDescent="0.25">
      <c r="A11" s="603"/>
      <c r="B11" s="604"/>
      <c r="C11" s="604"/>
      <c r="D11" s="604"/>
      <c r="E11" s="40"/>
      <c r="F11" s="40"/>
      <c r="G11" s="40"/>
      <c r="H11" s="40"/>
      <c r="I11" s="40"/>
      <c r="J11" s="40"/>
      <c r="K11" s="42">
        <f>+PRODUCT(E11:J11)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ROUND(SUM(K9:K20),2)</f>
        <v>75</v>
      </c>
    </row>
    <row r="28" spans="1:11" x14ac:dyDescent="0.25">
      <c r="K28" s="31"/>
    </row>
  </sheetData>
  <mergeCells count="32">
    <mergeCell ref="A27:J27"/>
    <mergeCell ref="A19:D19"/>
    <mergeCell ref="A20:D20"/>
    <mergeCell ref="A21:E21"/>
    <mergeCell ref="F21:J21"/>
    <mergeCell ref="A26:E26"/>
    <mergeCell ref="F26:J26"/>
    <mergeCell ref="A18:D18"/>
    <mergeCell ref="A8:K8"/>
    <mergeCell ref="A10:D10"/>
    <mergeCell ref="A11:D11"/>
    <mergeCell ref="A12:D12"/>
    <mergeCell ref="A13:D13"/>
    <mergeCell ref="A14:D14"/>
    <mergeCell ref="A15:D15"/>
    <mergeCell ref="A16:D16"/>
    <mergeCell ref="A17:D17"/>
    <mergeCell ref="A9:D9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7430-6020-4723-8BCC-02FB1F5E5AEC}">
  <sheetPr codeName="Hoja55"/>
  <dimension ref="A1:K28"/>
  <sheetViews>
    <sheetView view="pageBreakPreview" topLeftCell="A4" zoomScaleNormal="100" zoomScaleSheetLayoutView="100" workbookViewId="0">
      <selection activeCell="K10" sqref="K10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15.75" thickBot="1" x14ac:dyDescent="0.3">
      <c r="A5" s="45"/>
      <c r="B5" s="43">
        <v>3.6</v>
      </c>
      <c r="C5" s="46" t="str">
        <f>VLOOKUP(B5,'PRESUPUESTO OFICIAL'!$A$1:$F$61,3,FALSE)</f>
        <v>M2</v>
      </c>
      <c r="D5" s="613" t="str">
        <f>VLOOKUP(B5,'PRESUPUESTO OFICIAL'!A1:F61,2,FALSE)</f>
        <v>RECORRIDO DE CUBIERTA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23" t="s">
        <v>597</v>
      </c>
      <c r="B9" s="624"/>
      <c r="C9" s="624"/>
      <c r="D9" s="631"/>
      <c r="E9" s="40">
        <v>9.8000000000000007</v>
      </c>
      <c r="F9" s="40">
        <v>9.6999999999999993</v>
      </c>
      <c r="G9" s="40"/>
      <c r="H9" s="40"/>
      <c r="I9" s="40"/>
      <c r="J9" s="40">
        <v>1</v>
      </c>
      <c r="K9" s="42">
        <f>+PRODUCT(E9:J9)</f>
        <v>95.06</v>
      </c>
    </row>
    <row r="10" spans="1:11" x14ac:dyDescent="0.25">
      <c r="A10" s="603" t="s">
        <v>598</v>
      </c>
      <c r="B10" s="604"/>
      <c r="C10" s="604"/>
      <c r="D10" s="604"/>
      <c r="E10" s="40">
        <v>6.6</v>
      </c>
      <c r="F10" s="40">
        <v>8.3000000000000007</v>
      </c>
      <c r="G10" s="40"/>
      <c r="H10" s="40"/>
      <c r="I10" s="40"/>
      <c r="J10" s="40">
        <v>1</v>
      </c>
      <c r="K10" s="42">
        <f>+PRODUCT(E10:J10)</f>
        <v>54.78</v>
      </c>
    </row>
    <row r="11" spans="1:11" x14ac:dyDescent="0.25">
      <c r="A11" s="603"/>
      <c r="B11" s="604"/>
      <c r="C11" s="604"/>
      <c r="D11" s="604"/>
      <c r="E11" s="40"/>
      <c r="F11" s="40"/>
      <c r="G11" s="40"/>
      <c r="H11" s="40"/>
      <c r="I11" s="40"/>
      <c r="J11" s="40"/>
      <c r="K11" s="42">
        <f>+PRODUCT(E11:J11)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ROUND(SUM(K9:K20),2)</f>
        <v>149.84</v>
      </c>
    </row>
    <row r="28" spans="1:11" x14ac:dyDescent="0.25">
      <c r="K28" s="31"/>
    </row>
  </sheetData>
  <mergeCells count="32">
    <mergeCell ref="D4:F4"/>
    <mergeCell ref="G4:I4"/>
    <mergeCell ref="J4:K4"/>
    <mergeCell ref="A1:K1"/>
    <mergeCell ref="A2:B2"/>
    <mergeCell ref="C2:K2"/>
    <mergeCell ref="A3:B3"/>
    <mergeCell ref="C3:K3"/>
    <mergeCell ref="A13:D13"/>
    <mergeCell ref="D5:F5"/>
    <mergeCell ref="G5:I5"/>
    <mergeCell ref="J5:K5"/>
    <mergeCell ref="A6:D7"/>
    <mergeCell ref="E6:J6"/>
    <mergeCell ref="K6:K7"/>
    <mergeCell ref="A8:K8"/>
    <mergeCell ref="A9:D9"/>
    <mergeCell ref="A10:D10"/>
    <mergeCell ref="A11:D11"/>
    <mergeCell ref="A12:D12"/>
    <mergeCell ref="A27:J27"/>
    <mergeCell ref="A14:D14"/>
    <mergeCell ref="A15:D15"/>
    <mergeCell ref="A16:D16"/>
    <mergeCell ref="A17:D17"/>
    <mergeCell ref="A18:D18"/>
    <mergeCell ref="A19:D19"/>
    <mergeCell ref="A20:D20"/>
    <mergeCell ref="A21:E21"/>
    <mergeCell ref="F21:J21"/>
    <mergeCell ref="A26:E26"/>
    <mergeCell ref="F26:J26"/>
  </mergeCells>
  <pageMargins left="0.7" right="0.7" top="0.75" bottom="0.75" header="0.3" footer="0.3"/>
  <pageSetup paperSize="9" scale="6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EC27-1E3D-4F2A-8AC8-86E8483F38C7}">
  <sheetPr codeName="Hoja56"/>
  <dimension ref="A1:K28"/>
  <sheetViews>
    <sheetView view="pageBreakPreview" topLeftCell="A5" zoomScaleNormal="100" zoomScaleSheetLayoutView="100" workbookViewId="0">
      <selection activeCell="J11" sqref="J11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104.45" customHeight="1" thickBot="1" x14ac:dyDescent="0.3">
      <c r="A5" s="45"/>
      <c r="B5" s="43">
        <v>4.0999999999999996</v>
      </c>
      <c r="C5" s="46" t="str">
        <f>VLOOKUP(B5,'PRESUPUESTO OFICIAL'!$A$1:$F$61,3,FALSE)</f>
        <v>M2</v>
      </c>
      <c r="D5" s="613" t="str">
        <f>VLOOKUP(B5,'PRESUPUESTO OFICIAL'!A1:F61,2,FALSE)</f>
        <v>SUMINISTRO E INSTALACION DE CIELO RASO EN PVC. INCLUYE ESTRUCTURA Y DEMAS ELEMENTOS DE FIJACION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593" t="s">
        <v>596</v>
      </c>
      <c r="B9" s="594"/>
      <c r="C9" s="594"/>
      <c r="D9" s="594"/>
      <c r="E9" s="40">
        <v>1.4</v>
      </c>
      <c r="F9" s="40">
        <v>2.25</v>
      </c>
      <c r="G9" s="18"/>
      <c r="H9" s="41"/>
      <c r="I9" s="18"/>
      <c r="J9" s="40">
        <v>1.1000000000000001</v>
      </c>
      <c r="K9" s="42">
        <f>+PRODUCT(E9:J9)</f>
        <v>3.4650000000000003</v>
      </c>
    </row>
    <row r="10" spans="1:11" x14ac:dyDescent="0.25">
      <c r="A10" s="593" t="s">
        <v>595</v>
      </c>
      <c r="B10" s="594"/>
      <c r="C10" s="594"/>
      <c r="D10" s="594"/>
      <c r="E10" s="40">
        <v>6.6</v>
      </c>
      <c r="F10" s="40">
        <v>8.3000000000000007</v>
      </c>
      <c r="G10" s="18"/>
      <c r="H10" s="41"/>
      <c r="I10" s="18"/>
      <c r="J10" s="40">
        <v>1.1000000000000001</v>
      </c>
      <c r="K10" s="42">
        <f>+PRODUCT(E10:J10)</f>
        <v>60.258000000000003</v>
      </c>
    </row>
    <row r="11" spans="1:11" x14ac:dyDescent="0.25">
      <c r="A11" s="595"/>
      <c r="B11" s="596"/>
      <c r="C11" s="596"/>
      <c r="D11" s="596"/>
      <c r="E11" s="40"/>
      <c r="F11" s="40"/>
      <c r="G11" s="21"/>
      <c r="H11" s="41"/>
      <c r="I11" s="21"/>
      <c r="J11" s="40"/>
      <c r="K11" s="42">
        <f>+PRODUCT(E11:J11)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63.72</v>
      </c>
    </row>
    <row r="28" spans="1:11" x14ac:dyDescent="0.25">
      <c r="K28" s="31"/>
    </row>
  </sheetData>
  <mergeCells count="32">
    <mergeCell ref="A27:J27"/>
    <mergeCell ref="A19:D19"/>
    <mergeCell ref="A20:D20"/>
    <mergeCell ref="A21:E21"/>
    <mergeCell ref="F21:J21"/>
    <mergeCell ref="A26:E26"/>
    <mergeCell ref="F26:J26"/>
    <mergeCell ref="A18:D18"/>
    <mergeCell ref="A8:K8"/>
    <mergeCell ref="A10:D10"/>
    <mergeCell ref="A11:D11"/>
    <mergeCell ref="A12:D12"/>
    <mergeCell ref="A13:D13"/>
    <mergeCell ref="A14:D14"/>
    <mergeCell ref="A15:D15"/>
    <mergeCell ref="A16:D16"/>
    <mergeCell ref="A17:D17"/>
    <mergeCell ref="A9:D9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97F6B-EBEE-450F-B7E1-D4A9816F7045}">
  <sheetPr codeName="Hoja57"/>
  <dimension ref="A1:K29"/>
  <sheetViews>
    <sheetView view="pageBreakPreview" topLeftCell="A4" zoomScale="85" zoomScaleNormal="100" zoomScaleSheetLayoutView="85" workbookViewId="0">
      <selection activeCell="K11" sqref="K11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70.900000000000006" customHeight="1" thickBot="1" x14ac:dyDescent="0.3">
      <c r="A5" s="45"/>
      <c r="B5" s="43">
        <v>4.2</v>
      </c>
      <c r="C5" s="46" t="str">
        <f>VLOOKUP(B5,'PRESUPUESTO OFICIAL'!$A$1:$F$61,3,FALSE)</f>
        <v>UND</v>
      </c>
      <c r="D5" s="613" t="str">
        <f>VLOOKUP(B5,'PRESUPUESTO OFICIAL'!A1:F61,2,FALSE)</f>
        <v>SUMINISTRO, TRANSPORTE E INSTALACIÓN DE PANEL LED 60X60 cm 38W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603" t="s">
        <v>422</v>
      </c>
      <c r="B9" s="604"/>
      <c r="C9" s="604"/>
      <c r="D9" s="604"/>
      <c r="E9" s="40"/>
      <c r="F9" s="41"/>
      <c r="G9" s="41"/>
      <c r="H9" s="41"/>
      <c r="I9" s="41"/>
      <c r="J9" s="40">
        <v>16</v>
      </c>
      <c r="K9" s="42">
        <f>+J9</f>
        <v>16</v>
      </c>
    </row>
    <row r="10" spans="1:11" x14ac:dyDescent="0.25">
      <c r="A10" s="593" t="s">
        <v>423</v>
      </c>
      <c r="B10" s="594"/>
      <c r="C10" s="594"/>
      <c r="D10" s="594"/>
      <c r="E10" s="17"/>
      <c r="F10" s="18"/>
      <c r="G10" s="18"/>
      <c r="H10" s="18"/>
      <c r="I10" s="18"/>
      <c r="J10" s="40">
        <v>4</v>
      </c>
      <c r="K10" s="42">
        <f>+J10</f>
        <v>4</v>
      </c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/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40"/>
      <c r="K12" s="42"/>
    </row>
    <row r="13" spans="1:11" x14ac:dyDescent="0.25">
      <c r="A13" s="595"/>
      <c r="B13" s="596"/>
      <c r="C13" s="596"/>
      <c r="D13" s="596"/>
      <c r="E13" s="20"/>
      <c r="F13" s="21"/>
      <c r="G13" s="21"/>
      <c r="H13" s="21"/>
      <c r="I13" s="21"/>
      <c r="J13" s="20"/>
      <c r="K13" s="3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x14ac:dyDescent="0.25">
      <c r="A20" s="593"/>
      <c r="B20" s="594"/>
      <c r="C20" s="594"/>
      <c r="D20" s="594"/>
      <c r="E20" s="17"/>
      <c r="F20" s="18"/>
      <c r="G20" s="18"/>
      <c r="H20" s="18"/>
      <c r="I20" s="18"/>
      <c r="J20" s="17"/>
      <c r="K20" s="19"/>
    </row>
    <row r="21" spans="1:11" ht="15.75" thickBot="1" x14ac:dyDescent="0.3">
      <c r="A21" s="595"/>
      <c r="B21" s="596"/>
      <c r="C21" s="596"/>
      <c r="D21" s="596"/>
      <c r="E21" s="20"/>
      <c r="F21" s="21"/>
      <c r="G21" s="21"/>
      <c r="H21" s="21"/>
      <c r="I21" s="21"/>
      <c r="J21" s="20"/>
      <c r="K21" s="19"/>
    </row>
    <row r="22" spans="1:11" x14ac:dyDescent="0.25">
      <c r="A22" s="597" t="s">
        <v>39</v>
      </c>
      <c r="B22" s="598"/>
      <c r="C22" s="598"/>
      <c r="D22" s="598"/>
      <c r="E22" s="598"/>
      <c r="F22" s="597" t="s">
        <v>40</v>
      </c>
      <c r="G22" s="598"/>
      <c r="H22" s="598"/>
      <c r="I22" s="598"/>
      <c r="J22" s="599"/>
      <c r="K22" s="22"/>
    </row>
    <row r="23" spans="1:11" x14ac:dyDescent="0.25">
      <c r="A23" s="23"/>
      <c r="B23" s="32"/>
      <c r="C23" s="33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6"/>
      <c r="D24" s="33"/>
      <c r="E24" s="34"/>
      <c r="F24" s="24"/>
      <c r="G24" s="35"/>
      <c r="H24" s="35"/>
      <c r="I24" s="35"/>
      <c r="J24" s="25"/>
      <c r="K24" s="26"/>
    </row>
    <row r="25" spans="1:11" x14ac:dyDescent="0.25">
      <c r="A25" s="27"/>
      <c r="B25" s="35"/>
      <c r="C25" s="35"/>
      <c r="D25" s="36"/>
      <c r="E25" s="35"/>
      <c r="F25" s="27"/>
      <c r="G25" s="35"/>
      <c r="H25" s="35"/>
      <c r="I25" s="35"/>
      <c r="J25" s="25"/>
      <c r="K25" s="26"/>
    </row>
    <row r="26" spans="1:11" x14ac:dyDescent="0.25">
      <c r="A26" s="28"/>
      <c r="B26" s="36"/>
      <c r="C26" s="36"/>
      <c r="D26" s="36"/>
      <c r="E26" s="37"/>
      <c r="F26" s="27"/>
      <c r="G26" s="35"/>
      <c r="H26" s="35"/>
      <c r="I26" s="35"/>
      <c r="J26" s="25"/>
      <c r="K26" s="29"/>
    </row>
    <row r="27" spans="1:11" ht="15.75" thickBot="1" x14ac:dyDescent="0.3">
      <c r="A27" s="584"/>
      <c r="B27" s="585"/>
      <c r="C27" s="585"/>
      <c r="D27" s="585"/>
      <c r="E27" s="585"/>
      <c r="F27" s="586"/>
      <c r="G27" s="587"/>
      <c r="H27" s="587"/>
      <c r="I27" s="587"/>
      <c r="J27" s="588"/>
      <c r="K27" s="38"/>
    </row>
    <row r="28" spans="1:11" ht="15.75" thickBot="1" x14ac:dyDescent="0.3">
      <c r="A28" s="589" t="s">
        <v>41</v>
      </c>
      <c r="B28" s="590"/>
      <c r="C28" s="590"/>
      <c r="D28" s="590"/>
      <c r="E28" s="590"/>
      <c r="F28" s="591"/>
      <c r="G28" s="591"/>
      <c r="H28" s="591"/>
      <c r="I28" s="591"/>
      <c r="J28" s="592"/>
      <c r="K28" s="30">
        <f>ROUND(SUM(K9:K21),2)</f>
        <v>20</v>
      </c>
    </row>
    <row r="29" spans="1:11" x14ac:dyDescent="0.25">
      <c r="K29" s="31"/>
    </row>
  </sheetData>
  <mergeCells count="33">
    <mergeCell ref="A28:J28"/>
    <mergeCell ref="A20:D20"/>
    <mergeCell ref="A21:D21"/>
    <mergeCell ref="A22:E22"/>
    <mergeCell ref="F22:J22"/>
    <mergeCell ref="A27:E27"/>
    <mergeCell ref="F27:J27"/>
    <mergeCell ref="A19:D19"/>
    <mergeCell ref="A8:K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FBB92-43C8-4941-B214-691673113047}">
  <sheetPr codeName="Hoja58"/>
  <dimension ref="A1:W28"/>
  <sheetViews>
    <sheetView view="pageBreakPreview" topLeftCell="A5" zoomScale="85" zoomScaleNormal="100" zoomScaleSheetLayoutView="85" workbookViewId="0">
      <selection activeCell="M7" sqref="M7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4.3</v>
      </c>
      <c r="C5" s="46" t="str">
        <f>VLOOKUP(B5,'PRESUPUESTO OFICIAL'!$A$1:$F$61,3,FALSE)</f>
        <v>UND</v>
      </c>
      <c r="D5" s="613" t="str">
        <f>VLOOKUP(B5,'PRESUPUESTO OFICIAL'!A1:F61,2,FALSE)</f>
        <v>PUNTO ELÉCTRICO INCLUYE TUBERÍA CONDIUT, 3 CABLE AWG N°12 Y CAJA OCTAGONAL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424</v>
      </c>
      <c r="B9" s="594"/>
      <c r="C9" s="594"/>
      <c r="D9" s="594"/>
      <c r="E9" s="17"/>
      <c r="F9" s="18"/>
      <c r="G9" s="18"/>
      <c r="H9" s="18"/>
      <c r="I9" s="18"/>
      <c r="J9" s="40">
        <v>5</v>
      </c>
      <c r="K9" s="42">
        <f>+J9</f>
        <v>5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>F10*J10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 t="shared" ref="K11" si="0">F11*J11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23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23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5</v>
      </c>
    </row>
    <row r="28" spans="1:11" x14ac:dyDescent="0.25">
      <c r="K28" s="31"/>
    </row>
  </sheetData>
  <mergeCells count="33">
    <mergeCell ref="A9:D9"/>
    <mergeCell ref="A8:K8"/>
    <mergeCell ref="A10:D10"/>
    <mergeCell ref="A11:D11"/>
    <mergeCell ref="M10:P10"/>
    <mergeCell ref="A27:J27"/>
    <mergeCell ref="A19:D19"/>
    <mergeCell ref="A20:D20"/>
    <mergeCell ref="A21:E21"/>
    <mergeCell ref="F21:J21"/>
    <mergeCell ref="A26:E26"/>
    <mergeCell ref="F26:J26"/>
    <mergeCell ref="A18:D18"/>
    <mergeCell ref="A12:D12"/>
    <mergeCell ref="A13:D13"/>
    <mergeCell ref="A14:D14"/>
    <mergeCell ref="A15:D15"/>
    <mergeCell ref="A16:D16"/>
    <mergeCell ref="A17:D17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5F14F-FB57-4494-A9A5-0865066B9F47}">
  <sheetPr codeName="Hoja59"/>
  <dimension ref="A1:K28"/>
  <sheetViews>
    <sheetView view="pageBreakPreview" topLeftCell="A5" zoomScaleNormal="100" zoomScaleSheetLayoutView="100" workbookViewId="0">
      <selection activeCell="J10" sqref="J10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104.45" customHeight="1" thickBot="1" x14ac:dyDescent="0.3">
      <c r="A5" s="45"/>
      <c r="B5" s="43">
        <v>4.4000000000000004</v>
      </c>
      <c r="C5" s="46" t="str">
        <f>VLOOKUP(B5,'PRESUPUESTO OFICIAL'!A:F,3,TRUE)</f>
        <v>M2</v>
      </c>
      <c r="D5" s="613" t="str">
        <f>VLOOKUP(B5,'PRESUPUESTO OFICIAL'!A1:F61,2,TRUE)</f>
        <v xml:space="preserve">SUMINISTRO, TRANSPORTE E INSTALACIÓN CIELO RASO EN LÁMINA TRIPLEX 3.22MM X 1.22X2.44M. INCLUYE PERFILERIA Y ANCLAJES PARA FIJACIÓN Y PINTURA 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593" t="str">
        <f>+'1,1'!A9</f>
        <v>Área auditorio</v>
      </c>
      <c r="B9" s="594"/>
      <c r="C9" s="594"/>
      <c r="D9" s="594"/>
      <c r="E9" s="40">
        <f>+'1,1'!E9</f>
        <v>11.84</v>
      </c>
      <c r="F9" s="40">
        <f>+'1,1'!F9</f>
        <v>22</v>
      </c>
      <c r="G9" s="18"/>
      <c r="H9" s="41"/>
      <c r="I9" s="18"/>
      <c r="J9" s="40">
        <v>1.1000000000000001</v>
      </c>
      <c r="K9" s="42">
        <f>+PRODUCT(E9:J9)</f>
        <v>286.52800000000002</v>
      </c>
    </row>
    <row r="10" spans="1:11" x14ac:dyDescent="0.25">
      <c r="A10" s="593"/>
      <c r="B10" s="594"/>
      <c r="C10" s="594"/>
      <c r="D10" s="594"/>
      <c r="E10" s="40"/>
      <c r="F10" s="40"/>
      <c r="G10" s="18"/>
      <c r="H10" s="41"/>
      <c r="I10" s="18"/>
      <c r="J10" s="40"/>
      <c r="K10" s="42">
        <f>+PRODUCT(E10:J10)</f>
        <v>0</v>
      </c>
    </row>
    <row r="11" spans="1:11" x14ac:dyDescent="0.25">
      <c r="A11" s="595"/>
      <c r="B11" s="596"/>
      <c r="C11" s="596"/>
      <c r="D11" s="596"/>
      <c r="E11" s="40"/>
      <c r="F11" s="40"/>
      <c r="G11" s="21"/>
      <c r="H11" s="41"/>
      <c r="I11" s="21"/>
      <c r="J11" s="40"/>
      <c r="K11" s="42">
        <f>+PRODUCT(E11:J11)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286.52999999999997</v>
      </c>
    </row>
    <row r="28" spans="1:11" x14ac:dyDescent="0.25">
      <c r="K28" s="31"/>
    </row>
  </sheetData>
  <mergeCells count="32">
    <mergeCell ref="A27:J27"/>
    <mergeCell ref="A14:D14"/>
    <mergeCell ref="A15:D15"/>
    <mergeCell ref="A16:D16"/>
    <mergeCell ref="A17:D17"/>
    <mergeCell ref="A18:D18"/>
    <mergeCell ref="A19:D19"/>
    <mergeCell ref="A20:D20"/>
    <mergeCell ref="A21:E21"/>
    <mergeCell ref="F21:J21"/>
    <mergeCell ref="A26:E26"/>
    <mergeCell ref="F26:J26"/>
    <mergeCell ref="A13:D13"/>
    <mergeCell ref="D5:F5"/>
    <mergeCell ref="G5:I5"/>
    <mergeCell ref="J5:K5"/>
    <mergeCell ref="A6:D7"/>
    <mergeCell ref="E6:J6"/>
    <mergeCell ref="K6:K7"/>
    <mergeCell ref="A8:K8"/>
    <mergeCell ref="A9:D9"/>
    <mergeCell ref="A10:D10"/>
    <mergeCell ref="A11:D11"/>
    <mergeCell ref="A12:D12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7EBE3-8E91-4ED4-8414-FDBFF019CE61}">
  <sheetPr codeName="Hoja60"/>
  <dimension ref="A1:K28"/>
  <sheetViews>
    <sheetView view="pageBreakPreview" topLeftCell="A5" zoomScaleNormal="100" zoomScaleSheetLayoutView="100" workbookViewId="0">
      <selection activeCell="J10" sqref="J10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104.45" customHeight="1" thickBot="1" x14ac:dyDescent="0.3">
      <c r="A5" s="45"/>
      <c r="B5" s="43">
        <v>4.4000000000000004</v>
      </c>
      <c r="C5" s="46" t="str">
        <f>VLOOKUP(B5,'PRESUPUESTO OFICIAL'!A:F,3,TRUE)</f>
        <v>M2</v>
      </c>
      <c r="D5" s="613" t="str">
        <f>VLOOKUP(B5,'PRESUPUESTO OFICIAL'!A1:F61,2,TRUE)</f>
        <v xml:space="preserve">SUMINISTRO, TRANSPORTE E INSTALACIÓN CIELO RASO EN LÁMINA TRIPLEX 3.22MM X 1.22X2.44M. INCLUYE PERFILERIA Y ANCLAJES PARA FIJACIÓN Y PINTURA 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593" t="str">
        <f>+'1,1'!A9</f>
        <v>Área auditorio</v>
      </c>
      <c r="B9" s="594"/>
      <c r="C9" s="594"/>
      <c r="D9" s="594"/>
      <c r="E9" s="40">
        <f>+'1,1'!E9</f>
        <v>11.84</v>
      </c>
      <c r="F9" s="40">
        <f>+'1,1'!F9</f>
        <v>22</v>
      </c>
      <c r="G9" s="18"/>
      <c r="H9" s="41"/>
      <c r="I9" s="18"/>
      <c r="J9" s="40">
        <v>1.1000000000000001</v>
      </c>
      <c r="K9" s="42">
        <f>+PRODUCT(E9:J9)</f>
        <v>286.52800000000002</v>
      </c>
    </row>
    <row r="10" spans="1:11" x14ac:dyDescent="0.25">
      <c r="A10" s="593"/>
      <c r="B10" s="594"/>
      <c r="C10" s="594"/>
      <c r="D10" s="594"/>
      <c r="E10" s="40"/>
      <c r="F10" s="40"/>
      <c r="G10" s="18"/>
      <c r="H10" s="41"/>
      <c r="I10" s="18"/>
      <c r="J10" s="40"/>
      <c r="K10" s="42">
        <f>+PRODUCT(E10:J10)</f>
        <v>0</v>
      </c>
    </row>
    <row r="11" spans="1:11" x14ac:dyDescent="0.25">
      <c r="A11" s="595"/>
      <c r="B11" s="596"/>
      <c r="C11" s="596"/>
      <c r="D11" s="596"/>
      <c r="E11" s="40"/>
      <c r="F11" s="40"/>
      <c r="G11" s="21"/>
      <c r="H11" s="41"/>
      <c r="I11" s="21"/>
      <c r="J11" s="40"/>
      <c r="K11" s="42">
        <f>+PRODUCT(E11:J11)</f>
        <v>0</v>
      </c>
    </row>
    <row r="12" spans="1:11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286.52999999999997</v>
      </c>
    </row>
    <row r="28" spans="1:11" x14ac:dyDescent="0.25">
      <c r="K28" s="31"/>
    </row>
  </sheetData>
  <mergeCells count="32">
    <mergeCell ref="A27:J27"/>
    <mergeCell ref="A14:D14"/>
    <mergeCell ref="A15:D15"/>
    <mergeCell ref="A16:D16"/>
    <mergeCell ref="A17:D17"/>
    <mergeCell ref="A18:D18"/>
    <mergeCell ref="A19:D19"/>
    <mergeCell ref="A20:D20"/>
    <mergeCell ref="A21:E21"/>
    <mergeCell ref="F21:J21"/>
    <mergeCell ref="A26:E26"/>
    <mergeCell ref="F26:J26"/>
    <mergeCell ref="A13:D13"/>
    <mergeCell ref="D5:F5"/>
    <mergeCell ref="G5:I5"/>
    <mergeCell ref="J5:K5"/>
    <mergeCell ref="A6:D7"/>
    <mergeCell ref="E6:J6"/>
    <mergeCell ref="K6:K7"/>
    <mergeCell ref="A8:K8"/>
    <mergeCell ref="A9:D9"/>
    <mergeCell ref="A10:D10"/>
    <mergeCell ref="A11:D11"/>
    <mergeCell ref="A12:D12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08555-A176-436F-A852-DDFCD5B7E0C0}">
  <sheetPr codeName="Hoja61"/>
  <dimension ref="A1:W28"/>
  <sheetViews>
    <sheetView view="pageBreakPreview" topLeftCell="A5" zoomScale="85" zoomScaleNormal="100" zoomScaleSheetLayoutView="85" workbookViewId="0">
      <selection activeCell="K10" sqref="K10"/>
    </sheetView>
  </sheetViews>
  <sheetFormatPr baseColWidth="10" defaultColWidth="11.5703125" defaultRowHeight="15" x14ac:dyDescent="0.25"/>
  <cols>
    <col min="5" max="5" width="14.7109375" customWidth="1"/>
    <col min="6" max="6" width="15.28515625" customWidth="1"/>
  </cols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5.0999999999999996</v>
      </c>
      <c r="C5" s="46" t="str">
        <f>VLOOKUP(B5,'PRESUPUESTO OFICIAL'!$A$1:$F$61,3,FALSE)</f>
        <v>M2</v>
      </c>
      <c r="D5" s="613" t="str">
        <f>VLOOKUP(B5,'PRESUPUESTO OFICIAL'!A1:F61,2,FALSE)</f>
        <v>SUMINISTRO, TRANSPORTE E INSTALACION ESTUCO Y PINTURA TIPO KORAZA O SIMILAR 3 MANOS INTERNA (INCLUYE ESTUCO, 1 MANO EN PINTURA TIPO 2 Y DOS MANOS EN PINTURA TIPO KORAZA O SIMILAR, FILOS Y DILATACIONES).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430</v>
      </c>
      <c r="B9" s="594"/>
      <c r="C9" s="594"/>
      <c r="D9" s="594"/>
      <c r="E9" s="17"/>
      <c r="F9" s="18">
        <v>21.5</v>
      </c>
      <c r="G9" s="18">
        <v>7</v>
      </c>
      <c r="H9" s="18"/>
      <c r="I9" s="18"/>
      <c r="J9" s="40">
        <v>2</v>
      </c>
      <c r="K9" s="42">
        <f>+F9*G9*J9</f>
        <v>301</v>
      </c>
    </row>
    <row r="10" spans="1:23" x14ac:dyDescent="0.25">
      <c r="A10" s="603"/>
      <c r="B10" s="604"/>
      <c r="C10" s="604"/>
      <c r="D10" s="604"/>
      <c r="E10" s="40"/>
      <c r="F10" s="41">
        <v>11.6</v>
      </c>
      <c r="G10" s="41">
        <v>7</v>
      </c>
      <c r="H10" s="41"/>
      <c r="I10" s="41"/>
      <c r="J10" s="40">
        <v>2</v>
      </c>
      <c r="K10" s="42">
        <f>+F10*G10*J10</f>
        <v>162.4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 t="shared" ref="K11" si="0">F11*J11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39"/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19"/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19"/>
    </row>
    <row r="15" spans="1:23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19"/>
    </row>
    <row r="16" spans="1:23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19"/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19"/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463.4</v>
      </c>
    </row>
    <row r="28" spans="1:11" x14ac:dyDescent="0.25">
      <c r="K28" s="31"/>
    </row>
  </sheetData>
  <mergeCells count="33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8:D18"/>
    <mergeCell ref="A8:K8"/>
    <mergeCell ref="A9:D9"/>
    <mergeCell ref="A10:D10"/>
    <mergeCell ref="M10:P10"/>
    <mergeCell ref="A11:D11"/>
    <mergeCell ref="A12:D12"/>
    <mergeCell ref="A13:D13"/>
    <mergeCell ref="A14:D14"/>
    <mergeCell ref="A15:D15"/>
    <mergeCell ref="A16:D16"/>
    <mergeCell ref="A17:D17"/>
    <mergeCell ref="A27:J27"/>
    <mergeCell ref="A19:D19"/>
    <mergeCell ref="A20:D20"/>
    <mergeCell ref="A21:E21"/>
    <mergeCell ref="F21:J21"/>
    <mergeCell ref="A26:E26"/>
    <mergeCell ref="F26:J26"/>
  </mergeCells>
  <pageMargins left="0.7" right="0.7" top="0.75" bottom="0.75" header="0.3" footer="0.3"/>
  <pageSetup paperSize="9" scale="6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81DC4-40C4-4A09-AE2A-C69955E2BBC4}">
  <sheetPr codeName="Hoja62"/>
  <dimension ref="A1:W35"/>
  <sheetViews>
    <sheetView view="pageBreakPreview" topLeftCell="A8" zoomScale="85" zoomScaleNormal="100" zoomScaleSheetLayoutView="85" workbookViewId="0">
      <selection activeCell="K25" sqref="K25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5.2</v>
      </c>
      <c r="C5" s="46" t="str">
        <f>VLOOKUP(B5,'PRESUPUESTO OFICIAL'!$A$1:$F$61,3,TRUE)</f>
        <v>M2</v>
      </c>
      <c r="D5" s="613" t="str">
        <f>VLOOKUP(B5,'PRESUPUESTO OFICIAL'!A1:F61,2,TRUE)</f>
        <v>SUMINISTRO E INSTALACIÓN DE ESTUCO Y PINTURA PARA INTERIOR 3 MANOS. (INCLUYE ESTUCO, UNA MANO EN PINTURA TIPO 2 Y DOS MANOS EN PINTURA TIPO 1, FILOS Y DILATACIONES). COLOR BLANCO SEGÚN DISEÑO. INCLUYE MATERIALES, EQUIPOS, HERRAMIENTA Y MANO DE OBRA NECESARIOS PARA LA EJECUCIÓN DE LA ACTIVIDAD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tr">
        <f>+'5.1'!A9</f>
        <v xml:space="preserve">Muro exterior </v>
      </c>
      <c r="B9" s="594"/>
      <c r="C9" s="594"/>
      <c r="D9" s="594"/>
      <c r="E9" s="17"/>
      <c r="F9" s="18">
        <f>+'5.1'!F9</f>
        <v>21.5</v>
      </c>
      <c r="G9" s="18">
        <f>+'5.1'!G9</f>
        <v>7</v>
      </c>
      <c r="H9" s="18"/>
      <c r="I9" s="18"/>
      <c r="J9" s="40">
        <v>2</v>
      </c>
      <c r="K9" s="42">
        <f>+PRODUCT(E9:J9)</f>
        <v>301</v>
      </c>
    </row>
    <row r="10" spans="1:23" x14ac:dyDescent="0.25">
      <c r="A10" s="603"/>
      <c r="B10" s="604"/>
      <c r="C10" s="604"/>
      <c r="D10" s="604"/>
      <c r="E10" s="40"/>
      <c r="F10" s="41">
        <f>+'5.1'!F10</f>
        <v>11.6</v>
      </c>
      <c r="G10" s="41">
        <f>+'5.1'!G10</f>
        <v>7</v>
      </c>
      <c r="H10" s="41"/>
      <c r="I10" s="41"/>
      <c r="J10" s="40">
        <v>2</v>
      </c>
      <c r="K10" s="42">
        <f t="shared" ref="K10:K27" si="0">+PRODUCT(E10:J10)</f>
        <v>162.4</v>
      </c>
      <c r="L10">
        <f>+J10*G10*F10</f>
        <v>162.4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">
        <v>601</v>
      </c>
      <c r="B11" s="594"/>
      <c r="C11" s="594"/>
      <c r="D11" s="594"/>
      <c r="E11" s="17"/>
      <c r="F11" s="18">
        <v>3.9</v>
      </c>
      <c r="G11" s="18">
        <v>4</v>
      </c>
      <c r="H11" s="18"/>
      <c r="I11" s="18"/>
      <c r="J11" s="40">
        <v>2</v>
      </c>
      <c r="K11" s="42">
        <f t="shared" si="0"/>
        <v>31.2</v>
      </c>
      <c r="L11">
        <f t="shared" ref="L11:L25" si="1">+J11*G11*F11</f>
        <v>31.2</v>
      </c>
    </row>
    <row r="12" spans="1:23" x14ac:dyDescent="0.25">
      <c r="A12" s="595"/>
      <c r="B12" s="596"/>
      <c r="C12" s="596"/>
      <c r="D12" s="596"/>
      <c r="E12" s="20"/>
      <c r="F12" s="21">
        <v>2.8</v>
      </c>
      <c r="G12" s="21">
        <v>4</v>
      </c>
      <c r="H12" s="21"/>
      <c r="I12" s="21"/>
      <c r="J12" s="20">
        <v>1</v>
      </c>
      <c r="K12" s="42">
        <f t="shared" si="0"/>
        <v>11.2</v>
      </c>
      <c r="L12">
        <f t="shared" si="1"/>
        <v>11.2</v>
      </c>
    </row>
    <row r="13" spans="1:23" x14ac:dyDescent="0.25">
      <c r="A13" s="593"/>
      <c r="B13" s="594"/>
      <c r="C13" s="594"/>
      <c r="D13" s="594"/>
      <c r="E13" s="17"/>
      <c r="F13" s="18">
        <v>2.0499999999999998</v>
      </c>
      <c r="G13" s="18">
        <v>4</v>
      </c>
      <c r="H13" s="18"/>
      <c r="I13" s="18"/>
      <c r="J13" s="17">
        <v>1</v>
      </c>
      <c r="K13" s="42">
        <f t="shared" si="0"/>
        <v>8.1999999999999993</v>
      </c>
      <c r="L13">
        <f t="shared" si="1"/>
        <v>8.1999999999999993</v>
      </c>
    </row>
    <row r="14" spans="1:23" x14ac:dyDescent="0.25">
      <c r="A14" s="593" t="s">
        <v>603</v>
      </c>
      <c r="B14" s="594"/>
      <c r="C14" s="594"/>
      <c r="D14" s="594"/>
      <c r="E14" s="17">
        <v>3.9</v>
      </c>
      <c r="F14" s="18">
        <v>2.5</v>
      </c>
      <c r="G14" s="18"/>
      <c r="H14" s="18"/>
      <c r="I14" s="18"/>
      <c r="J14" s="17">
        <v>1</v>
      </c>
      <c r="K14" s="42">
        <f t="shared" si="0"/>
        <v>9.75</v>
      </c>
      <c r="L14">
        <f t="shared" si="1"/>
        <v>0</v>
      </c>
    </row>
    <row r="15" spans="1:23" x14ac:dyDescent="0.25">
      <c r="A15" s="593" t="s">
        <v>602</v>
      </c>
      <c r="B15" s="594"/>
      <c r="C15" s="594"/>
      <c r="D15" s="594"/>
      <c r="E15" s="17"/>
      <c r="F15" s="18">
        <v>2.35</v>
      </c>
      <c r="G15" s="18">
        <v>4</v>
      </c>
      <c r="H15" s="18"/>
      <c r="I15" s="18"/>
      <c r="J15" s="17">
        <v>2</v>
      </c>
      <c r="K15" s="42">
        <f t="shared" si="0"/>
        <v>18.8</v>
      </c>
      <c r="L15">
        <f t="shared" si="1"/>
        <v>18.8</v>
      </c>
    </row>
    <row r="16" spans="1:23" x14ac:dyDescent="0.25">
      <c r="A16" s="593"/>
      <c r="B16" s="594"/>
      <c r="C16" s="594"/>
      <c r="D16" s="594"/>
      <c r="E16" s="17"/>
      <c r="F16" s="18">
        <v>2.7</v>
      </c>
      <c r="G16" s="18">
        <v>4</v>
      </c>
      <c r="H16" s="18"/>
      <c r="I16" s="18"/>
      <c r="J16" s="17">
        <v>1</v>
      </c>
      <c r="K16" s="42">
        <f t="shared" si="0"/>
        <v>10.8</v>
      </c>
      <c r="L16">
        <f t="shared" si="1"/>
        <v>10.8</v>
      </c>
    </row>
    <row r="17" spans="1:12" x14ac:dyDescent="0.25">
      <c r="A17" s="593"/>
      <c r="B17" s="594"/>
      <c r="C17" s="594"/>
      <c r="D17" s="594"/>
      <c r="E17" s="17"/>
      <c r="F17" s="18">
        <v>2.7</v>
      </c>
      <c r="G17" s="18">
        <v>2.6</v>
      </c>
      <c r="H17" s="18"/>
      <c r="I17" s="18"/>
      <c r="J17" s="17">
        <v>1</v>
      </c>
      <c r="K17" s="42">
        <f t="shared" si="0"/>
        <v>7.0200000000000005</v>
      </c>
      <c r="L17">
        <f t="shared" si="1"/>
        <v>7.0200000000000005</v>
      </c>
    </row>
    <row r="18" spans="1:12" x14ac:dyDescent="0.25">
      <c r="A18" s="593" t="s">
        <v>604</v>
      </c>
      <c r="B18" s="594"/>
      <c r="C18" s="594"/>
      <c r="D18" s="594"/>
      <c r="E18" s="17">
        <v>4.5999999999999996</v>
      </c>
      <c r="F18" s="18">
        <v>2.4</v>
      </c>
      <c r="G18" s="18"/>
      <c r="H18" s="18"/>
      <c r="I18" s="18"/>
      <c r="J18" s="17">
        <v>1</v>
      </c>
      <c r="K18" s="42">
        <f t="shared" si="0"/>
        <v>11.04</v>
      </c>
      <c r="L18">
        <f>+J18*E18*F18</f>
        <v>11.04</v>
      </c>
    </row>
    <row r="19" spans="1:12" x14ac:dyDescent="0.25">
      <c r="A19" s="593" t="s">
        <v>609</v>
      </c>
      <c r="B19" s="594"/>
      <c r="C19" s="594"/>
      <c r="D19" s="594"/>
      <c r="E19" s="17">
        <v>2.25</v>
      </c>
      <c r="F19" s="18"/>
      <c r="G19" s="18">
        <v>0.95</v>
      </c>
      <c r="H19" s="18"/>
      <c r="I19" s="18"/>
      <c r="J19" s="17">
        <v>2</v>
      </c>
      <c r="K19" s="42">
        <f t="shared" si="0"/>
        <v>4.2749999999999995</v>
      </c>
      <c r="L19">
        <f t="shared" ref="L19" si="2">+J19*G19*F19</f>
        <v>0</v>
      </c>
    </row>
    <row r="20" spans="1:12" x14ac:dyDescent="0.25">
      <c r="A20" s="593"/>
      <c r="B20" s="594"/>
      <c r="C20" s="594"/>
      <c r="D20" s="594"/>
      <c r="E20" s="17">
        <v>1.48</v>
      </c>
      <c r="F20" s="18"/>
      <c r="G20" s="18">
        <v>0.95</v>
      </c>
      <c r="H20" s="18"/>
      <c r="I20" s="18"/>
      <c r="J20" s="17">
        <v>2</v>
      </c>
      <c r="K20" s="42">
        <f t="shared" ref="K20" si="3">+PRODUCT(E20:J20)</f>
        <v>2.8119999999999998</v>
      </c>
      <c r="L20">
        <f t="shared" ref="L20" si="4">+J20*G20*F20</f>
        <v>0</v>
      </c>
    </row>
    <row r="21" spans="1:12" x14ac:dyDescent="0.25">
      <c r="A21" s="593" t="s">
        <v>610</v>
      </c>
      <c r="B21" s="594"/>
      <c r="C21" s="594"/>
      <c r="D21" s="594"/>
      <c r="E21" s="17">
        <v>3.7</v>
      </c>
      <c r="F21" s="18"/>
      <c r="G21" s="18">
        <v>2.5</v>
      </c>
      <c r="H21" s="18"/>
      <c r="I21" s="18"/>
      <c r="J21" s="17">
        <v>1</v>
      </c>
      <c r="K21" s="42">
        <f t="shared" si="0"/>
        <v>9.25</v>
      </c>
      <c r="L21">
        <f t="shared" ref="L21" si="5">+J21*G21*F21</f>
        <v>0</v>
      </c>
    </row>
    <row r="22" spans="1:12" x14ac:dyDescent="0.25">
      <c r="A22" s="593"/>
      <c r="B22" s="594"/>
      <c r="C22" s="594"/>
      <c r="D22" s="594"/>
      <c r="E22" s="17">
        <v>2.25</v>
      </c>
      <c r="F22" s="18"/>
      <c r="G22" s="18">
        <v>2.5</v>
      </c>
      <c r="H22" s="18"/>
      <c r="I22" s="18"/>
      <c r="J22" s="17">
        <v>1</v>
      </c>
      <c r="K22" s="42">
        <f t="shared" ref="K22" si="6">+PRODUCT(E22:J22)</f>
        <v>5.625</v>
      </c>
      <c r="L22">
        <f t="shared" ref="L22" si="7">+J22*G22*F22</f>
        <v>0</v>
      </c>
    </row>
    <row r="23" spans="1:12" x14ac:dyDescent="0.25">
      <c r="A23" s="593"/>
      <c r="B23" s="594"/>
      <c r="C23" s="594"/>
      <c r="D23" s="594"/>
      <c r="E23" s="17">
        <v>6.3</v>
      </c>
      <c r="F23" s="18"/>
      <c r="G23" s="18">
        <v>2.5</v>
      </c>
      <c r="H23" s="18"/>
      <c r="I23" s="18"/>
      <c r="J23" s="17">
        <v>2</v>
      </c>
      <c r="K23" s="42">
        <f t="shared" si="0"/>
        <v>31.5</v>
      </c>
      <c r="L23">
        <f t="shared" si="1"/>
        <v>0</v>
      </c>
    </row>
    <row r="24" spans="1:12" x14ac:dyDescent="0.25">
      <c r="A24" s="593" t="s">
        <v>598</v>
      </c>
      <c r="B24" s="594"/>
      <c r="C24" s="594"/>
      <c r="D24" s="594"/>
      <c r="E24" s="17">
        <v>6.6</v>
      </c>
      <c r="F24" s="18"/>
      <c r="G24" s="18">
        <v>3.75</v>
      </c>
      <c r="H24" s="18"/>
      <c r="I24" s="18"/>
      <c r="J24" s="17">
        <v>2</v>
      </c>
      <c r="K24" s="42">
        <f t="shared" ref="K24:K26" si="8">+PRODUCT(E24:J24)</f>
        <v>49.5</v>
      </c>
      <c r="L24">
        <f t="shared" si="1"/>
        <v>0</v>
      </c>
    </row>
    <row r="25" spans="1:12" x14ac:dyDescent="0.25">
      <c r="A25" s="593"/>
      <c r="B25" s="594"/>
      <c r="C25" s="594"/>
      <c r="D25" s="594"/>
      <c r="E25" s="17">
        <v>8.3000000000000007</v>
      </c>
      <c r="F25" s="18"/>
      <c r="G25" s="18">
        <v>3.75</v>
      </c>
      <c r="H25" s="18"/>
      <c r="I25" s="18"/>
      <c r="J25" s="17">
        <v>2</v>
      </c>
      <c r="K25" s="42">
        <f t="shared" si="8"/>
        <v>62.250000000000007</v>
      </c>
      <c r="L25">
        <f t="shared" si="1"/>
        <v>0</v>
      </c>
    </row>
    <row r="26" spans="1:12" x14ac:dyDescent="0.25">
      <c r="A26" s="593"/>
      <c r="B26" s="594"/>
      <c r="C26" s="594"/>
      <c r="D26" s="594"/>
      <c r="E26" s="17"/>
      <c r="F26" s="18"/>
      <c r="G26" s="18"/>
      <c r="H26" s="18"/>
      <c r="I26" s="18"/>
      <c r="J26" s="17"/>
      <c r="K26" s="42">
        <f t="shared" si="8"/>
        <v>0</v>
      </c>
      <c r="L26">
        <f t="shared" ref="L26" si="9">+J26*G26*F26</f>
        <v>0</v>
      </c>
    </row>
    <row r="27" spans="1:12" ht="15.75" thickBot="1" x14ac:dyDescent="0.3">
      <c r="A27" s="595"/>
      <c r="B27" s="596"/>
      <c r="C27" s="596"/>
      <c r="D27" s="596"/>
      <c r="E27" s="20"/>
      <c r="F27" s="21"/>
      <c r="G27" s="21"/>
      <c r="H27" s="21"/>
      <c r="I27" s="21"/>
      <c r="J27" s="20"/>
      <c r="K27" s="42">
        <f t="shared" si="0"/>
        <v>0</v>
      </c>
    </row>
    <row r="28" spans="1:12" x14ac:dyDescent="0.25">
      <c r="A28" s="597" t="s">
        <v>39</v>
      </c>
      <c r="B28" s="598"/>
      <c r="C28" s="598"/>
      <c r="D28" s="598"/>
      <c r="E28" s="598"/>
      <c r="F28" s="597" t="s">
        <v>40</v>
      </c>
      <c r="G28" s="598"/>
      <c r="H28" s="598"/>
      <c r="I28" s="598"/>
      <c r="J28" s="599"/>
      <c r="K28" s="22"/>
    </row>
    <row r="29" spans="1:12" x14ac:dyDescent="0.25">
      <c r="A29" s="23"/>
      <c r="B29" s="32"/>
      <c r="C29" s="33"/>
      <c r="D29" s="33"/>
      <c r="E29" s="34"/>
      <c r="F29" s="24"/>
      <c r="G29" s="35"/>
      <c r="H29" s="35"/>
      <c r="I29" s="35"/>
      <c r="J29" s="25"/>
      <c r="K29" s="26"/>
    </row>
    <row r="30" spans="1:12" x14ac:dyDescent="0.25">
      <c r="A30" s="27"/>
      <c r="B30" s="35"/>
      <c r="C30" s="36"/>
      <c r="D30" s="33"/>
      <c r="E30" s="34"/>
      <c r="F30" s="24"/>
      <c r="G30" s="35"/>
      <c r="H30" s="35"/>
      <c r="I30" s="35"/>
      <c r="J30" s="25"/>
      <c r="K30" s="26"/>
    </row>
    <row r="31" spans="1:12" x14ac:dyDescent="0.25">
      <c r="A31" s="27"/>
      <c r="B31" s="35"/>
      <c r="C31" s="35"/>
      <c r="D31" s="36"/>
      <c r="E31" s="35"/>
      <c r="F31" s="27"/>
      <c r="G31" s="35"/>
      <c r="H31" s="35"/>
      <c r="I31" s="35"/>
      <c r="J31" s="25"/>
      <c r="K31" s="26"/>
    </row>
    <row r="32" spans="1:12" x14ac:dyDescent="0.25">
      <c r="A32" s="28"/>
      <c r="B32" s="36"/>
      <c r="C32" s="36"/>
      <c r="D32" s="36"/>
      <c r="E32" s="37"/>
      <c r="F32" s="27"/>
      <c r="G32" s="35"/>
      <c r="H32" s="35"/>
      <c r="I32" s="35"/>
      <c r="J32" s="25"/>
      <c r="K32" s="29"/>
    </row>
    <row r="33" spans="1:11" ht="15.75" thickBot="1" x14ac:dyDescent="0.3">
      <c r="A33" s="584"/>
      <c r="B33" s="585"/>
      <c r="C33" s="585"/>
      <c r="D33" s="585"/>
      <c r="E33" s="585"/>
      <c r="F33" s="586"/>
      <c r="G33" s="587"/>
      <c r="H33" s="587"/>
      <c r="I33" s="587"/>
      <c r="J33" s="588"/>
      <c r="K33" s="38"/>
    </row>
    <row r="34" spans="1:11" ht="15.75" thickBot="1" x14ac:dyDescent="0.3">
      <c r="A34" s="589" t="s">
        <v>41</v>
      </c>
      <c r="B34" s="590"/>
      <c r="C34" s="590"/>
      <c r="D34" s="590"/>
      <c r="E34" s="590"/>
      <c r="F34" s="591"/>
      <c r="G34" s="591"/>
      <c r="H34" s="591"/>
      <c r="I34" s="591"/>
      <c r="J34" s="592"/>
      <c r="K34" s="30">
        <f>ROUND(SUM(K8:K27),2)</f>
        <v>736.62</v>
      </c>
    </row>
    <row r="35" spans="1:11" x14ac:dyDescent="0.25">
      <c r="K35" s="31"/>
    </row>
  </sheetData>
  <mergeCells count="40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8:D18"/>
    <mergeCell ref="A8:K8"/>
    <mergeCell ref="A9:D9"/>
    <mergeCell ref="A10:D10"/>
    <mergeCell ref="M10:P10"/>
    <mergeCell ref="A11:D11"/>
    <mergeCell ref="A12:D12"/>
    <mergeCell ref="A13:D13"/>
    <mergeCell ref="A14:D14"/>
    <mergeCell ref="A15:D15"/>
    <mergeCell ref="A16:D16"/>
    <mergeCell ref="A17:D17"/>
    <mergeCell ref="A34:J34"/>
    <mergeCell ref="A23:D23"/>
    <mergeCell ref="A27:D27"/>
    <mergeCell ref="A28:E28"/>
    <mergeCell ref="F28:J28"/>
    <mergeCell ref="A33:E33"/>
    <mergeCell ref="F33:J33"/>
    <mergeCell ref="A25:D25"/>
    <mergeCell ref="A26:D26"/>
    <mergeCell ref="A22:D22"/>
    <mergeCell ref="A21:D21"/>
    <mergeCell ref="A20:D20"/>
    <mergeCell ref="A19:D19"/>
    <mergeCell ref="A24:D24"/>
  </mergeCells>
  <pageMargins left="0.7" right="0.7" top="0.75" bottom="0.75" header="0.3" footer="0.3"/>
  <pageSetup paperSize="9" scale="6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9E574-4D3B-49B6-B754-9FF655F03CF6}">
  <sheetPr codeName="Hoja63"/>
  <dimension ref="A1:W24"/>
  <sheetViews>
    <sheetView view="pageBreakPreview" topLeftCell="A3" zoomScale="85" zoomScaleNormal="100" zoomScaleSheetLayoutView="85" workbookViewId="0">
      <selection activeCell="C5" sqref="C5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5.3</v>
      </c>
      <c r="C5" s="46" t="str">
        <f>VLOOKUP(B5,'PRESUPUESTO OFICIAL'!$A$1:$F$61,3,TRUE)</f>
        <v>M2</v>
      </c>
      <c r="D5" s="613" t="str">
        <f>VLOOKUP(B5,'PRESUPUESTO OFICIAL'!A1:F61,2,TRUE)</f>
        <v>PINTURA, MANTENIMIENTO Y RESTAURACIÓN DE PUERTAS Y VENTANAS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611</v>
      </c>
      <c r="B9" s="594"/>
      <c r="C9" s="594"/>
      <c r="D9" s="594"/>
      <c r="E9" s="17">
        <v>2.5</v>
      </c>
      <c r="F9" s="18"/>
      <c r="G9" s="18">
        <v>0.57999999999999996</v>
      </c>
      <c r="H9" s="18"/>
      <c r="I9" s="18"/>
      <c r="J9" s="40">
        <v>2</v>
      </c>
      <c r="K9" s="42">
        <f>+PRODUCT(E9:J9)</f>
        <v>2.9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 t="shared" ref="K10:K16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">
        <v>613</v>
      </c>
      <c r="B11" s="594"/>
      <c r="C11" s="594"/>
      <c r="D11" s="594"/>
      <c r="E11" s="17">
        <v>2.2000000000000002</v>
      </c>
      <c r="F11" s="18"/>
      <c r="G11" s="18">
        <v>1.8</v>
      </c>
      <c r="H11" s="18"/>
      <c r="I11" s="18"/>
      <c r="J11" s="40">
        <f>2*3</f>
        <v>6</v>
      </c>
      <c r="K11" s="42">
        <f t="shared" si="0"/>
        <v>23.76</v>
      </c>
      <c r="L11">
        <f t="shared" ref="L11:L15" si="1">+J11*G11*F11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si="0"/>
        <v>0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>
        <v>1.4</v>
      </c>
      <c r="F13" s="18"/>
      <c r="G13" s="18">
        <v>0.5</v>
      </c>
      <c r="H13" s="18"/>
      <c r="I13" s="18"/>
      <c r="J13" s="17">
        <f>4*2</f>
        <v>8</v>
      </c>
      <c r="K13" s="42">
        <f>+PRODUCT(E13:J13)</f>
        <v>5.6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x14ac:dyDescent="0.25">
      <c r="A15" s="632" t="s">
        <v>616</v>
      </c>
      <c r="B15" s="629"/>
      <c r="C15" s="629"/>
      <c r="D15" s="633"/>
      <c r="E15" s="17">
        <v>1.05</v>
      </c>
      <c r="F15" s="18"/>
      <c r="G15" s="18">
        <v>2.5</v>
      </c>
      <c r="H15" s="18"/>
      <c r="I15" s="18"/>
      <c r="J15" s="17">
        <v>1</v>
      </c>
      <c r="K15" s="42">
        <f t="shared" si="0"/>
        <v>2.625</v>
      </c>
      <c r="L15">
        <f t="shared" si="1"/>
        <v>0</v>
      </c>
    </row>
    <row r="16" spans="1:23" ht="15.75" thickBot="1" x14ac:dyDescent="0.3">
      <c r="A16" s="634"/>
      <c r="B16" s="635"/>
      <c r="C16" s="635"/>
      <c r="D16" s="636"/>
      <c r="E16" s="20"/>
      <c r="F16" s="21"/>
      <c r="G16" s="21"/>
      <c r="H16" s="21"/>
      <c r="I16" s="21"/>
      <c r="J16" s="20"/>
      <c r="K16" s="42">
        <f t="shared" si="0"/>
        <v>0</v>
      </c>
    </row>
    <row r="17" spans="1:11" x14ac:dyDescent="0.25">
      <c r="A17" s="597" t="s">
        <v>39</v>
      </c>
      <c r="B17" s="598"/>
      <c r="C17" s="598"/>
      <c r="D17" s="598"/>
      <c r="E17" s="598"/>
      <c r="F17" s="597" t="s">
        <v>40</v>
      </c>
      <c r="G17" s="598"/>
      <c r="H17" s="598"/>
      <c r="I17" s="598"/>
      <c r="J17" s="599"/>
      <c r="K17" s="22"/>
    </row>
    <row r="18" spans="1:11" x14ac:dyDescent="0.25">
      <c r="A18" s="23"/>
      <c r="B18" s="32"/>
      <c r="C18" s="33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6"/>
      <c r="D19" s="33"/>
      <c r="E19" s="34"/>
      <c r="F19" s="24"/>
      <c r="G19" s="35"/>
      <c r="H19" s="35"/>
      <c r="I19" s="35"/>
      <c r="J19" s="25"/>
      <c r="K19" s="26"/>
    </row>
    <row r="20" spans="1:11" x14ac:dyDescent="0.25">
      <c r="A20" s="27"/>
      <c r="B20" s="35"/>
      <c r="C20" s="35"/>
      <c r="D20" s="36"/>
      <c r="E20" s="35"/>
      <c r="F20" s="27"/>
      <c r="G20" s="35"/>
      <c r="H20" s="35"/>
      <c r="I20" s="35"/>
      <c r="J20" s="25"/>
      <c r="K20" s="26"/>
    </row>
    <row r="21" spans="1:11" x14ac:dyDescent="0.25">
      <c r="A21" s="28"/>
      <c r="B21" s="36"/>
      <c r="C21" s="36"/>
      <c r="D21" s="36"/>
      <c r="E21" s="37"/>
      <c r="F21" s="27"/>
      <c r="G21" s="35"/>
      <c r="H21" s="35"/>
      <c r="I21" s="35"/>
      <c r="J21" s="25"/>
      <c r="K21" s="29"/>
    </row>
    <row r="22" spans="1:11" ht="15.75" thickBot="1" x14ac:dyDescent="0.3">
      <c r="A22" s="584"/>
      <c r="B22" s="585"/>
      <c r="C22" s="585"/>
      <c r="D22" s="585"/>
      <c r="E22" s="585"/>
      <c r="F22" s="586"/>
      <c r="G22" s="587"/>
      <c r="H22" s="587"/>
      <c r="I22" s="587"/>
      <c r="J22" s="588"/>
      <c r="K22" s="38"/>
    </row>
    <row r="23" spans="1:11" ht="15.75" thickBot="1" x14ac:dyDescent="0.3">
      <c r="A23" s="589" t="s">
        <v>41</v>
      </c>
      <c r="B23" s="590"/>
      <c r="C23" s="590"/>
      <c r="D23" s="590"/>
      <c r="E23" s="590"/>
      <c r="F23" s="591"/>
      <c r="G23" s="591"/>
      <c r="H23" s="591"/>
      <c r="I23" s="591"/>
      <c r="J23" s="592"/>
      <c r="K23" s="30">
        <f>ROUND(SUM(K8:K16),2)</f>
        <v>34.89</v>
      </c>
    </row>
    <row r="24" spans="1:11" x14ac:dyDescent="0.25">
      <c r="K24" s="31"/>
    </row>
  </sheetData>
  <mergeCells count="29">
    <mergeCell ref="D4:F4"/>
    <mergeCell ref="G4:I4"/>
    <mergeCell ref="J4:K4"/>
    <mergeCell ref="A1:K1"/>
    <mergeCell ref="A2:B2"/>
    <mergeCell ref="C2:K2"/>
    <mergeCell ref="A3:B3"/>
    <mergeCell ref="C3:K3"/>
    <mergeCell ref="M10:P10"/>
    <mergeCell ref="A11:D11"/>
    <mergeCell ref="A12:D12"/>
    <mergeCell ref="D5:F5"/>
    <mergeCell ref="G5:I5"/>
    <mergeCell ref="J5:K5"/>
    <mergeCell ref="A6:D7"/>
    <mergeCell ref="E6:J6"/>
    <mergeCell ref="K6:K7"/>
    <mergeCell ref="A13:D13"/>
    <mergeCell ref="A14:D14"/>
    <mergeCell ref="A8:K8"/>
    <mergeCell ref="A9:D9"/>
    <mergeCell ref="A10:D10"/>
    <mergeCell ref="A23:J23"/>
    <mergeCell ref="A15:D15"/>
    <mergeCell ref="A16:D16"/>
    <mergeCell ref="A17:E17"/>
    <mergeCell ref="F17:J17"/>
    <mergeCell ref="A22:E22"/>
    <mergeCell ref="F22:J22"/>
  </mergeCells>
  <pageMargins left="0.7" right="0.7" top="0.75" bottom="0.75" header="0.3" footer="0.3"/>
  <pageSetup paperSize="9" scale="6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C8A62-8C98-4294-9F5E-916BBC75527C}">
  <sheetPr codeName="Hoja64"/>
  <dimension ref="A1:W23"/>
  <sheetViews>
    <sheetView view="pageBreakPreview" topLeftCell="A5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5.4</v>
      </c>
      <c r="C5" s="46" t="str">
        <f>VLOOKUP(B5,'PRESUPUESTO OFICIAL'!$A$1:$F$61,3,TRUE)</f>
        <v>M2</v>
      </c>
      <c r="D5" s="613" t="str">
        <f>VLOOKUP(B5,'PRESUPUESTO OFICIAL'!A1:F61,2,TRUE)</f>
        <v>LIMPIEZA, RESTAURACIÓN Y PINTURA DE MARCOS METÁLICOS DE VENTANALES, INCLUYE PREPARACIÓN DE SUPERFICIES, TRATAMIENTO ANTICORROSIVO Y ACABADO FINAL.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612</v>
      </c>
      <c r="B9" s="594"/>
      <c r="C9" s="594"/>
      <c r="D9" s="594"/>
      <c r="E9" s="17">
        <v>0.17</v>
      </c>
      <c r="F9" s="18"/>
      <c r="G9" s="18">
        <v>3.3</v>
      </c>
      <c r="H9" s="18"/>
      <c r="I9" s="18"/>
      <c r="J9" s="40">
        <v>24</v>
      </c>
      <c r="K9" s="42">
        <f>+PRODUCT(E9:J9)</f>
        <v>13.464000000000002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 t="shared" ref="K10:K15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42">
        <f t="shared" si="0"/>
        <v>0</v>
      </c>
      <c r="L11">
        <f t="shared" ref="L11:L14" si="1">+J11*G11*F11</f>
        <v>0</v>
      </c>
    </row>
    <row r="12" spans="1:23" x14ac:dyDescent="0.25">
      <c r="A12" s="593"/>
      <c r="B12" s="594"/>
      <c r="C12" s="594"/>
      <c r="D12" s="594"/>
      <c r="E12" s="17"/>
      <c r="F12" s="18"/>
      <c r="G12" s="18"/>
      <c r="H12" s="18"/>
      <c r="I12" s="18"/>
      <c r="J12" s="17"/>
      <c r="K12" s="42">
        <f t="shared" si="0"/>
        <v>0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x14ac:dyDescent="0.25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13.46</v>
      </c>
    </row>
    <row r="23" spans="1:11" x14ac:dyDescent="0.25">
      <c r="K23" s="31"/>
    </row>
  </sheetData>
  <mergeCells count="28">
    <mergeCell ref="D4:F4"/>
    <mergeCell ref="G4:I4"/>
    <mergeCell ref="J4:K4"/>
    <mergeCell ref="A1:K1"/>
    <mergeCell ref="A2:B2"/>
    <mergeCell ref="C2:K2"/>
    <mergeCell ref="A3:B3"/>
    <mergeCell ref="C3:K3"/>
    <mergeCell ref="M10:P10"/>
    <mergeCell ref="D5:F5"/>
    <mergeCell ref="G5:I5"/>
    <mergeCell ref="J5:K5"/>
    <mergeCell ref="A6:D7"/>
    <mergeCell ref="E6:J6"/>
    <mergeCell ref="K6:K7"/>
    <mergeCell ref="A11:D11"/>
    <mergeCell ref="A12:D12"/>
    <mergeCell ref="A8:K8"/>
    <mergeCell ref="A9:D9"/>
    <mergeCell ref="A10:D10"/>
    <mergeCell ref="A22:J22"/>
    <mergeCell ref="A13:D13"/>
    <mergeCell ref="A14:D14"/>
    <mergeCell ref="A15:D15"/>
    <mergeCell ref="A16:E16"/>
    <mergeCell ref="F16:J16"/>
    <mergeCell ref="A21:E21"/>
    <mergeCell ref="F21:J21"/>
  </mergeCells>
  <pageMargins left="0.7" right="0.7" top="0.75" bottom="0.75" header="0.3" footer="0.3"/>
  <pageSetup paperSize="9" scale="6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AC008-4431-4D8E-AB67-3ACEC241C176}">
  <sheetPr codeName="Hoja65"/>
  <dimension ref="A1:W23"/>
  <sheetViews>
    <sheetView view="pageBreakPreview" topLeftCell="A4" zoomScale="85" zoomScaleNormal="100" zoomScaleSheetLayoutView="85" workbookViewId="0">
      <selection activeCell="J11" sqref="J11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6.1</v>
      </c>
      <c r="C5" s="46" t="str">
        <f>VLOOKUP(B5,'PRESUPUESTO OFICIAL'!$A$1:$F$61,3,TRUE)</f>
        <v>M3</v>
      </c>
      <c r="D5" s="613" t="str">
        <f>VLOOKUP(B5,'PRESUPUESTO OFICIAL'!A1:F61,2,TRUE)</f>
        <v>SUMINISTRO, TRANSPORTE E INSTALACIÓN DE MUROS EN CONCRETO F'C 28 MPA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617</v>
      </c>
      <c r="B9" s="594"/>
      <c r="C9" s="594"/>
      <c r="D9" s="594"/>
      <c r="E9" s="17">
        <f>9-0.3</f>
        <v>8.6999999999999993</v>
      </c>
      <c r="F9" s="18"/>
      <c r="G9" s="18">
        <v>1.35</v>
      </c>
      <c r="H9" s="18"/>
      <c r="I9" s="18"/>
      <c r="J9" s="40">
        <v>1.1000000000000001</v>
      </c>
      <c r="K9" s="42">
        <f>+PRODUCT(E9:J9)</f>
        <v>12.919499999999999</v>
      </c>
    </row>
    <row r="10" spans="1:23" x14ac:dyDescent="0.25">
      <c r="A10" s="603" t="s">
        <v>618</v>
      </c>
      <c r="B10" s="604"/>
      <c r="C10" s="604"/>
      <c r="D10" s="604"/>
      <c r="E10" s="40">
        <v>7.8</v>
      </c>
      <c r="F10" s="41"/>
      <c r="G10" s="41">
        <v>1.35</v>
      </c>
      <c r="H10" s="41"/>
      <c r="I10" s="41"/>
      <c r="J10" s="40">
        <v>1.1000000000000001</v>
      </c>
      <c r="K10" s="42">
        <f t="shared" ref="K10:K15" si="0">+PRODUCT(E10:J10)</f>
        <v>11.583000000000002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">
        <v>619</v>
      </c>
      <c r="B11" s="594"/>
      <c r="C11" s="594"/>
      <c r="D11" s="594"/>
      <c r="E11" s="17">
        <v>4.1500000000000004</v>
      </c>
      <c r="F11" s="18"/>
      <c r="G11" s="18">
        <v>1.35</v>
      </c>
      <c r="H11" s="18"/>
      <c r="I11" s="18"/>
      <c r="J11" s="17">
        <v>2.1</v>
      </c>
      <c r="K11" s="42">
        <f t="shared" si="0"/>
        <v>11.765250000000002</v>
      </c>
    </row>
    <row r="12" spans="1:23" x14ac:dyDescent="0.25">
      <c r="A12" s="593" t="s">
        <v>620</v>
      </c>
      <c r="B12" s="594"/>
      <c r="C12" s="594"/>
      <c r="D12" s="594"/>
      <c r="E12" s="17"/>
      <c r="F12" s="18"/>
      <c r="G12" s="18"/>
      <c r="H12" s="18">
        <f>+((6.6*0.5)/2)+(1.51*0.5)</f>
        <v>2.4049999999999998</v>
      </c>
      <c r="I12" s="18"/>
      <c r="J12" s="17">
        <v>1.1000000000000001</v>
      </c>
      <c r="K12" s="42">
        <f t="shared" si="0"/>
        <v>2.6455000000000002</v>
      </c>
    </row>
    <row r="13" spans="1:23" x14ac:dyDescent="0.25">
      <c r="A13" s="593" t="s">
        <v>621</v>
      </c>
      <c r="B13" s="594"/>
      <c r="C13" s="594"/>
      <c r="D13" s="594"/>
      <c r="E13" s="17"/>
      <c r="F13" s="18"/>
      <c r="G13" s="18"/>
      <c r="H13">
        <f>+(0.85*6.6)/2</f>
        <v>2.8049999999999997</v>
      </c>
      <c r="I13" s="18"/>
      <c r="J13" s="17">
        <v>1.1000000000000001</v>
      </c>
      <c r="K13" s="42">
        <f t="shared" si="0"/>
        <v>3.0855000000000001</v>
      </c>
    </row>
    <row r="14" spans="1:23" x14ac:dyDescent="0.25">
      <c r="A14" s="593" t="s">
        <v>622</v>
      </c>
      <c r="B14" s="594"/>
      <c r="C14" s="594"/>
      <c r="D14" s="594"/>
      <c r="E14" s="17">
        <v>1.2</v>
      </c>
      <c r="F14" s="18"/>
      <c r="G14" s="18">
        <v>1.35</v>
      </c>
      <c r="H14" s="18"/>
      <c r="I14" s="18"/>
      <c r="J14" s="17">
        <v>1.1000000000000001</v>
      </c>
      <c r="K14" s="42">
        <f t="shared" si="0"/>
        <v>1.7820000000000003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43.78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CBC3D-ECE4-4F94-845D-3759CC6A5721}">
  <sheetPr codeName="Hoja76"/>
  <dimension ref="A1:W23"/>
  <sheetViews>
    <sheetView view="pageBreakPreview" topLeftCell="A4" zoomScale="85" zoomScaleNormal="100" zoomScaleSheetLayoutView="85" workbookViewId="0">
      <selection activeCell="J13" sqref="J13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6.2</v>
      </c>
      <c r="C5" s="46" t="str">
        <f>VLOOKUP(B5,'PRESUPUESTO OFICIAL'!$A$1:$F$61,3,TRUE)</f>
        <v>M2</v>
      </c>
      <c r="D5" s="613" t="str">
        <f>VLOOKUP(B5,'PRESUPUESTO OFICIAL'!A1:F61,2,TRUE)</f>
        <v>PERFIL METÁLICO C 100X50X2.0 MM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623</v>
      </c>
      <c r="B9" s="594"/>
      <c r="C9" s="594"/>
      <c r="D9" s="594"/>
      <c r="E9" s="17"/>
      <c r="F9" s="18">
        <f>6.6+1.5</f>
        <v>8.1</v>
      </c>
      <c r="G9" s="18"/>
      <c r="H9" s="18"/>
      <c r="I9" s="18"/>
      <c r="J9" s="40">
        <v>9.1</v>
      </c>
      <c r="K9" s="42">
        <f>+PRODUCT(E9:J9)</f>
        <v>73.709999999999994</v>
      </c>
    </row>
    <row r="10" spans="1:23" x14ac:dyDescent="0.25">
      <c r="A10" s="603" t="str">
        <f>+'2,3'!A10</f>
        <v>Escaleras tarima</v>
      </c>
      <c r="B10" s="604"/>
      <c r="C10" s="604"/>
      <c r="D10" s="604"/>
      <c r="E10" s="40"/>
      <c r="F10" s="41"/>
      <c r="G10" s="41"/>
      <c r="H10" s="41"/>
      <c r="I10" s="41"/>
      <c r="J10" s="40"/>
      <c r="K10" s="42">
        <f t="shared" ref="K10:K15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603" t="str">
        <f>+'2,3'!A11</f>
        <v>Sala de sonido</v>
      </c>
      <c r="B11" s="604"/>
      <c r="C11" s="604"/>
      <c r="D11" s="604"/>
      <c r="E11" s="17"/>
      <c r="F11" s="18">
        <f>+'2,3'!E11</f>
        <v>2.8</v>
      </c>
      <c r="G11" s="18"/>
      <c r="H11" s="18"/>
      <c r="I11" s="18"/>
      <c r="J11" s="17">
        <v>8.1</v>
      </c>
      <c r="K11" s="42">
        <f t="shared" si="0"/>
        <v>22.679999999999996</v>
      </c>
      <c r="L11">
        <f t="shared" ref="L11:L14" si="1">+J11*G11*F11</f>
        <v>0</v>
      </c>
    </row>
    <row r="12" spans="1:23" x14ac:dyDescent="0.25">
      <c r="A12" s="603" t="str">
        <f>+'2,3'!A12</f>
        <v>Almacén</v>
      </c>
      <c r="B12" s="604"/>
      <c r="C12" s="604"/>
      <c r="D12" s="604"/>
      <c r="E12" s="17"/>
      <c r="F12" s="18">
        <f>+'2,3'!E12</f>
        <v>2.7</v>
      </c>
      <c r="G12" s="18"/>
      <c r="H12" s="18"/>
      <c r="I12" s="18"/>
      <c r="J12" s="17">
        <v>5.0999999999999996</v>
      </c>
      <c r="K12" s="42">
        <f t="shared" si="0"/>
        <v>13.77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110.16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088E4-0D02-4401-900E-2A0569E1E960}">
  <sheetPr codeName="Hoja77"/>
  <dimension ref="A1:W23"/>
  <sheetViews>
    <sheetView view="pageBreakPreview" topLeftCell="A5" zoomScale="85" zoomScaleNormal="100" zoomScaleSheetLayoutView="85" workbookViewId="0">
      <selection activeCell="H10" sqref="H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6.3</v>
      </c>
      <c r="C5" s="46" t="str">
        <f>VLOOKUP(B5,'PRESUPUESTO OFICIAL'!$A$1:$F$61,3,TRUE)</f>
        <v>M2</v>
      </c>
      <c r="D5" s="613" t="str">
        <f>VLOOKUP(B5,'PRESUPUESTO OFICIAL'!A1:F61,2,TRUE)</f>
        <v>PLACA EN METALDECK DE 3" CAL. 22, CONCRETO DE 20.7 MPA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tr">
        <f>+'2,3'!A9</f>
        <v>Área tarima</v>
      </c>
      <c r="B9" s="594"/>
      <c r="C9" s="594"/>
      <c r="D9" s="594"/>
      <c r="E9" s="17">
        <f>+'2,3'!E9</f>
        <v>9</v>
      </c>
      <c r="F9" s="17">
        <f>+'2,3'!F9</f>
        <v>4.1500000000000004</v>
      </c>
      <c r="G9" s="17"/>
      <c r="H9" s="17"/>
      <c r="I9" s="18"/>
      <c r="J9" s="40">
        <v>1.2</v>
      </c>
      <c r="K9" s="42">
        <f>+PRODUCT(E9:J9)</f>
        <v>44.82</v>
      </c>
    </row>
    <row r="10" spans="1:23" x14ac:dyDescent="0.25">
      <c r="A10" s="593" t="str">
        <f>+'2,3'!A10</f>
        <v>Escaleras tarima</v>
      </c>
      <c r="B10" s="594"/>
      <c r="C10" s="594"/>
      <c r="D10" s="594"/>
      <c r="E10" s="17">
        <f>+'2,3'!E10</f>
        <v>9</v>
      </c>
      <c r="F10" s="17"/>
      <c r="G10" s="17">
        <f>+'2,3'!G10</f>
        <v>1.25</v>
      </c>
      <c r="H10" s="17">
        <f>+'2,3'!H10</f>
        <v>0</v>
      </c>
      <c r="I10" s="41"/>
      <c r="J10" s="40"/>
      <c r="K10" s="42">
        <f t="shared" ref="K10:K12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tr">
        <f>+'2,3'!A11</f>
        <v>Sala de sonido</v>
      </c>
      <c r="B11" s="594"/>
      <c r="C11" s="594"/>
      <c r="D11" s="594"/>
      <c r="E11" s="17">
        <f>+'2,3'!E11</f>
        <v>2.8</v>
      </c>
      <c r="F11" s="17">
        <f>+'2,3'!F11</f>
        <v>3.9</v>
      </c>
      <c r="G11" s="17"/>
      <c r="H11" s="17"/>
      <c r="I11" s="18"/>
      <c r="J11" s="40">
        <v>1.2</v>
      </c>
      <c r="K11" s="42">
        <f t="shared" si="0"/>
        <v>13.103999999999999</v>
      </c>
      <c r="L11">
        <f t="shared" ref="L11:L14" si="1">+J11*G11*F11</f>
        <v>0</v>
      </c>
    </row>
    <row r="12" spans="1:23" x14ac:dyDescent="0.25">
      <c r="A12" s="593" t="str">
        <f>+'2,3'!A12</f>
        <v>Almacén</v>
      </c>
      <c r="B12" s="594"/>
      <c r="C12" s="594"/>
      <c r="D12" s="594"/>
      <c r="E12" s="17">
        <f>+'2,3'!E12</f>
        <v>2.7</v>
      </c>
      <c r="F12" s="17">
        <f>+'2,3'!F12</f>
        <v>2.35</v>
      </c>
      <c r="G12" s="17"/>
      <c r="H12" s="17"/>
      <c r="I12" s="18"/>
      <c r="J12" s="40">
        <v>1.2</v>
      </c>
      <c r="K12" s="42">
        <f t="shared" si="0"/>
        <v>7.6140000000000008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ref="K13:K15" si="2">+PRODUCT(E13:J13)</f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2"/>
        <v>0</v>
      </c>
      <c r="L14">
        <f t="shared" si="1"/>
        <v>0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2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65.540000000000006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437B8-A8FE-4219-9CBB-4F9D88FCFDE9}">
  <dimension ref="A1:W23"/>
  <sheetViews>
    <sheetView view="pageBreakPreview" topLeftCell="A5" zoomScale="85" zoomScaleNormal="100" zoomScaleSheetLayoutView="85" workbookViewId="0">
      <selection activeCell="K12" sqref="K12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6.4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INSTALACION CERÁMICA DE PISO TIPO NACIONAL. ALFA O SIMILAR. (INCLUYE MORTERO DE NIVELACIÓN Y DILATACIÓN EN PVC)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/>
      <c r="B9" s="594"/>
      <c r="C9" s="594"/>
      <c r="D9" s="594"/>
      <c r="E9" s="17"/>
      <c r="F9" s="17"/>
      <c r="G9" s="17"/>
      <c r="H9" s="17"/>
      <c r="I9" s="18"/>
      <c r="J9" s="40"/>
      <c r="K9" s="42">
        <f>+PRODUCT(E9:J9)</f>
        <v>0</v>
      </c>
    </row>
    <row r="10" spans="1:23" x14ac:dyDescent="0.25">
      <c r="A10" s="593"/>
      <c r="B10" s="594"/>
      <c r="C10" s="594"/>
      <c r="D10" s="594"/>
      <c r="E10" s="17"/>
      <c r="F10" s="17"/>
      <c r="G10" s="17"/>
      <c r="H10" s="17"/>
      <c r="I10" s="41"/>
      <c r="J10" s="40"/>
      <c r="K10" s="42">
        <f t="shared" ref="K10:K15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tr">
        <f>+'2,3'!A11</f>
        <v>Sala de sonido</v>
      </c>
      <c r="B11" s="594"/>
      <c r="C11" s="594"/>
      <c r="D11" s="594"/>
      <c r="E11" s="17">
        <f>+'2,3'!E11</f>
        <v>2.8</v>
      </c>
      <c r="F11" s="17">
        <f>+'2,3'!F11</f>
        <v>3.9</v>
      </c>
      <c r="G11" s="17"/>
      <c r="H11" s="17"/>
      <c r="I11" s="18"/>
      <c r="J11" s="40">
        <v>1.2</v>
      </c>
      <c r="K11" s="42">
        <f>+PRODUCT(E11:J11)</f>
        <v>13.103999999999999</v>
      </c>
      <c r="L11">
        <f t="shared" ref="L11:L14" si="1">+J11*G11*F11</f>
        <v>0</v>
      </c>
    </row>
    <row r="12" spans="1:23" x14ac:dyDescent="0.25">
      <c r="A12" s="593" t="str">
        <f>+'2,3'!A12</f>
        <v>Almacén</v>
      </c>
      <c r="B12" s="594"/>
      <c r="C12" s="594"/>
      <c r="D12" s="594"/>
      <c r="E12" s="17">
        <f>+'2,3'!E12</f>
        <v>2.7</v>
      </c>
      <c r="F12" s="17">
        <f>+'2,3'!F12</f>
        <v>2.35</v>
      </c>
      <c r="G12" s="17"/>
      <c r="H12" s="17"/>
      <c r="I12" s="18"/>
      <c r="J12" s="40">
        <v>1.2</v>
      </c>
      <c r="K12" s="42">
        <f t="shared" si="0"/>
        <v>7.6140000000000008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20.72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2DF15-B2C6-4627-9102-652D2B420ABB}">
  <sheetPr codeName="Hoja78"/>
  <dimension ref="A1:W23"/>
  <sheetViews>
    <sheetView view="pageBreakPreview" topLeftCell="A5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6.5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INSTALACIÓN DE CINTA-ANTIDESLIZANTE COLOR NEGRA 48MM, PARA PISOS, ESCALAS, RAMPAS Y ACCESOS INCLUYE ( TODOS LOS ACCESORIOS PARA SU CORRECTA INSTALACION,SEGÚN DISEÑO)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627</v>
      </c>
      <c r="B9" s="594"/>
      <c r="C9" s="594"/>
      <c r="D9" s="594"/>
      <c r="E9" s="17">
        <v>1</v>
      </c>
      <c r="F9" s="18"/>
      <c r="G9" s="18"/>
      <c r="H9" s="18"/>
      <c r="I9" s="18"/>
      <c r="J9" s="40">
        <f>(16/0.2)*1.1</f>
        <v>88</v>
      </c>
      <c r="K9" s="42">
        <f>+PRODUCT(E9:J9)</f>
        <v>88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 t="shared" ref="K10:K15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42">
        <f t="shared" si="0"/>
        <v>0</v>
      </c>
      <c r="L11">
        <f t="shared" ref="L11:L14" si="1">+J11*G11*F11</f>
        <v>0</v>
      </c>
    </row>
    <row r="12" spans="1:23" x14ac:dyDescent="0.25">
      <c r="A12" s="593"/>
      <c r="B12" s="594"/>
      <c r="C12" s="594"/>
      <c r="D12" s="594"/>
      <c r="E12" s="17"/>
      <c r="F12" s="18"/>
      <c r="G12" s="18"/>
      <c r="H12" s="18"/>
      <c r="I12" s="18"/>
      <c r="J12" s="17"/>
      <c r="K12" s="42">
        <f t="shared" si="0"/>
        <v>0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88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AD58-1C6F-4B23-B7B3-EA40E0701EC8}">
  <sheetPr codeName="Hoja79"/>
  <dimension ref="A1:W23"/>
  <sheetViews>
    <sheetView view="pageBreakPreview" topLeftCell="A3" zoomScale="85" zoomScaleNormal="100" zoomScaleSheetLayoutView="85" workbookViewId="0">
      <selection activeCell="J9" sqref="J9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6.6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INSTALACION PISOS EN TABLILLA DE ZAPAN Y  VIGUETA DE CHANUL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591</v>
      </c>
      <c r="B9" s="594"/>
      <c r="C9" s="594"/>
      <c r="D9" s="594"/>
      <c r="E9" s="17"/>
      <c r="F9" s="18"/>
      <c r="G9" s="18"/>
      <c r="H9" s="18">
        <f>+(7.8+8.12)/(2*4.54)</f>
        <v>1.7533039647577091</v>
      </c>
      <c r="I9" s="18"/>
      <c r="J9" s="40">
        <v>1.2</v>
      </c>
      <c r="K9" s="42">
        <f>+PRODUCT(E9:J9)</f>
        <v>2.1039647577092508</v>
      </c>
    </row>
    <row r="10" spans="1:23" x14ac:dyDescent="0.25">
      <c r="A10" s="603" t="s">
        <v>624</v>
      </c>
      <c r="B10" s="604"/>
      <c r="C10" s="604"/>
      <c r="D10" s="604"/>
      <c r="E10" s="40"/>
      <c r="F10" s="41"/>
      <c r="G10" s="41"/>
      <c r="H10" s="41">
        <f>8.12*1.2</f>
        <v>9.743999999999998</v>
      </c>
      <c r="I10" s="41"/>
      <c r="J10" s="40">
        <v>2.2000000000000002</v>
      </c>
      <c r="K10" s="42">
        <f t="shared" ref="K10:K15" si="0">+PRODUCT(E10:J10)</f>
        <v>21.436799999999998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42">
        <f t="shared" si="0"/>
        <v>0</v>
      </c>
      <c r="L11">
        <f t="shared" ref="L11:L14" si="1">+J11*G11*F11</f>
        <v>0</v>
      </c>
    </row>
    <row r="12" spans="1:23" x14ac:dyDescent="0.25">
      <c r="A12" s="593"/>
      <c r="B12" s="594"/>
      <c r="C12" s="594"/>
      <c r="D12" s="594"/>
      <c r="E12" s="17"/>
      <c r="F12" s="18"/>
      <c r="G12" s="18"/>
      <c r="H12" s="18"/>
      <c r="I12" s="18"/>
      <c r="J12" s="17"/>
      <c r="K12" s="42">
        <f t="shared" si="0"/>
        <v>0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23.54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D40C-8EF7-4B17-AAAB-F8870AF4E16A}">
  <sheetPr codeName="Hoja80"/>
  <dimension ref="A1:W23"/>
  <sheetViews>
    <sheetView view="pageBreakPreview" topLeftCell="C1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6.6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INSTALACION PISOS EN TABLILLA DE ZAPAN Y  VIGUETA DE CHANUL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625</v>
      </c>
      <c r="B9" s="594"/>
      <c r="C9" s="594"/>
      <c r="D9" s="594"/>
      <c r="E9" s="17">
        <v>1.52</v>
      </c>
      <c r="F9" s="18"/>
      <c r="G9" s="18">
        <v>1.25</v>
      </c>
      <c r="H9" s="18"/>
      <c r="I9" s="18"/>
      <c r="J9" s="40">
        <v>1.3</v>
      </c>
      <c r="K9" s="42">
        <f>+PRODUCT(E9:J9)</f>
        <v>2.4699999999999998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 t="shared" ref="K10:K15" si="0">+PRODUCT(E10:J10)</f>
        <v>0</v>
      </c>
      <c r="L10">
        <f>+J10*G10*F10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42">
        <f t="shared" si="0"/>
        <v>0</v>
      </c>
      <c r="L11">
        <f t="shared" ref="L11:L14" si="1">+J11*G11*F11</f>
        <v>0</v>
      </c>
    </row>
    <row r="12" spans="1:23" x14ac:dyDescent="0.25">
      <c r="A12" s="593"/>
      <c r="B12" s="594"/>
      <c r="C12" s="594"/>
      <c r="D12" s="594"/>
      <c r="E12" s="17"/>
      <c r="F12" s="18"/>
      <c r="G12" s="18"/>
      <c r="H12" s="18"/>
      <c r="I12" s="18"/>
      <c r="J12" s="17"/>
      <c r="K12" s="42">
        <f t="shared" si="0"/>
        <v>0</v>
      </c>
      <c r="L12">
        <f t="shared" si="1"/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  <c r="L13">
        <f t="shared" si="1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  <c r="L14">
        <f t="shared" si="1"/>
        <v>0</v>
      </c>
    </row>
    <row r="15" spans="1:23" ht="15.75" thickBot="1" x14ac:dyDescent="0.3">
      <c r="A15" s="595"/>
      <c r="B15" s="596"/>
      <c r="C15" s="596"/>
      <c r="D15" s="596"/>
      <c r="E15" s="20"/>
      <c r="F15" s="21"/>
      <c r="G15" s="21"/>
      <c r="H15" s="21"/>
      <c r="I15" s="21"/>
      <c r="J15" s="20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ROUND(SUM(K9:K16),2)</f>
        <v>2.4700000000000002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9E09-9C3D-4C73-AF15-93EC28622F35}">
  <sheetPr codeName="Hoja66"/>
  <dimension ref="A1:W28"/>
  <sheetViews>
    <sheetView view="pageBreakPreview" topLeftCell="A4" zoomScale="85" zoomScaleNormal="100" zoomScaleSheetLayoutView="85" workbookViewId="0">
      <selection activeCell="J12" sqref="J12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70.900000000000006" customHeight="1" thickBot="1" x14ac:dyDescent="0.3">
      <c r="A5" s="45"/>
      <c r="B5" s="43">
        <v>7.1</v>
      </c>
      <c r="C5" s="46" t="str">
        <f>VLOOKUP(B5,'PRESUPUESTO OFICIAL'!$A$1:$F$61,3,FALSE)</f>
        <v>UND</v>
      </c>
      <c r="D5" s="613" t="str">
        <f>VLOOKUP(B5,'PRESUPUESTO OFICIAL'!A1:F61,2,FALSE)</f>
        <v>SUMINISTRO, TRANSPORTE E INSTALACION PUERTA ENTAMBORADA EN LAMINA TRIPLEX OKUME - TIPO PIZANO OKUMÉ O SIMILAR. ANCHO: 0,76 A 1,10 M. ALTO: 1,80 A 2,40 M. HOJA LISA CON MARQUETE CAPACANTO OKUMÉ. ACABADO: TINTILLA, SELLADOR (MÍNIMO 6 MANOS) Y LACA SEGÚN DISEÑO. (INCLUYE BISAGRAS).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599</v>
      </c>
      <c r="B9" s="594"/>
      <c r="C9" s="594"/>
      <c r="D9" s="594"/>
      <c r="E9" s="17"/>
      <c r="F9" s="18"/>
      <c r="G9" s="18"/>
      <c r="H9" s="18"/>
      <c r="I9" s="18"/>
      <c r="J9" s="40">
        <v>2</v>
      </c>
      <c r="K9" s="42">
        <f>+J9</f>
        <v>2</v>
      </c>
    </row>
    <row r="10" spans="1:23" x14ac:dyDescent="0.25">
      <c r="A10" s="603" t="s">
        <v>594</v>
      </c>
      <c r="B10" s="604"/>
      <c r="C10" s="604"/>
      <c r="D10" s="604"/>
      <c r="E10" s="40"/>
      <c r="F10" s="41"/>
      <c r="G10" s="41"/>
      <c r="H10" s="41"/>
      <c r="I10" s="41"/>
      <c r="J10" s="40">
        <v>1</v>
      </c>
      <c r="K10" s="42">
        <f>+J10</f>
        <v>1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">
        <v>600</v>
      </c>
      <c r="B11" s="594"/>
      <c r="C11" s="594"/>
      <c r="D11" s="594"/>
      <c r="E11" s="17"/>
      <c r="F11" s="18"/>
      <c r="G11" s="18"/>
      <c r="H11" s="18"/>
      <c r="I11" s="18"/>
      <c r="J11" s="40">
        <v>1</v>
      </c>
      <c r="K11" s="42">
        <f>+J11</f>
        <v>1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8" si="0">+J12</f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42">
        <f t="shared" si="0"/>
        <v>0</v>
      </c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42">
        <f t="shared" si="0"/>
        <v>0</v>
      </c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42">
        <f t="shared" si="0"/>
        <v>0</v>
      </c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4</v>
      </c>
    </row>
    <row r="28" spans="1:11" x14ac:dyDescent="0.25">
      <c r="K28" s="31"/>
    </row>
  </sheetData>
  <mergeCells count="33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8:D18"/>
    <mergeCell ref="A8:K8"/>
    <mergeCell ref="A9:D9"/>
    <mergeCell ref="A10:D10"/>
    <mergeCell ref="M10:P10"/>
    <mergeCell ref="A11:D11"/>
    <mergeCell ref="A12:D12"/>
    <mergeCell ref="A13:D13"/>
    <mergeCell ref="A14:D14"/>
    <mergeCell ref="A15:D15"/>
    <mergeCell ref="A16:D16"/>
    <mergeCell ref="A17:D17"/>
    <mergeCell ref="A27:J27"/>
    <mergeCell ref="A19:D19"/>
    <mergeCell ref="A20:D20"/>
    <mergeCell ref="A21:E21"/>
    <mergeCell ref="F21:J21"/>
    <mergeCell ref="A26:E26"/>
    <mergeCell ref="F26:J26"/>
  </mergeCells>
  <pageMargins left="0.7" right="0.7" top="0.75" bottom="0.75" header="0.3" footer="0.3"/>
  <pageSetup paperSize="9" scale="6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410B-5A98-4F77-8212-8AC362E5BFDC}">
  <sheetPr codeName="Hoja67"/>
  <dimension ref="A1:K26"/>
  <sheetViews>
    <sheetView view="pageBreakPreview" topLeftCell="A4" zoomScale="85" zoomScaleNormal="100" zoomScaleSheetLayoutView="85" workbookViewId="0">
      <selection activeCell="K25" sqref="K25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42.75" customHeight="1" thickBot="1" x14ac:dyDescent="0.3">
      <c r="A5" s="45"/>
      <c r="B5" s="43">
        <v>7.2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INSTALACIÓN VIDRIO OPALIZADO 4MM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593" t="s">
        <v>605</v>
      </c>
      <c r="B9" s="594"/>
      <c r="C9" s="594"/>
      <c r="D9" s="594"/>
      <c r="E9" s="17">
        <v>2.5</v>
      </c>
      <c r="F9" s="18"/>
      <c r="G9" s="18">
        <v>0.56999999999999995</v>
      </c>
      <c r="H9" s="18"/>
      <c r="I9" s="18"/>
      <c r="J9" s="40">
        <v>1</v>
      </c>
      <c r="K9" s="42">
        <f>+PRODUCT(E9:J9)</f>
        <v>1.4249999999999998</v>
      </c>
    </row>
    <row r="10" spans="1:11" x14ac:dyDescent="0.25">
      <c r="A10" s="595" t="s">
        <v>615</v>
      </c>
      <c r="B10" s="596"/>
      <c r="C10" s="596"/>
      <c r="D10" s="596"/>
      <c r="E10" s="20">
        <v>0.45</v>
      </c>
      <c r="F10" s="21"/>
      <c r="G10" s="21">
        <v>2.1</v>
      </c>
      <c r="H10" s="21"/>
      <c r="I10" s="21"/>
      <c r="J10" s="20">
        <v>4</v>
      </c>
      <c r="K10" s="42">
        <f t="shared" ref="K10:K13" si="0">+PRODUCT(E10:J10)</f>
        <v>3.7800000000000002</v>
      </c>
    </row>
    <row r="11" spans="1:11" x14ac:dyDescent="0.25">
      <c r="A11" s="593"/>
      <c r="B11" s="594"/>
      <c r="C11" s="594"/>
      <c r="D11" s="594"/>
      <c r="E11" s="17">
        <v>1.1000000000000001</v>
      </c>
      <c r="F11" s="18"/>
      <c r="G11" s="18">
        <v>4.7</v>
      </c>
      <c r="H11" s="18"/>
      <c r="I11" s="18"/>
      <c r="J11" s="17">
        <v>2</v>
      </c>
      <c r="K11" s="42">
        <f t="shared" si="0"/>
        <v>10.340000000000002</v>
      </c>
    </row>
    <row r="12" spans="1:11" x14ac:dyDescent="0.25">
      <c r="A12" s="593" t="s">
        <v>595</v>
      </c>
      <c r="B12" s="594"/>
      <c r="C12" s="594"/>
      <c r="D12" s="594"/>
      <c r="E12" s="17">
        <v>1.8</v>
      </c>
      <c r="F12" s="18"/>
      <c r="G12" s="18">
        <v>2.2000000000000002</v>
      </c>
      <c r="H12" s="18"/>
      <c r="I12" s="18"/>
      <c r="J12" s="17">
        <v>3</v>
      </c>
      <c r="K12" s="42">
        <f t="shared" si="0"/>
        <v>11.88</v>
      </c>
    </row>
    <row r="13" spans="1:11" x14ac:dyDescent="0.25">
      <c r="A13" s="593"/>
      <c r="B13" s="594"/>
      <c r="C13" s="594"/>
      <c r="D13" s="594"/>
      <c r="E13" s="17">
        <v>4.0999999999999996</v>
      </c>
      <c r="F13" s="18"/>
      <c r="G13" s="18">
        <v>0.4</v>
      </c>
      <c r="H13" s="18"/>
      <c r="I13" s="18"/>
      <c r="J13" s="17">
        <v>4</v>
      </c>
      <c r="K13" s="42">
        <f t="shared" si="0"/>
        <v>6.56</v>
      </c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ref="K14:K16" si="1">+J14</f>
        <v>0</v>
      </c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1"/>
        <v>0</v>
      </c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42">
        <f t="shared" si="1"/>
        <v>0</v>
      </c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x14ac:dyDescent="0.25">
      <c r="A18" s="595"/>
      <c r="B18" s="596"/>
      <c r="C18" s="596"/>
      <c r="D18" s="596"/>
      <c r="E18" s="20"/>
      <c r="F18" s="21"/>
      <c r="G18" s="21"/>
      <c r="H18" s="21"/>
      <c r="I18" s="21"/>
      <c r="J18" s="20"/>
      <c r="K18" s="19"/>
    </row>
    <row r="19" spans="1:11" x14ac:dyDescent="0.25">
      <c r="A19" s="597" t="s">
        <v>39</v>
      </c>
      <c r="B19" s="598"/>
      <c r="C19" s="598"/>
      <c r="D19" s="598"/>
      <c r="E19" s="598"/>
      <c r="F19" s="597" t="s">
        <v>40</v>
      </c>
      <c r="G19" s="598"/>
      <c r="H19" s="598"/>
      <c r="I19" s="598"/>
      <c r="J19" s="599"/>
      <c r="K19" s="22"/>
    </row>
    <row r="20" spans="1:11" x14ac:dyDescent="0.25">
      <c r="A20" s="23"/>
      <c r="B20" s="32"/>
      <c r="C20" s="33"/>
      <c r="D20" s="33"/>
      <c r="E20" s="34"/>
      <c r="F20" s="24"/>
      <c r="G20" s="35"/>
      <c r="H20" s="35"/>
      <c r="I20" s="35"/>
      <c r="J20" s="25"/>
      <c r="K20" s="26"/>
    </row>
    <row r="21" spans="1:11" x14ac:dyDescent="0.25">
      <c r="A21" s="27"/>
      <c r="B21" s="35"/>
      <c r="C21" s="36"/>
      <c r="D21" s="33"/>
      <c r="E21" s="34"/>
      <c r="F21" s="24"/>
      <c r="G21" s="35"/>
      <c r="H21" s="35"/>
      <c r="I21" s="35"/>
      <c r="J21" s="25"/>
      <c r="K21" s="26"/>
    </row>
    <row r="22" spans="1:11" x14ac:dyDescent="0.25">
      <c r="A22" s="27"/>
      <c r="B22" s="35"/>
      <c r="C22" s="35"/>
      <c r="D22" s="36"/>
      <c r="E22" s="35"/>
      <c r="F22" s="27"/>
      <c r="G22" s="35"/>
      <c r="H22" s="35"/>
      <c r="I22" s="35"/>
      <c r="J22" s="25"/>
      <c r="K22" s="26"/>
    </row>
    <row r="23" spans="1:11" x14ac:dyDescent="0.25">
      <c r="A23" s="28"/>
      <c r="B23" s="36"/>
      <c r="C23" s="36"/>
      <c r="D23" s="36"/>
      <c r="E23" s="37"/>
      <c r="F23" s="27"/>
      <c r="G23" s="35"/>
      <c r="H23" s="35"/>
      <c r="I23" s="35"/>
      <c r="J23" s="25"/>
      <c r="K23" s="29"/>
    </row>
    <row r="24" spans="1:11" ht="15.75" thickBot="1" x14ac:dyDescent="0.3">
      <c r="A24" s="584"/>
      <c r="B24" s="585"/>
      <c r="C24" s="585"/>
      <c r="D24" s="585"/>
      <c r="E24" s="585"/>
      <c r="F24" s="586"/>
      <c r="G24" s="587"/>
      <c r="H24" s="587"/>
      <c r="I24" s="587"/>
      <c r="J24" s="588"/>
      <c r="K24" s="38"/>
    </row>
    <row r="25" spans="1:11" ht="15.75" thickBot="1" x14ac:dyDescent="0.3">
      <c r="A25" s="589" t="s">
        <v>41</v>
      </c>
      <c r="B25" s="590"/>
      <c r="C25" s="590"/>
      <c r="D25" s="590"/>
      <c r="E25" s="590"/>
      <c r="F25" s="591"/>
      <c r="G25" s="591"/>
      <c r="H25" s="591"/>
      <c r="I25" s="591"/>
      <c r="J25" s="592"/>
      <c r="K25" s="30">
        <f>ROUND(SUM(K8:K18),2)</f>
        <v>33.99</v>
      </c>
    </row>
    <row r="26" spans="1:11" x14ac:dyDescent="0.25">
      <c r="K26" s="31"/>
    </row>
  </sheetData>
  <mergeCells count="30">
    <mergeCell ref="D4:F4"/>
    <mergeCell ref="G4:I4"/>
    <mergeCell ref="J4:K4"/>
    <mergeCell ref="A1:K1"/>
    <mergeCell ref="A2:B2"/>
    <mergeCell ref="C2:K2"/>
    <mergeCell ref="A3:B3"/>
    <mergeCell ref="C3:K3"/>
    <mergeCell ref="A16:D16"/>
    <mergeCell ref="A8:K8"/>
    <mergeCell ref="A9:D9"/>
    <mergeCell ref="A10:D10"/>
    <mergeCell ref="D5:F5"/>
    <mergeCell ref="G5:I5"/>
    <mergeCell ref="J5:K5"/>
    <mergeCell ref="A6:D7"/>
    <mergeCell ref="E6:J6"/>
    <mergeCell ref="K6:K7"/>
    <mergeCell ref="A11:D11"/>
    <mergeCell ref="A12:D12"/>
    <mergeCell ref="A13:D13"/>
    <mergeCell ref="A14:D14"/>
    <mergeCell ref="A15:D15"/>
    <mergeCell ref="A25:J25"/>
    <mergeCell ref="A17:D17"/>
    <mergeCell ref="A18:D18"/>
    <mergeCell ref="A19:E19"/>
    <mergeCell ref="F19:J19"/>
    <mergeCell ref="A24:E24"/>
    <mergeCell ref="F24:J24"/>
  </mergeCells>
  <pageMargins left="0.7" right="0.7" top="0.75" bottom="0.75" header="0.3" footer="0.3"/>
  <pageSetup paperSize="9" scale="6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61E5F-5F4A-4A96-AB05-0B4EF8080F18}">
  <dimension ref="A1:K26"/>
  <sheetViews>
    <sheetView view="pageBreakPreview" topLeftCell="A3" zoomScale="85" zoomScaleNormal="100" zoomScaleSheetLayoutView="85" workbookViewId="0">
      <selection activeCell="J11" sqref="J11"/>
    </sheetView>
  </sheetViews>
  <sheetFormatPr baseColWidth="10" defaultColWidth="11.5703125" defaultRowHeight="15" x14ac:dyDescent="0.25"/>
  <sheetData>
    <row r="1" spans="1:11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1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11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11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11" ht="42.75" customHeight="1" thickBot="1" x14ac:dyDescent="0.3">
      <c r="A5" s="45"/>
      <c r="B5" s="43">
        <v>7.2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INSTALACIÓN VIDRIO OPALIZADO 4MM</v>
      </c>
      <c r="E5" s="614"/>
      <c r="F5" s="615"/>
      <c r="G5" s="605" t="s">
        <v>29</v>
      </c>
      <c r="H5" s="606"/>
      <c r="I5" s="607"/>
      <c r="J5" s="608"/>
      <c r="K5" s="609"/>
    </row>
    <row r="6" spans="1:11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11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11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11" x14ac:dyDescent="0.25">
      <c r="A9" s="593" t="str">
        <f>+'6.3'!A11</f>
        <v>Sala de sonido</v>
      </c>
      <c r="B9" s="594"/>
      <c r="C9" s="594"/>
      <c r="D9" s="594"/>
      <c r="E9" s="17">
        <f>+'6.3'!E11</f>
        <v>2.8</v>
      </c>
      <c r="F9" s="17">
        <f>+'6.3'!F11</f>
        <v>3.9</v>
      </c>
      <c r="G9" s="18"/>
      <c r="H9" s="18"/>
      <c r="I9" s="18"/>
      <c r="J9" s="40">
        <v>1.1000000000000001</v>
      </c>
      <c r="K9" s="42">
        <f>+PRODUCT(E9:J9)</f>
        <v>12.012</v>
      </c>
    </row>
    <row r="10" spans="1:11" ht="15" customHeight="1" x14ac:dyDescent="0.25">
      <c r="A10" s="593" t="str">
        <f>+'6.3'!A12</f>
        <v>Almacén</v>
      </c>
      <c r="B10" s="594"/>
      <c r="C10" s="594"/>
      <c r="D10" s="594"/>
      <c r="E10" s="17">
        <f>+'6.3'!E12</f>
        <v>2.7</v>
      </c>
      <c r="F10" s="17">
        <f>+'6.3'!F12</f>
        <v>2.35</v>
      </c>
      <c r="G10" s="21"/>
      <c r="H10" s="21"/>
      <c r="I10" s="21"/>
      <c r="J10" s="20">
        <v>1.1000000000000001</v>
      </c>
      <c r="K10" s="42">
        <f t="shared" ref="K10:K13" si="0">+PRODUCT(E10:J10)</f>
        <v>6.9795000000000016</v>
      </c>
    </row>
    <row r="11" spans="1:11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17"/>
      <c r="K11" s="42">
        <f t="shared" si="0"/>
        <v>0</v>
      </c>
    </row>
    <row r="12" spans="1:11" x14ac:dyDescent="0.25">
      <c r="A12" s="593"/>
      <c r="B12" s="594"/>
      <c r="C12" s="594"/>
      <c r="D12" s="594"/>
      <c r="E12" s="17"/>
      <c r="F12" s="18"/>
      <c r="G12" s="18"/>
      <c r="H12" s="18"/>
      <c r="I12" s="18"/>
      <c r="J12" s="17"/>
      <c r="K12" s="42">
        <f t="shared" si="0"/>
        <v>0</v>
      </c>
    </row>
    <row r="13" spans="1:11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11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ref="K14:K16" si="1">+J14</f>
        <v>0</v>
      </c>
    </row>
    <row r="15" spans="1:11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1"/>
        <v>0</v>
      </c>
    </row>
    <row r="16" spans="1:11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42">
        <f t="shared" si="1"/>
        <v>0</v>
      </c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19"/>
    </row>
    <row r="18" spans="1:11" ht="15.75" thickBot="1" x14ac:dyDescent="0.3">
      <c r="A18" s="595"/>
      <c r="B18" s="596"/>
      <c r="C18" s="596"/>
      <c r="D18" s="596"/>
      <c r="E18" s="20"/>
      <c r="F18" s="21"/>
      <c r="G18" s="21"/>
      <c r="H18" s="21"/>
      <c r="I18" s="21"/>
      <c r="J18" s="20"/>
      <c r="K18" s="19"/>
    </row>
    <row r="19" spans="1:11" x14ac:dyDescent="0.25">
      <c r="A19" s="597" t="s">
        <v>39</v>
      </c>
      <c r="B19" s="598"/>
      <c r="C19" s="598"/>
      <c r="D19" s="598"/>
      <c r="E19" s="598"/>
      <c r="F19" s="597" t="s">
        <v>40</v>
      </c>
      <c r="G19" s="598"/>
      <c r="H19" s="598"/>
      <c r="I19" s="598"/>
      <c r="J19" s="599"/>
      <c r="K19" s="22"/>
    </row>
    <row r="20" spans="1:11" x14ac:dyDescent="0.25">
      <c r="A20" s="23"/>
      <c r="B20" s="32"/>
      <c r="C20" s="33"/>
      <c r="D20" s="33"/>
      <c r="E20" s="34"/>
      <c r="F20" s="24"/>
      <c r="G20" s="35"/>
      <c r="H20" s="35"/>
      <c r="I20" s="35"/>
      <c r="J20" s="25"/>
      <c r="K20" s="26"/>
    </row>
    <row r="21" spans="1:11" x14ac:dyDescent="0.25">
      <c r="A21" s="27"/>
      <c r="B21" s="35"/>
      <c r="C21" s="36"/>
      <c r="D21" s="33"/>
      <c r="E21" s="34"/>
      <c r="F21" s="24"/>
      <c r="G21" s="35"/>
      <c r="H21" s="35"/>
      <c r="I21" s="35"/>
      <c r="J21" s="25"/>
      <c r="K21" s="26"/>
    </row>
    <row r="22" spans="1:11" x14ac:dyDescent="0.25">
      <c r="A22" s="27"/>
      <c r="B22" s="35"/>
      <c r="C22" s="35"/>
      <c r="D22" s="36"/>
      <c r="E22" s="35"/>
      <c r="F22" s="27"/>
      <c r="G22" s="35"/>
      <c r="H22" s="35"/>
      <c r="I22" s="35"/>
      <c r="J22" s="25"/>
      <c r="K22" s="26"/>
    </row>
    <row r="23" spans="1:11" x14ac:dyDescent="0.25">
      <c r="A23" s="28"/>
      <c r="B23" s="36"/>
      <c r="C23" s="36"/>
      <c r="D23" s="36"/>
      <c r="E23" s="37"/>
      <c r="F23" s="27"/>
      <c r="G23" s="35"/>
      <c r="H23" s="35"/>
      <c r="I23" s="35"/>
      <c r="J23" s="25"/>
      <c r="K23" s="29"/>
    </row>
    <row r="24" spans="1:11" ht="15.75" thickBot="1" x14ac:dyDescent="0.3">
      <c r="A24" s="584"/>
      <c r="B24" s="585"/>
      <c r="C24" s="585"/>
      <c r="D24" s="585"/>
      <c r="E24" s="585"/>
      <c r="F24" s="586"/>
      <c r="G24" s="587"/>
      <c r="H24" s="587"/>
      <c r="I24" s="587"/>
      <c r="J24" s="588"/>
      <c r="K24" s="38"/>
    </row>
    <row r="25" spans="1:11" ht="15.75" thickBot="1" x14ac:dyDescent="0.3">
      <c r="A25" s="589" t="s">
        <v>41</v>
      </c>
      <c r="B25" s="590"/>
      <c r="C25" s="590"/>
      <c r="D25" s="590"/>
      <c r="E25" s="590"/>
      <c r="F25" s="591"/>
      <c r="G25" s="591"/>
      <c r="H25" s="591"/>
      <c r="I25" s="591"/>
      <c r="J25" s="592"/>
      <c r="K25" s="30">
        <f>ROUND(SUM(K8:K18),2)</f>
        <v>18.989999999999998</v>
      </c>
    </row>
    <row r="26" spans="1:11" x14ac:dyDescent="0.25">
      <c r="K26" s="31"/>
    </row>
  </sheetData>
  <mergeCells count="30">
    <mergeCell ref="F19:J19"/>
    <mergeCell ref="A24:E24"/>
    <mergeCell ref="F24:J24"/>
    <mergeCell ref="A25:J25"/>
    <mergeCell ref="A14:D14"/>
    <mergeCell ref="A15:D15"/>
    <mergeCell ref="A16:D16"/>
    <mergeCell ref="A17:D17"/>
    <mergeCell ref="A18:D18"/>
    <mergeCell ref="A19:E19"/>
    <mergeCell ref="A13:D13"/>
    <mergeCell ref="D5:F5"/>
    <mergeCell ref="G5:I5"/>
    <mergeCell ref="J5:K5"/>
    <mergeCell ref="A6:D7"/>
    <mergeCell ref="E6:J6"/>
    <mergeCell ref="K6:K7"/>
    <mergeCell ref="A8:K8"/>
    <mergeCell ref="A9:D9"/>
    <mergeCell ref="A10:D10"/>
    <mergeCell ref="A11:D11"/>
    <mergeCell ref="A12:D12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CE9CB-58AB-4C79-850C-2C2B743A5CE0}">
  <sheetPr codeName="Hoja68"/>
  <dimension ref="A1:W28"/>
  <sheetViews>
    <sheetView view="pageBreakPreview" topLeftCell="D1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26.25" customHeight="1" thickBot="1" x14ac:dyDescent="0.3">
      <c r="A5" s="45"/>
      <c r="B5" s="43">
        <v>8.1</v>
      </c>
      <c r="C5" s="46" t="str">
        <f>VLOOKUP(B5,'PRESUPUESTO OFICIAL'!$A$1:$F$61,3,FALSE)</f>
        <v>UND</v>
      </c>
      <c r="D5" s="613" t="str">
        <f>VLOOKUP(B5,'PRESUPUESTO OFICIAL'!A1:F61,2,FALSE)</f>
        <v xml:space="preserve">SUMINISTRO, TRANSPORTE E INSTALACION TOMACORRIENTE DOBLE 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423</v>
      </c>
      <c r="B9" s="594"/>
      <c r="C9" s="594"/>
      <c r="D9" s="594"/>
      <c r="E9" s="17"/>
      <c r="F9" s="18"/>
      <c r="G9" s="18"/>
      <c r="H9" s="18"/>
      <c r="I9" s="18"/>
      <c r="J9" s="40">
        <v>8</v>
      </c>
      <c r="K9" s="42">
        <f>+J9</f>
        <v>8</v>
      </c>
    </row>
    <row r="10" spans="1:23" x14ac:dyDescent="0.25">
      <c r="A10" s="603" t="s">
        <v>601</v>
      </c>
      <c r="B10" s="604"/>
      <c r="C10" s="604"/>
      <c r="D10" s="604"/>
      <c r="E10" s="40"/>
      <c r="F10" s="41"/>
      <c r="G10" s="41"/>
      <c r="H10" s="41"/>
      <c r="I10" s="41"/>
      <c r="J10" s="40">
        <v>4</v>
      </c>
      <c r="K10" s="42">
        <f>+J10</f>
        <v>4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 t="s">
        <v>602</v>
      </c>
      <c r="B11" s="594"/>
      <c r="C11" s="594"/>
      <c r="D11" s="594"/>
      <c r="E11" s="17"/>
      <c r="F11" s="18"/>
      <c r="G11" s="18"/>
      <c r="H11" s="18"/>
      <c r="I11" s="18"/>
      <c r="J11" s="40">
        <v>3</v>
      </c>
      <c r="K11" s="42">
        <f>+J11</f>
        <v>3</v>
      </c>
    </row>
    <row r="12" spans="1:23" x14ac:dyDescent="0.25">
      <c r="A12" s="595" t="s">
        <v>598</v>
      </c>
      <c r="B12" s="596"/>
      <c r="C12" s="596"/>
      <c r="D12" s="596"/>
      <c r="E12" s="20"/>
      <c r="F12" s="21"/>
      <c r="G12" s="21"/>
      <c r="H12" s="21"/>
      <c r="I12" s="21"/>
      <c r="J12" s="20">
        <v>10</v>
      </c>
      <c r="K12" s="42">
        <f t="shared" ref="K12:K18" si="0">+J12</f>
        <v>10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42">
        <f t="shared" si="0"/>
        <v>0</v>
      </c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42">
        <f t="shared" si="0"/>
        <v>0</v>
      </c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42">
        <f t="shared" si="0"/>
        <v>0</v>
      </c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25</v>
      </c>
    </row>
    <row r="28" spans="1:11" x14ac:dyDescent="0.25">
      <c r="K28" s="31"/>
    </row>
  </sheetData>
  <mergeCells count="33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8:D18"/>
    <mergeCell ref="A8:K8"/>
    <mergeCell ref="A9:D9"/>
    <mergeCell ref="A10:D10"/>
    <mergeCell ref="M10:P10"/>
    <mergeCell ref="A11:D11"/>
    <mergeCell ref="A12:D12"/>
    <mergeCell ref="A13:D13"/>
    <mergeCell ref="A14:D14"/>
    <mergeCell ref="A15:D15"/>
    <mergeCell ref="A16:D16"/>
    <mergeCell ref="A17:D17"/>
    <mergeCell ref="A27:J27"/>
    <mergeCell ref="A19:D19"/>
    <mergeCell ref="A20:D20"/>
    <mergeCell ref="A21:E21"/>
    <mergeCell ref="F21:J21"/>
    <mergeCell ref="A26:E26"/>
    <mergeCell ref="F26:J26"/>
  </mergeCells>
  <pageMargins left="0.7" right="0.7" top="0.75" bottom="0.75" header="0.3" footer="0.3"/>
  <pageSetup paperSize="9" scale="6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53FD8-3AA7-49AB-ABDB-5EA51B42ADEE}">
  <sheetPr codeName="Hoja69"/>
  <dimension ref="A1:W28"/>
  <sheetViews>
    <sheetView view="pageBreakPreview" topLeftCell="A4" zoomScale="85" zoomScaleNormal="100" zoomScaleSheetLayoutView="85" workbookViewId="0">
      <selection activeCell="J13" sqref="J13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35.25" customHeight="1" thickBot="1" x14ac:dyDescent="0.3">
      <c r="A5" s="45"/>
      <c r="B5" s="43">
        <v>8.1999999999999993</v>
      </c>
      <c r="C5" s="46" t="str">
        <f>VLOOKUP(B5,'PRESUPUESTO OFICIAL'!$A$1:$F$61,3,FALSE)</f>
        <v>UND</v>
      </c>
      <c r="D5" s="613" t="str">
        <f>VLOOKUP(B5,'PRESUPUESTO OFICIAL'!A1:F61,2,FALSE)</f>
        <v>SUMINISTRO E INSTALACION BALA LED 18W SOBREPONER, 120 V LUZ BLANCA NEUTRA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606</v>
      </c>
      <c r="B9" s="594"/>
      <c r="C9" s="594"/>
      <c r="D9" s="594"/>
      <c r="E9" s="17"/>
      <c r="F9" s="18"/>
      <c r="G9" s="18"/>
      <c r="H9" s="18"/>
      <c r="I9" s="18"/>
      <c r="J9" s="40">
        <v>1</v>
      </c>
      <c r="K9" s="42">
        <f>+J9</f>
        <v>1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>+J10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8" si="0">+J12</f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42">
        <f t="shared" si="0"/>
        <v>0</v>
      </c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42">
        <f t="shared" si="0"/>
        <v>0</v>
      </c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42">
        <f t="shared" si="0"/>
        <v>0</v>
      </c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1</v>
      </c>
    </row>
    <row r="28" spans="1:11" x14ac:dyDescent="0.25">
      <c r="K28" s="31"/>
    </row>
  </sheetData>
  <mergeCells count="33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8:D18"/>
    <mergeCell ref="A8:K8"/>
    <mergeCell ref="A9:D9"/>
    <mergeCell ref="A10:D10"/>
    <mergeCell ref="M10:P10"/>
    <mergeCell ref="A11:D11"/>
    <mergeCell ref="A12:D12"/>
    <mergeCell ref="A13:D13"/>
    <mergeCell ref="A14:D14"/>
    <mergeCell ref="A15:D15"/>
    <mergeCell ref="A16:D16"/>
    <mergeCell ref="A17:D17"/>
    <mergeCell ref="A27:J27"/>
    <mergeCell ref="A19:D19"/>
    <mergeCell ref="A20:D20"/>
    <mergeCell ref="A21:E21"/>
    <mergeCell ref="F21:J21"/>
    <mergeCell ref="A26:E26"/>
    <mergeCell ref="F26:J26"/>
  </mergeCells>
  <pageMargins left="0.7" right="0.7" top="0.75" bottom="0.75" header="0.3" footer="0.3"/>
  <pageSetup paperSize="9" scale="6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B17E-FD35-466E-89E6-6430C62BC160}">
  <sheetPr codeName="Hoja70"/>
  <dimension ref="A1:W21"/>
  <sheetViews>
    <sheetView view="pageBreakPreview" topLeftCell="A4" zoomScale="85" zoomScaleNormal="100" zoomScaleSheetLayoutView="85" workbookViewId="0">
      <selection activeCell="A5" sqref="A5:XFD5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45" customHeight="1" thickBot="1" x14ac:dyDescent="0.3">
      <c r="A5" s="45"/>
      <c r="B5" s="43">
        <v>8.3000000000000007</v>
      </c>
      <c r="C5" s="46" t="str">
        <f>VLOOKUP(B5,'PRESUPUESTO OFICIAL'!$A$1:$F$61,3,TRUE)</f>
        <v>UND</v>
      </c>
      <c r="D5" s="613" t="str">
        <f>VLOOKUP(B5,'PRESUPUESTO OFICIAL'!A1:F61,2,TRUE)</f>
        <v>SUMINISTRO E INSTALACION BALA LED 18W INCRUSTAR, 120 V LUZ BLANCA NEUTRA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594</v>
      </c>
      <c r="B9" s="594"/>
      <c r="C9" s="594"/>
      <c r="D9" s="594"/>
      <c r="E9" s="17"/>
      <c r="F9" s="18"/>
      <c r="G9" s="18"/>
      <c r="H9" s="18"/>
      <c r="I9" s="18"/>
      <c r="J9" s="40">
        <v>1</v>
      </c>
      <c r="K9" s="42">
        <f>+J9</f>
        <v>1</v>
      </c>
    </row>
    <row r="10" spans="1:23" x14ac:dyDescent="0.25">
      <c r="A10" s="603" t="s">
        <v>595</v>
      </c>
      <c r="B10" s="604"/>
      <c r="C10" s="604"/>
      <c r="D10" s="604"/>
      <c r="E10" s="40"/>
      <c r="F10" s="41"/>
      <c r="G10" s="41"/>
      <c r="H10" s="41"/>
      <c r="I10" s="41"/>
      <c r="J10" s="40">
        <v>10</v>
      </c>
      <c r="K10" s="42">
        <f>+J10</f>
        <v>10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3" si="0">+J12</f>
        <v>0</v>
      </c>
    </row>
    <row r="13" spans="1:23" ht="15.75" thickBot="1" x14ac:dyDescent="0.3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7" t="s">
        <v>39</v>
      </c>
      <c r="B14" s="598"/>
      <c r="C14" s="598"/>
      <c r="D14" s="598"/>
      <c r="E14" s="598"/>
      <c r="F14" s="597" t="s">
        <v>40</v>
      </c>
      <c r="G14" s="598"/>
      <c r="H14" s="598"/>
      <c r="I14" s="598"/>
      <c r="J14" s="599"/>
      <c r="K14" s="22"/>
    </row>
    <row r="15" spans="1:23" x14ac:dyDescent="0.25">
      <c r="A15" s="23"/>
      <c r="B15" s="32"/>
      <c r="C15" s="33"/>
      <c r="D15" s="33"/>
      <c r="E15" s="34"/>
      <c r="F15" s="24"/>
      <c r="G15" s="35"/>
      <c r="H15" s="35"/>
      <c r="I15" s="35"/>
      <c r="J15" s="25"/>
      <c r="K15" s="26"/>
    </row>
    <row r="16" spans="1:23" x14ac:dyDescent="0.25">
      <c r="A16" s="27"/>
      <c r="B16" s="35"/>
      <c r="C16" s="36"/>
      <c r="D16" s="33"/>
      <c r="E16" s="34"/>
      <c r="F16" s="24"/>
      <c r="G16" s="35"/>
      <c r="H16" s="35"/>
      <c r="I16" s="35"/>
      <c r="J16" s="25"/>
      <c r="K16" s="26"/>
    </row>
    <row r="17" spans="1:11" x14ac:dyDescent="0.25">
      <c r="A17" s="27"/>
      <c r="B17" s="35"/>
      <c r="C17" s="35"/>
      <c r="D17" s="36"/>
      <c r="E17" s="35"/>
      <c r="F17" s="27"/>
      <c r="G17" s="35"/>
      <c r="H17" s="35"/>
      <c r="I17" s="35"/>
      <c r="J17" s="25"/>
      <c r="K17" s="26"/>
    </row>
    <row r="18" spans="1:11" x14ac:dyDescent="0.25">
      <c r="A18" s="28"/>
      <c r="B18" s="36"/>
      <c r="C18" s="36"/>
      <c r="D18" s="36"/>
      <c r="E18" s="37"/>
      <c r="F18" s="27"/>
      <c r="G18" s="35"/>
      <c r="H18" s="35"/>
      <c r="I18" s="35"/>
      <c r="J18" s="25"/>
      <c r="K18" s="29"/>
    </row>
    <row r="19" spans="1:11" ht="15.75" thickBot="1" x14ac:dyDescent="0.3">
      <c r="A19" s="584"/>
      <c r="B19" s="585"/>
      <c r="C19" s="585"/>
      <c r="D19" s="585"/>
      <c r="E19" s="585"/>
      <c r="F19" s="586"/>
      <c r="G19" s="587"/>
      <c r="H19" s="587"/>
      <c r="I19" s="587"/>
      <c r="J19" s="588"/>
      <c r="K19" s="38"/>
    </row>
    <row r="20" spans="1:11" x14ac:dyDescent="0.25">
      <c r="A20" s="589" t="s">
        <v>41</v>
      </c>
      <c r="B20" s="590"/>
      <c r="C20" s="590"/>
      <c r="D20" s="590"/>
      <c r="E20" s="590"/>
      <c r="F20" s="591"/>
      <c r="G20" s="591"/>
      <c r="H20" s="591"/>
      <c r="I20" s="591"/>
      <c r="J20" s="592"/>
      <c r="K20" s="30">
        <f>ROUND(SUM(K8:K13),2)</f>
        <v>11</v>
      </c>
    </row>
    <row r="21" spans="1:11" x14ac:dyDescent="0.25">
      <c r="K21" s="31"/>
    </row>
  </sheetData>
  <mergeCells count="26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3:D13"/>
    <mergeCell ref="A8:K8"/>
    <mergeCell ref="A9:D9"/>
    <mergeCell ref="A10:D10"/>
    <mergeCell ref="M10:P10"/>
    <mergeCell ref="A11:D11"/>
    <mergeCell ref="A12:D12"/>
    <mergeCell ref="A20:J20"/>
    <mergeCell ref="A14:E14"/>
    <mergeCell ref="F14:J14"/>
    <mergeCell ref="A19:E19"/>
    <mergeCell ref="F19:J19"/>
  </mergeCells>
  <pageMargins left="0.7" right="0.7" top="0.75" bottom="0.75" header="0.3" footer="0.3"/>
  <pageSetup paperSize="9" scale="6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8C906-A03E-49E3-96D1-4F45B3627643}">
  <sheetPr codeName="Hoja74"/>
  <dimension ref="A1:W21"/>
  <sheetViews>
    <sheetView view="pageBreakPreview" topLeftCell="A3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31.5" customHeight="1" thickBot="1" x14ac:dyDescent="0.3">
      <c r="A5" s="45"/>
      <c r="B5" s="43">
        <v>8.4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INSTALACIÓN INTERRUPTOR SENCILLO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594</v>
      </c>
      <c r="B9" s="594"/>
      <c r="C9" s="594"/>
      <c r="D9" s="594"/>
      <c r="E9" s="17"/>
      <c r="F9" s="18"/>
      <c r="G9" s="18"/>
      <c r="H9" s="18"/>
      <c r="I9" s="18"/>
      <c r="J9" s="40">
        <v>1</v>
      </c>
      <c r="K9" s="42">
        <f>+J9</f>
        <v>1</v>
      </c>
    </row>
    <row r="10" spans="1:23" x14ac:dyDescent="0.25">
      <c r="A10" s="603" t="s">
        <v>595</v>
      </c>
      <c r="B10" s="604"/>
      <c r="C10" s="604"/>
      <c r="D10" s="604"/>
      <c r="E10" s="40"/>
      <c r="F10" s="41"/>
      <c r="G10" s="41"/>
      <c r="H10" s="41"/>
      <c r="I10" s="41"/>
      <c r="J10" s="40"/>
      <c r="K10" s="42">
        <f>+J10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3" si="0">+J12</f>
        <v>0</v>
      </c>
    </row>
    <row r="13" spans="1:23" ht="15.75" thickBot="1" x14ac:dyDescent="0.3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7" t="s">
        <v>39</v>
      </c>
      <c r="B14" s="598"/>
      <c r="C14" s="598"/>
      <c r="D14" s="598"/>
      <c r="E14" s="598"/>
      <c r="F14" s="597" t="s">
        <v>40</v>
      </c>
      <c r="G14" s="598"/>
      <c r="H14" s="598"/>
      <c r="I14" s="598"/>
      <c r="J14" s="599"/>
      <c r="K14" s="22"/>
    </row>
    <row r="15" spans="1:23" x14ac:dyDescent="0.25">
      <c r="A15" s="23"/>
      <c r="B15" s="32"/>
      <c r="C15" s="33"/>
      <c r="D15" s="33"/>
      <c r="E15" s="34"/>
      <c r="F15" s="24"/>
      <c r="G15" s="35"/>
      <c r="H15" s="35"/>
      <c r="I15" s="35"/>
      <c r="J15" s="25"/>
      <c r="K15" s="26"/>
    </row>
    <row r="16" spans="1:23" x14ac:dyDescent="0.25">
      <c r="A16" s="27"/>
      <c r="B16" s="35"/>
      <c r="C16" s="36"/>
      <c r="D16" s="33"/>
      <c r="E16" s="34"/>
      <c r="F16" s="24"/>
      <c r="G16" s="35"/>
      <c r="H16" s="35"/>
      <c r="I16" s="35"/>
      <c r="J16" s="25"/>
      <c r="K16" s="26"/>
    </row>
    <row r="17" spans="1:11" x14ac:dyDescent="0.25">
      <c r="A17" s="27"/>
      <c r="B17" s="35"/>
      <c r="C17" s="35"/>
      <c r="D17" s="36"/>
      <c r="E17" s="35"/>
      <c r="F17" s="27"/>
      <c r="G17" s="35"/>
      <c r="H17" s="35"/>
      <c r="I17" s="35"/>
      <c r="J17" s="25"/>
      <c r="K17" s="26"/>
    </row>
    <row r="18" spans="1:11" x14ac:dyDescent="0.25">
      <c r="A18" s="28"/>
      <c r="B18" s="36"/>
      <c r="C18" s="36"/>
      <c r="D18" s="36"/>
      <c r="E18" s="37"/>
      <c r="F18" s="27"/>
      <c r="G18" s="35"/>
      <c r="H18" s="35"/>
      <c r="I18" s="35"/>
      <c r="J18" s="25"/>
      <c r="K18" s="29"/>
    </row>
    <row r="19" spans="1:11" ht="15.75" thickBot="1" x14ac:dyDescent="0.3">
      <c r="A19" s="584"/>
      <c r="B19" s="585"/>
      <c r="C19" s="585"/>
      <c r="D19" s="585"/>
      <c r="E19" s="585"/>
      <c r="F19" s="586"/>
      <c r="G19" s="587"/>
      <c r="H19" s="587"/>
      <c r="I19" s="587"/>
      <c r="J19" s="588"/>
      <c r="K19" s="38"/>
    </row>
    <row r="20" spans="1:11" ht="15.75" thickBot="1" x14ac:dyDescent="0.3">
      <c r="A20" s="589" t="s">
        <v>41</v>
      </c>
      <c r="B20" s="590"/>
      <c r="C20" s="590"/>
      <c r="D20" s="590"/>
      <c r="E20" s="590"/>
      <c r="F20" s="591"/>
      <c r="G20" s="591"/>
      <c r="H20" s="591"/>
      <c r="I20" s="591"/>
      <c r="J20" s="592"/>
      <c r="K20" s="30">
        <f>ROUND(SUM(K8:K13),2)</f>
        <v>1</v>
      </c>
    </row>
    <row r="21" spans="1:11" x14ac:dyDescent="0.25">
      <c r="K21" s="31"/>
    </row>
  </sheetData>
  <mergeCells count="26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20:J20"/>
    <mergeCell ref="A8:K8"/>
    <mergeCell ref="A9:D9"/>
    <mergeCell ref="A10:D10"/>
    <mergeCell ref="M10:P10"/>
    <mergeCell ref="A11:D11"/>
    <mergeCell ref="A12:D12"/>
    <mergeCell ref="A13:D13"/>
    <mergeCell ref="A14:E14"/>
    <mergeCell ref="F14:J14"/>
    <mergeCell ref="A19:E19"/>
    <mergeCell ref="F19:J19"/>
  </mergeCells>
  <pageMargins left="0.7" right="0.7" top="0.75" bottom="0.75" header="0.3" footer="0.3"/>
  <pageSetup paperSize="9" scale="6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BA5F-6CF4-482B-8056-F34DAF10121A}">
  <sheetPr codeName="Hoja75"/>
  <dimension ref="A1:W21"/>
  <sheetViews>
    <sheetView view="pageBreakPreview" topLeftCell="A3" zoomScale="85" zoomScaleNormal="100" zoomScaleSheetLayoutView="85" workbookViewId="0">
      <selection activeCell="A9" sqref="A9:D9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31.5" customHeight="1" thickBot="1" x14ac:dyDescent="0.3">
      <c r="A5" s="45"/>
      <c r="B5" s="43">
        <v>8.5</v>
      </c>
      <c r="C5" s="46" t="str">
        <f>VLOOKUP(B5,'PRESUPUESTO OFICIAL'!$A$1:$F$61,3,TRUE)</f>
        <v>GLB</v>
      </c>
      <c r="D5" s="613" t="str">
        <f>VLOOKUP(B5,'PRESUPUESTO OFICIAL'!A1:F61,2,TRUE)</f>
        <v>ADECUACIÓN DE REDES ELÉCTRICAS SALA DE SISTEMAS REUTILIZANDO MATERIAL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595</v>
      </c>
      <c r="B9" s="594"/>
      <c r="C9" s="594"/>
      <c r="D9" s="594"/>
      <c r="E9" s="17"/>
      <c r="F9" s="18"/>
      <c r="G9" s="18"/>
      <c r="H9" s="18"/>
      <c r="I9" s="18"/>
      <c r="J9" s="40">
        <v>1</v>
      </c>
      <c r="K9" s="42">
        <f>+J9</f>
        <v>1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>+J10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3" si="0">+J12</f>
        <v>0</v>
      </c>
    </row>
    <row r="13" spans="1:23" ht="15.75" thickBot="1" x14ac:dyDescent="0.3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7" t="s">
        <v>39</v>
      </c>
      <c r="B14" s="598"/>
      <c r="C14" s="598"/>
      <c r="D14" s="598"/>
      <c r="E14" s="598"/>
      <c r="F14" s="597" t="s">
        <v>40</v>
      </c>
      <c r="G14" s="598"/>
      <c r="H14" s="598"/>
      <c r="I14" s="598"/>
      <c r="J14" s="599"/>
      <c r="K14" s="22"/>
    </row>
    <row r="15" spans="1:23" x14ac:dyDescent="0.25">
      <c r="A15" s="23"/>
      <c r="B15" s="32"/>
      <c r="C15" s="33"/>
      <c r="D15" s="33"/>
      <c r="E15" s="34"/>
      <c r="F15" s="24"/>
      <c r="G15" s="35"/>
      <c r="H15" s="35"/>
      <c r="I15" s="35"/>
      <c r="J15" s="25"/>
      <c r="K15" s="26"/>
    </row>
    <row r="16" spans="1:23" x14ac:dyDescent="0.25">
      <c r="A16" s="27"/>
      <c r="B16" s="35"/>
      <c r="C16" s="36"/>
      <c r="D16" s="33"/>
      <c r="E16" s="34"/>
      <c r="F16" s="24"/>
      <c r="G16" s="35"/>
      <c r="H16" s="35"/>
      <c r="I16" s="35"/>
      <c r="J16" s="25"/>
      <c r="K16" s="26"/>
    </row>
    <row r="17" spans="1:11" x14ac:dyDescent="0.25">
      <c r="A17" s="27"/>
      <c r="B17" s="35"/>
      <c r="C17" s="35"/>
      <c r="D17" s="36"/>
      <c r="E17" s="35"/>
      <c r="F17" s="27"/>
      <c r="G17" s="35"/>
      <c r="H17" s="35"/>
      <c r="I17" s="35"/>
      <c r="J17" s="25"/>
      <c r="K17" s="26"/>
    </row>
    <row r="18" spans="1:11" x14ac:dyDescent="0.25">
      <c r="A18" s="28"/>
      <c r="B18" s="36"/>
      <c r="C18" s="36"/>
      <c r="D18" s="36"/>
      <c r="E18" s="37"/>
      <c r="F18" s="27"/>
      <c r="G18" s="35"/>
      <c r="H18" s="35"/>
      <c r="I18" s="35"/>
      <c r="J18" s="25"/>
      <c r="K18" s="29"/>
    </row>
    <row r="19" spans="1:11" ht="15.75" thickBot="1" x14ac:dyDescent="0.3">
      <c r="A19" s="584"/>
      <c r="B19" s="585"/>
      <c r="C19" s="585"/>
      <c r="D19" s="585"/>
      <c r="E19" s="585"/>
      <c r="F19" s="586"/>
      <c r="G19" s="587"/>
      <c r="H19" s="587"/>
      <c r="I19" s="587"/>
      <c r="J19" s="588"/>
      <c r="K19" s="38"/>
    </row>
    <row r="20" spans="1:11" ht="15.75" thickBot="1" x14ac:dyDescent="0.3">
      <c r="A20" s="589" t="s">
        <v>41</v>
      </c>
      <c r="B20" s="590"/>
      <c r="C20" s="590"/>
      <c r="D20" s="590"/>
      <c r="E20" s="590"/>
      <c r="F20" s="591"/>
      <c r="G20" s="591"/>
      <c r="H20" s="591"/>
      <c r="I20" s="591"/>
      <c r="J20" s="592"/>
      <c r="K20" s="30">
        <f>ROUND(SUM(K8:K13),2)</f>
        <v>1</v>
      </c>
    </row>
    <row r="21" spans="1:11" x14ac:dyDescent="0.25">
      <c r="K21" s="31"/>
    </row>
  </sheetData>
  <mergeCells count="26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20:J20"/>
    <mergeCell ref="A8:K8"/>
    <mergeCell ref="A9:D9"/>
    <mergeCell ref="A10:D10"/>
    <mergeCell ref="M10:P10"/>
    <mergeCell ref="A11:D11"/>
    <mergeCell ref="A12:D12"/>
    <mergeCell ref="A13:D13"/>
    <mergeCell ref="A14:E14"/>
    <mergeCell ref="F14:J14"/>
    <mergeCell ref="A19:E19"/>
    <mergeCell ref="F19:J19"/>
  </mergeCells>
  <pageMargins left="0.7" right="0.7" top="0.75" bottom="0.75" header="0.3" footer="0.3"/>
  <pageSetup paperSize="9" scale="6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D77D2-4344-4C46-87B4-9AF117E7FD70}">
  <dimension ref="A1:W28"/>
  <sheetViews>
    <sheetView view="pageBreakPreview" topLeftCell="A3" zoomScale="85" zoomScaleNormal="100" zoomScaleSheetLayoutView="85" workbookViewId="0">
      <selection activeCell="J10" sqref="J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15.75" thickBot="1" x14ac:dyDescent="0.3">
      <c r="A5" s="45"/>
      <c r="B5" s="43">
        <v>8.6</v>
      </c>
      <c r="C5" s="46" t="str">
        <f>VLOOKUP(B5,'PRESUPUESTO OFICIAL'!$A$1:$F$61,3,TRUE)</f>
        <v>UND</v>
      </c>
      <c r="D5" s="613" t="str">
        <f>VLOOKUP(B5,'PRESUPUESTO OFICIAL'!A1:F61,2,TRUE)</f>
        <v>SUMINISTRO E INSTALACIÓN DE PUNTO ELÉCTRICO PARA TOMACORRIENTE DOBLE SOBRE CANALETA INCLUYE TUBERÍA CONDUIT Y 3 CABLE N° 12, CANALETA PVC, CONDUCTORES, APARTATO 8m Y DEMÁS ELEMENTOS NECESARIOS PARA SU CORRECTA EJECUCIÓN.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5" t="s">
        <v>598</v>
      </c>
      <c r="B9" s="596"/>
      <c r="C9" s="596"/>
      <c r="D9" s="596"/>
      <c r="E9" s="17"/>
      <c r="F9" s="18"/>
      <c r="G9" s="18"/>
      <c r="H9" s="18"/>
      <c r="I9" s="18"/>
      <c r="J9" s="40">
        <v>20</v>
      </c>
      <c r="K9" s="42">
        <f>+J9</f>
        <v>20</v>
      </c>
    </row>
    <row r="10" spans="1:23" x14ac:dyDescent="0.25">
      <c r="A10" s="593" t="s">
        <v>631</v>
      </c>
      <c r="B10" s="594"/>
      <c r="C10" s="594"/>
      <c r="D10" s="594"/>
      <c r="E10" s="40"/>
      <c r="F10" s="41"/>
      <c r="G10" s="41"/>
      <c r="H10" s="41"/>
      <c r="I10" s="41"/>
      <c r="J10" s="40">
        <v>12</v>
      </c>
      <c r="K10" s="42">
        <f>+J10</f>
        <v>12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8" si="0">+J12</f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x14ac:dyDescent="0.25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3"/>
      <c r="B16" s="594"/>
      <c r="C16" s="594"/>
      <c r="D16" s="594"/>
      <c r="E16" s="17"/>
      <c r="F16" s="18"/>
      <c r="G16" s="18"/>
      <c r="H16" s="18"/>
      <c r="I16" s="18"/>
      <c r="J16" s="17"/>
      <c r="K16" s="42">
        <f t="shared" si="0"/>
        <v>0</v>
      </c>
    </row>
    <row r="17" spans="1:11" x14ac:dyDescent="0.25">
      <c r="A17" s="593"/>
      <c r="B17" s="594"/>
      <c r="C17" s="594"/>
      <c r="D17" s="594"/>
      <c r="E17" s="17"/>
      <c r="F17" s="18"/>
      <c r="G17" s="18"/>
      <c r="H17" s="18"/>
      <c r="I17" s="18"/>
      <c r="J17" s="17"/>
      <c r="K17" s="42">
        <f t="shared" si="0"/>
        <v>0</v>
      </c>
    </row>
    <row r="18" spans="1:11" x14ac:dyDescent="0.25">
      <c r="A18" s="593"/>
      <c r="B18" s="594"/>
      <c r="C18" s="594"/>
      <c r="D18" s="594"/>
      <c r="E18" s="17"/>
      <c r="F18" s="18"/>
      <c r="G18" s="18"/>
      <c r="H18" s="18"/>
      <c r="I18" s="18"/>
      <c r="J18" s="17"/>
      <c r="K18" s="42">
        <f t="shared" si="0"/>
        <v>0</v>
      </c>
    </row>
    <row r="19" spans="1:11" x14ac:dyDescent="0.25">
      <c r="A19" s="593"/>
      <c r="B19" s="594"/>
      <c r="C19" s="594"/>
      <c r="D19" s="594"/>
      <c r="E19" s="17"/>
      <c r="F19" s="18"/>
      <c r="G19" s="18"/>
      <c r="H19" s="18"/>
      <c r="I19" s="18"/>
      <c r="J19" s="17"/>
      <c r="K19" s="19"/>
    </row>
    <row r="20" spans="1:11" ht="15.75" thickBot="1" x14ac:dyDescent="0.3">
      <c r="A20" s="595"/>
      <c r="B20" s="596"/>
      <c r="C20" s="596"/>
      <c r="D20" s="596"/>
      <c r="E20" s="20"/>
      <c r="F20" s="21"/>
      <c r="G20" s="21"/>
      <c r="H20" s="21"/>
      <c r="I20" s="21"/>
      <c r="J20" s="20"/>
      <c r="K20" s="19"/>
    </row>
    <row r="21" spans="1:11" x14ac:dyDescent="0.25">
      <c r="A21" s="597" t="s">
        <v>39</v>
      </c>
      <c r="B21" s="598"/>
      <c r="C21" s="598"/>
      <c r="D21" s="598"/>
      <c r="E21" s="598"/>
      <c r="F21" s="597" t="s">
        <v>40</v>
      </c>
      <c r="G21" s="598"/>
      <c r="H21" s="598"/>
      <c r="I21" s="598"/>
      <c r="J21" s="599"/>
      <c r="K21" s="22"/>
    </row>
    <row r="22" spans="1:11" x14ac:dyDescent="0.25">
      <c r="A22" s="23"/>
      <c r="B22" s="32"/>
      <c r="C22" s="33"/>
      <c r="D22" s="33"/>
      <c r="E22" s="34"/>
      <c r="F22" s="24"/>
      <c r="G22" s="35"/>
      <c r="H22" s="35"/>
      <c r="I22" s="35"/>
      <c r="J22" s="25"/>
      <c r="K22" s="26"/>
    </row>
    <row r="23" spans="1:11" x14ac:dyDescent="0.25">
      <c r="A23" s="27"/>
      <c r="B23" s="35"/>
      <c r="C23" s="36"/>
      <c r="D23" s="33"/>
      <c r="E23" s="34"/>
      <c r="F23" s="24"/>
      <c r="G23" s="35"/>
      <c r="H23" s="35"/>
      <c r="I23" s="35"/>
      <c r="J23" s="25"/>
      <c r="K23" s="26"/>
    </row>
    <row r="24" spans="1:11" x14ac:dyDescent="0.25">
      <c r="A24" s="27"/>
      <c r="B24" s="35"/>
      <c r="C24" s="35"/>
      <c r="D24" s="36"/>
      <c r="E24" s="35"/>
      <c r="F24" s="27"/>
      <c r="G24" s="35"/>
      <c r="H24" s="35"/>
      <c r="I24" s="35"/>
      <c r="J24" s="25"/>
      <c r="K24" s="26"/>
    </row>
    <row r="25" spans="1:11" x14ac:dyDescent="0.25">
      <c r="A25" s="28"/>
      <c r="B25" s="36"/>
      <c r="C25" s="36"/>
      <c r="D25" s="36"/>
      <c r="E25" s="37"/>
      <c r="F25" s="27"/>
      <c r="G25" s="35"/>
      <c r="H25" s="35"/>
      <c r="I25" s="35"/>
      <c r="J25" s="25"/>
      <c r="K25" s="29"/>
    </row>
    <row r="26" spans="1:11" ht="15.75" thickBot="1" x14ac:dyDescent="0.3">
      <c r="A26" s="584"/>
      <c r="B26" s="585"/>
      <c r="C26" s="585"/>
      <c r="D26" s="585"/>
      <c r="E26" s="585"/>
      <c r="F26" s="586"/>
      <c r="G26" s="587"/>
      <c r="H26" s="587"/>
      <c r="I26" s="587"/>
      <c r="J26" s="588"/>
      <c r="K26" s="38"/>
    </row>
    <row r="27" spans="1:11" ht="15.75" thickBot="1" x14ac:dyDescent="0.3">
      <c r="A27" s="589" t="s">
        <v>41</v>
      </c>
      <c r="B27" s="590"/>
      <c r="C27" s="590"/>
      <c r="D27" s="590"/>
      <c r="E27" s="590"/>
      <c r="F27" s="591"/>
      <c r="G27" s="591"/>
      <c r="H27" s="591"/>
      <c r="I27" s="591"/>
      <c r="J27" s="592"/>
      <c r="K27" s="30">
        <f>ROUND(SUM(K8:K20),2)</f>
        <v>32</v>
      </c>
    </row>
    <row r="28" spans="1:11" x14ac:dyDescent="0.25">
      <c r="K28" s="31"/>
    </row>
  </sheetData>
  <mergeCells count="33">
    <mergeCell ref="D4:F4"/>
    <mergeCell ref="G4:I4"/>
    <mergeCell ref="J4:K4"/>
    <mergeCell ref="A1:K1"/>
    <mergeCell ref="A2:B2"/>
    <mergeCell ref="C2:K2"/>
    <mergeCell ref="A3:B3"/>
    <mergeCell ref="C3:K3"/>
    <mergeCell ref="D5:F5"/>
    <mergeCell ref="G5:I5"/>
    <mergeCell ref="J5:K5"/>
    <mergeCell ref="A6:D7"/>
    <mergeCell ref="E6:J6"/>
    <mergeCell ref="K6:K7"/>
    <mergeCell ref="A18:D18"/>
    <mergeCell ref="A8:K8"/>
    <mergeCell ref="A9:D9"/>
    <mergeCell ref="A10:D10"/>
    <mergeCell ref="M10:P10"/>
    <mergeCell ref="A11:D11"/>
    <mergeCell ref="A12:D12"/>
    <mergeCell ref="A13:D13"/>
    <mergeCell ref="A14:D14"/>
    <mergeCell ref="A15:D15"/>
    <mergeCell ref="A16:D16"/>
    <mergeCell ref="A17:D17"/>
    <mergeCell ref="A27:J27"/>
    <mergeCell ref="A19:D19"/>
    <mergeCell ref="A20:D20"/>
    <mergeCell ref="A21:E21"/>
    <mergeCell ref="F21:J21"/>
    <mergeCell ref="A26:E26"/>
    <mergeCell ref="F26:J26"/>
  </mergeCells>
  <pageMargins left="0.7" right="0.7" top="0.75" bottom="0.75" header="0.3" footer="0.3"/>
  <pageSetup paperSize="9" scale="6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D7638-31A1-45ED-88C0-4C00CC701455}">
  <sheetPr codeName="Hoja71"/>
  <dimension ref="A1:W23"/>
  <sheetViews>
    <sheetView view="pageBreakPreview" zoomScale="85" zoomScaleNormal="100" zoomScaleSheetLayoutView="85" workbookViewId="0">
      <selection activeCell="J11" sqref="J11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15.75" thickBot="1" x14ac:dyDescent="0.3">
      <c r="A5" s="45"/>
      <c r="B5" s="43">
        <v>9.1</v>
      </c>
      <c r="C5" s="46" t="str">
        <f>VLOOKUP(B5,'PRESUPUESTO OFICIAL'!$A$1:$F$61,3,TRUE)</f>
        <v>UND</v>
      </c>
      <c r="D5" s="613" t="str">
        <f>VLOOKUP(B5,'PRESUPUESTO OFICIAL'!A1:F61,2,TRUE)</f>
        <v>DESMONTE APARATOS SANITARIOS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614</v>
      </c>
      <c r="B9" s="594"/>
      <c r="C9" s="594"/>
      <c r="D9" s="594"/>
      <c r="E9" s="17"/>
      <c r="F9" s="18"/>
      <c r="G9" s="18"/>
      <c r="H9" s="18"/>
      <c r="I9" s="18"/>
      <c r="J9" s="40">
        <v>1</v>
      </c>
      <c r="K9" s="42">
        <f>+J9</f>
        <v>1</v>
      </c>
    </row>
    <row r="10" spans="1:23" x14ac:dyDescent="0.25">
      <c r="A10" s="603" t="s">
        <v>634</v>
      </c>
      <c r="B10" s="604"/>
      <c r="C10" s="604"/>
      <c r="D10" s="604"/>
      <c r="E10" s="40"/>
      <c r="F10" s="41"/>
      <c r="G10" s="41"/>
      <c r="H10" s="41"/>
      <c r="I10" s="41"/>
      <c r="J10" s="40">
        <v>2</v>
      </c>
      <c r="K10" s="42">
        <f>+J10</f>
        <v>2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5" si="0">+J12</f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ht="15.75" thickBot="1" x14ac:dyDescent="0.3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x14ac:dyDescent="0.25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ROUND(SUM(K8:K15),2)</f>
        <v>3</v>
      </c>
    </row>
    <row r="23" spans="1:11" x14ac:dyDescent="0.25">
      <c r="K23" s="31"/>
    </row>
  </sheetData>
  <mergeCells count="28">
    <mergeCell ref="D4:F4"/>
    <mergeCell ref="G4:I4"/>
    <mergeCell ref="J4:K4"/>
    <mergeCell ref="A1:K1"/>
    <mergeCell ref="A2:B2"/>
    <mergeCell ref="C2:K2"/>
    <mergeCell ref="A3:B3"/>
    <mergeCell ref="C3:K3"/>
    <mergeCell ref="M10:P10"/>
    <mergeCell ref="A11:D11"/>
    <mergeCell ref="A12:D12"/>
    <mergeCell ref="D5:F5"/>
    <mergeCell ref="G5:I5"/>
    <mergeCell ref="J5:K5"/>
    <mergeCell ref="A6:D7"/>
    <mergeCell ref="E6:J6"/>
    <mergeCell ref="K6:K7"/>
    <mergeCell ref="A13:D13"/>
    <mergeCell ref="A14:D14"/>
    <mergeCell ref="A15:D15"/>
    <mergeCell ref="A8:K8"/>
    <mergeCell ref="A9:D9"/>
    <mergeCell ref="A10:D10"/>
    <mergeCell ref="A22:J22"/>
    <mergeCell ref="A16:E16"/>
    <mergeCell ref="F16:J16"/>
    <mergeCell ref="A21:E21"/>
    <mergeCell ref="F21:J21"/>
  </mergeCells>
  <pageMargins left="0.7" right="0.7" top="0.75" bottom="0.75" header="0.3" footer="0.3"/>
  <pageSetup paperSize="9" scale="6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92C8-90B0-413D-AA70-08ACF8047BFD}">
  <sheetPr codeName="Hoja72"/>
  <dimension ref="A1:W23"/>
  <sheetViews>
    <sheetView view="pageBreakPreview" topLeftCell="A7" zoomScale="85" zoomScaleNormal="100" zoomScaleSheetLayoutView="85" workbookViewId="0">
      <selection activeCell="J11" sqref="J11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27.75" customHeight="1" thickBot="1" x14ac:dyDescent="0.3">
      <c r="A5" s="45"/>
      <c r="B5" s="43">
        <v>9.1999999999999993</v>
      </c>
      <c r="C5" s="46" t="str">
        <f>VLOOKUP(B5,'PRESUPUESTO OFICIAL'!$A$1:$F$61,3,TRUE)</f>
        <v>UND</v>
      </c>
      <c r="D5" s="613" t="str">
        <f>VLOOKUP(B5,'PRESUPUESTO OFICIAL'!A1:F61,2,TRUE)</f>
        <v>SUMINISTRO E INSTALACION DE COMBO SANITARIO Y LAVAMANOS.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614</v>
      </c>
      <c r="B9" s="594"/>
      <c r="C9" s="594"/>
      <c r="D9" s="594"/>
      <c r="E9" s="17"/>
      <c r="F9" s="18"/>
      <c r="G9" s="18"/>
      <c r="H9" s="18"/>
      <c r="I9" s="18"/>
      <c r="J9" s="40">
        <v>1</v>
      </c>
      <c r="K9" s="42">
        <f>+J9</f>
        <v>1</v>
      </c>
    </row>
    <row r="10" spans="1:23" x14ac:dyDescent="0.25">
      <c r="A10" s="603" t="str">
        <f>+'9.1'!A10</f>
        <v>Baños alternos</v>
      </c>
      <c r="B10" s="604"/>
      <c r="C10" s="604"/>
      <c r="D10" s="604"/>
      <c r="E10" s="40"/>
      <c r="F10" s="41"/>
      <c r="G10" s="41"/>
      <c r="H10" s="41"/>
      <c r="I10" s="41"/>
      <c r="J10" s="40">
        <f>+'9.1'!J10</f>
        <v>2</v>
      </c>
      <c r="K10" s="42">
        <f>+J10</f>
        <v>2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5" si="0">+J12</f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ht="15.75" thickBot="1" x14ac:dyDescent="0.3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ROUND(SUM(K8:K15),2)</f>
        <v>3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12133-5BEA-4E44-85AB-742D592516AD}">
  <sheetPr codeName="Hoja73"/>
  <dimension ref="A1:W23"/>
  <sheetViews>
    <sheetView view="pageBreakPreview" topLeftCell="A6" zoomScale="85" zoomScaleNormal="100" zoomScaleSheetLayoutView="85" workbookViewId="0">
      <selection activeCell="F10" sqref="F10"/>
    </sheetView>
  </sheetViews>
  <sheetFormatPr baseColWidth="10" defaultColWidth="11.5703125" defaultRowHeight="15" x14ac:dyDescent="0.25"/>
  <sheetData>
    <row r="1" spans="1:23" ht="15.75" thickBot="1" x14ac:dyDescent="0.3">
      <c r="A1" s="620" t="s">
        <v>20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23" x14ac:dyDescent="0.25">
      <c r="A2" s="623" t="s">
        <v>21</v>
      </c>
      <c r="B2" s="624"/>
      <c r="C2" s="625"/>
      <c r="D2" s="625"/>
      <c r="E2" s="625"/>
      <c r="F2" s="625"/>
      <c r="G2" s="625"/>
      <c r="H2" s="625"/>
      <c r="I2" s="625"/>
      <c r="J2" s="625"/>
      <c r="K2" s="626"/>
    </row>
    <row r="3" spans="1:23" ht="41.45" customHeight="1" x14ac:dyDescent="0.25">
      <c r="A3" s="627" t="s">
        <v>22</v>
      </c>
      <c r="B3" s="628"/>
      <c r="C3" s="629" t="str">
        <f>'PRESUPUESTO OFICIAL'!A2</f>
        <v>MEJORAMIENTO Y ADECUACIÓN DEL AUDITORIO DE LA INSTITUCIÓN EDUCATIVA MARINO GÓMEZ ESTRADA, SEDE DE LA UNIVERSIDAD DE CALDAS, EN EL MUNICIPIO DE AGUADAS, CALDAS.</v>
      </c>
      <c r="D3" s="629"/>
      <c r="E3" s="629"/>
      <c r="F3" s="629"/>
      <c r="G3" s="629"/>
      <c r="H3" s="629"/>
      <c r="I3" s="629"/>
      <c r="J3" s="629"/>
      <c r="K3" s="630"/>
    </row>
    <row r="4" spans="1:23" ht="25.5" x14ac:dyDescent="0.25">
      <c r="A4" s="44" t="s">
        <v>23</v>
      </c>
      <c r="B4" s="13" t="s">
        <v>24</v>
      </c>
      <c r="C4" s="13" t="s">
        <v>25</v>
      </c>
      <c r="D4" s="616" t="s">
        <v>26</v>
      </c>
      <c r="E4" s="617"/>
      <c r="F4" s="618"/>
      <c r="G4" s="616" t="s">
        <v>27</v>
      </c>
      <c r="H4" s="617"/>
      <c r="I4" s="618"/>
      <c r="J4" s="616" t="s">
        <v>28</v>
      </c>
      <c r="K4" s="619"/>
    </row>
    <row r="5" spans="1:23" ht="44.25" customHeight="1" thickBot="1" x14ac:dyDescent="0.3">
      <c r="A5" s="45"/>
      <c r="B5" s="43">
        <v>9.3000000000000007</v>
      </c>
      <c r="C5" s="46" t="str">
        <f>VLOOKUP(B5,'PRESUPUESTO OFICIAL'!$A$1:$F$61,3,TRUE)</f>
        <v>M2</v>
      </c>
      <c r="D5" s="613" t="str">
        <f>VLOOKUP(B5,'PRESUPUESTO OFICIAL'!A1:F61,2,TRUE)</f>
        <v>SUMINISTRO, TRANSPORTE E INSTALACIÓN DE CERÁMICA DE PISOS PARA BAÑOS.</v>
      </c>
      <c r="E5" s="614"/>
      <c r="F5" s="615"/>
      <c r="G5" s="605" t="s">
        <v>29</v>
      </c>
      <c r="H5" s="606"/>
      <c r="I5" s="607"/>
      <c r="J5" s="608"/>
      <c r="K5" s="609"/>
    </row>
    <row r="6" spans="1:23" x14ac:dyDescent="0.25">
      <c r="A6" s="597" t="s">
        <v>30</v>
      </c>
      <c r="B6" s="598"/>
      <c r="C6" s="598"/>
      <c r="D6" s="599"/>
      <c r="E6" s="610" t="s">
        <v>31</v>
      </c>
      <c r="F6" s="611"/>
      <c r="G6" s="611"/>
      <c r="H6" s="611"/>
      <c r="I6" s="611"/>
      <c r="J6" s="612"/>
      <c r="K6" s="599" t="s">
        <v>32</v>
      </c>
    </row>
    <row r="7" spans="1:23" ht="51.75" thickBot="1" x14ac:dyDescent="0.3">
      <c r="A7" s="586"/>
      <c r="B7" s="587"/>
      <c r="C7" s="587"/>
      <c r="D7" s="588"/>
      <c r="E7" s="14" t="s">
        <v>33</v>
      </c>
      <c r="F7" s="15" t="s">
        <v>34</v>
      </c>
      <c r="G7" s="15" t="s">
        <v>35</v>
      </c>
      <c r="H7" s="15" t="s">
        <v>36</v>
      </c>
      <c r="I7" s="15" t="s">
        <v>37</v>
      </c>
      <c r="J7" s="16" t="s">
        <v>38</v>
      </c>
      <c r="K7" s="588"/>
    </row>
    <row r="8" spans="1:23" ht="15.75" thickBot="1" x14ac:dyDescent="0.3">
      <c r="A8" s="600"/>
      <c r="B8" s="601"/>
      <c r="C8" s="601"/>
      <c r="D8" s="601"/>
      <c r="E8" s="601"/>
      <c r="F8" s="601"/>
      <c r="G8" s="601"/>
      <c r="H8" s="601"/>
      <c r="I8" s="601"/>
      <c r="J8" s="601"/>
      <c r="K8" s="602"/>
    </row>
    <row r="9" spans="1:23" x14ac:dyDescent="0.25">
      <c r="A9" s="593" t="s">
        <v>614</v>
      </c>
      <c r="B9" s="594"/>
      <c r="C9" s="594"/>
      <c r="D9" s="594"/>
      <c r="E9" s="17">
        <v>1.8</v>
      </c>
      <c r="F9" s="18">
        <v>3</v>
      </c>
      <c r="G9" s="18"/>
      <c r="H9" s="18"/>
      <c r="I9" s="18"/>
      <c r="J9" s="40">
        <v>1.5</v>
      </c>
      <c r="K9" s="42">
        <f>+J9*E9*F9</f>
        <v>8.1000000000000014</v>
      </c>
    </row>
    <row r="10" spans="1:23" x14ac:dyDescent="0.25">
      <c r="A10" s="603"/>
      <c r="B10" s="604"/>
      <c r="C10" s="604"/>
      <c r="D10" s="604"/>
      <c r="E10" s="40"/>
      <c r="F10" s="41"/>
      <c r="G10" s="41"/>
      <c r="H10" s="41"/>
      <c r="I10" s="41"/>
      <c r="J10" s="40"/>
      <c r="K10" s="42">
        <f>+J10</f>
        <v>0</v>
      </c>
      <c r="M10" s="603"/>
      <c r="N10" s="604"/>
      <c r="O10" s="604"/>
      <c r="P10" s="604"/>
      <c r="Q10" s="40"/>
      <c r="R10" s="41"/>
      <c r="S10" s="41"/>
      <c r="T10" s="41"/>
      <c r="U10" s="41"/>
      <c r="V10" s="40"/>
      <c r="W10" s="42"/>
    </row>
    <row r="11" spans="1:23" x14ac:dyDescent="0.25">
      <c r="A11" s="593"/>
      <c r="B11" s="594"/>
      <c r="C11" s="594"/>
      <c r="D11" s="594"/>
      <c r="E11" s="17"/>
      <c r="F11" s="18"/>
      <c r="G11" s="18"/>
      <c r="H11" s="18"/>
      <c r="I11" s="18"/>
      <c r="J11" s="40"/>
      <c r="K11" s="42">
        <f>+J11</f>
        <v>0</v>
      </c>
    </row>
    <row r="12" spans="1:23" x14ac:dyDescent="0.25">
      <c r="A12" s="595"/>
      <c r="B12" s="596"/>
      <c r="C12" s="596"/>
      <c r="D12" s="596"/>
      <c r="E12" s="20"/>
      <c r="F12" s="21"/>
      <c r="G12" s="21"/>
      <c r="H12" s="21"/>
      <c r="I12" s="21"/>
      <c r="J12" s="20"/>
      <c r="K12" s="42">
        <f t="shared" ref="K12:K15" si="0">+J12</f>
        <v>0</v>
      </c>
    </row>
    <row r="13" spans="1:23" x14ac:dyDescent="0.25">
      <c r="A13" s="593"/>
      <c r="B13" s="594"/>
      <c r="C13" s="594"/>
      <c r="D13" s="594"/>
      <c r="E13" s="17"/>
      <c r="F13" s="18"/>
      <c r="G13" s="18"/>
      <c r="H13" s="18"/>
      <c r="I13" s="18"/>
      <c r="J13" s="17"/>
      <c r="K13" s="42">
        <f t="shared" si="0"/>
        <v>0</v>
      </c>
    </row>
    <row r="14" spans="1:23" x14ac:dyDescent="0.25">
      <c r="A14" s="593"/>
      <c r="B14" s="594"/>
      <c r="C14" s="594"/>
      <c r="D14" s="594"/>
      <c r="E14" s="17"/>
      <c r="F14" s="18"/>
      <c r="G14" s="18"/>
      <c r="H14" s="18"/>
      <c r="I14" s="18"/>
      <c r="J14" s="17"/>
      <c r="K14" s="42">
        <f t="shared" si="0"/>
        <v>0</v>
      </c>
    </row>
    <row r="15" spans="1:23" ht="15.75" thickBot="1" x14ac:dyDescent="0.3">
      <c r="A15" s="593"/>
      <c r="B15" s="594"/>
      <c r="C15" s="594"/>
      <c r="D15" s="594"/>
      <c r="E15" s="17"/>
      <c r="F15" s="18"/>
      <c r="G15" s="18"/>
      <c r="H15" s="18"/>
      <c r="I15" s="18"/>
      <c r="J15" s="17"/>
      <c r="K15" s="42">
        <f t="shared" si="0"/>
        <v>0</v>
      </c>
    </row>
    <row r="16" spans="1:23" x14ac:dyDescent="0.25">
      <c r="A16" s="597" t="s">
        <v>39</v>
      </c>
      <c r="B16" s="598"/>
      <c r="C16" s="598"/>
      <c r="D16" s="598"/>
      <c r="E16" s="598"/>
      <c r="F16" s="597" t="s">
        <v>40</v>
      </c>
      <c r="G16" s="598"/>
      <c r="H16" s="598"/>
      <c r="I16" s="598"/>
      <c r="J16" s="599"/>
      <c r="K16" s="22"/>
    </row>
    <row r="17" spans="1:11" x14ac:dyDescent="0.25">
      <c r="A17" s="23"/>
      <c r="B17" s="32"/>
      <c r="C17" s="33"/>
      <c r="D17" s="33"/>
      <c r="E17" s="34"/>
      <c r="F17" s="24"/>
      <c r="G17" s="35"/>
      <c r="H17" s="35"/>
      <c r="I17" s="35"/>
      <c r="J17" s="25"/>
      <c r="K17" s="26"/>
    </row>
    <row r="18" spans="1:11" x14ac:dyDescent="0.25">
      <c r="A18" s="27"/>
      <c r="B18" s="35"/>
      <c r="C18" s="36"/>
      <c r="D18" s="33"/>
      <c r="E18" s="34"/>
      <c r="F18" s="24"/>
      <c r="G18" s="35"/>
      <c r="H18" s="35"/>
      <c r="I18" s="35"/>
      <c r="J18" s="25"/>
      <c r="K18" s="26"/>
    </row>
    <row r="19" spans="1:11" x14ac:dyDescent="0.25">
      <c r="A19" s="27"/>
      <c r="B19" s="35"/>
      <c r="C19" s="35"/>
      <c r="D19" s="36"/>
      <c r="E19" s="35"/>
      <c r="F19" s="27"/>
      <c r="G19" s="35"/>
      <c r="H19" s="35"/>
      <c r="I19" s="35"/>
      <c r="J19" s="25"/>
      <c r="K19" s="26"/>
    </row>
    <row r="20" spans="1:11" x14ac:dyDescent="0.25">
      <c r="A20" s="28"/>
      <c r="B20" s="36"/>
      <c r="C20" s="36"/>
      <c r="D20" s="36"/>
      <c r="E20" s="37"/>
      <c r="F20" s="27"/>
      <c r="G20" s="35"/>
      <c r="H20" s="35"/>
      <c r="I20" s="35"/>
      <c r="J20" s="25"/>
      <c r="K20" s="29"/>
    </row>
    <row r="21" spans="1:11" ht="15.75" thickBot="1" x14ac:dyDescent="0.3">
      <c r="A21" s="584"/>
      <c r="B21" s="585"/>
      <c r="C21" s="585"/>
      <c r="D21" s="585"/>
      <c r="E21" s="585"/>
      <c r="F21" s="586"/>
      <c r="G21" s="587"/>
      <c r="H21" s="587"/>
      <c r="I21" s="587"/>
      <c r="J21" s="588"/>
      <c r="K21" s="38"/>
    </row>
    <row r="22" spans="1:11" ht="15.75" thickBot="1" x14ac:dyDescent="0.3">
      <c r="A22" s="589" t="s">
        <v>41</v>
      </c>
      <c r="B22" s="590"/>
      <c r="C22" s="590"/>
      <c r="D22" s="590"/>
      <c r="E22" s="590"/>
      <c r="F22" s="591"/>
      <c r="G22" s="591"/>
      <c r="H22" s="591"/>
      <c r="I22" s="591"/>
      <c r="J22" s="592"/>
      <c r="K22" s="30">
        <f>ROUND(SUM(K8:K15),2)</f>
        <v>8.1</v>
      </c>
    </row>
    <row r="23" spans="1:11" x14ac:dyDescent="0.25">
      <c r="K23" s="31"/>
    </row>
  </sheetData>
  <mergeCells count="28">
    <mergeCell ref="A1:K1"/>
    <mergeCell ref="A2:B2"/>
    <mergeCell ref="C2:K2"/>
    <mergeCell ref="A3:B3"/>
    <mergeCell ref="C3:K3"/>
    <mergeCell ref="A8:K8"/>
    <mergeCell ref="A9:D9"/>
    <mergeCell ref="A10:D10"/>
    <mergeCell ref="D4:F4"/>
    <mergeCell ref="G4:I4"/>
    <mergeCell ref="J4:K4"/>
    <mergeCell ref="D5:F5"/>
    <mergeCell ref="G5:I5"/>
    <mergeCell ref="J5:K5"/>
    <mergeCell ref="A6:D7"/>
    <mergeCell ref="E6:J6"/>
    <mergeCell ref="K6:K7"/>
    <mergeCell ref="M10:P10"/>
    <mergeCell ref="A11:D11"/>
    <mergeCell ref="A22:J22"/>
    <mergeCell ref="A13:D13"/>
    <mergeCell ref="A14:D14"/>
    <mergeCell ref="A15:D15"/>
    <mergeCell ref="A16:E16"/>
    <mergeCell ref="F16:J16"/>
    <mergeCell ref="A21:E21"/>
    <mergeCell ref="F21:J21"/>
    <mergeCell ref="A12:D12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84</vt:i4>
      </vt:variant>
      <vt:variant>
        <vt:lpstr>Rangos con nombre</vt:lpstr>
      </vt:variant>
      <vt:variant>
        <vt:i4>44</vt:i4>
      </vt:variant>
    </vt:vector>
  </HeadingPairs>
  <TitlesOfParts>
    <vt:vector size="128" baseType="lpstr">
      <vt:lpstr>ANALISIS M.O</vt:lpstr>
      <vt:lpstr>A.I.U.</vt:lpstr>
      <vt:lpstr>1.1 localizacion</vt:lpstr>
      <vt:lpstr>1.2 Valla</vt:lpstr>
      <vt:lpstr>1.3 señal </vt:lpstr>
      <vt:lpstr>1.4 Cerramiento </vt:lpstr>
      <vt:lpstr>2.1 Desmonte teja</vt:lpstr>
      <vt:lpstr>2.2 Desmonte cielo raso</vt:lpstr>
      <vt:lpstr>2.3 Desmonte Madera</vt:lpstr>
      <vt:lpstr>2.4 demolición ceramica</vt:lpstr>
      <vt:lpstr>3.1. Teja termoacustica</vt:lpstr>
      <vt:lpstr>3.2 Caballete termo</vt:lpstr>
      <vt:lpstr>3.3 Impermiabiliazación</vt:lpstr>
      <vt:lpstr>3.4 Canal</vt:lpstr>
      <vt:lpstr>3.5 Bajante</vt:lpstr>
      <vt:lpstr>3.6 Recorrido cubierta</vt:lpstr>
      <vt:lpstr>4.1 cielo raso pvc</vt:lpstr>
      <vt:lpstr>4.4 Triplex</vt:lpstr>
      <vt:lpstr>4.5 frescasa</vt:lpstr>
      <vt:lpstr>4.2 luminarias</vt:lpstr>
      <vt:lpstr>4.3 Puntos eléctricos</vt:lpstr>
      <vt:lpstr>5.1 pintura exterior</vt:lpstr>
      <vt:lpstr>5.2 Pintura interior</vt:lpstr>
      <vt:lpstr>5.3 pintura ventanas</vt:lpstr>
      <vt:lpstr>5.4 mantenimiento ventanales</vt:lpstr>
      <vt:lpstr>6.1 Muro concreto</vt:lpstr>
      <vt:lpstr>6.4 Antideslizante</vt:lpstr>
      <vt:lpstr>6.5 piso tablilla</vt:lpstr>
      <vt:lpstr>6.5 Flotante tipo madera</vt:lpstr>
      <vt:lpstr>6.6 Escaleras</vt:lpstr>
      <vt:lpstr>7.2 Vidrios</vt:lpstr>
      <vt:lpstr>7.4 ceramica </vt:lpstr>
      <vt:lpstr>8.1 Tomacorriente doble</vt:lpstr>
      <vt:lpstr>8.2 Lámpara sobreponer</vt:lpstr>
      <vt:lpstr>8.3 Lámpara incrustar</vt:lpstr>
      <vt:lpstr>8.4 Interruptor sencillo</vt:lpstr>
      <vt:lpstr>8.6 tomacorrientes canaleta</vt:lpstr>
      <vt:lpstr>9. Desmonte sanitarios</vt:lpstr>
      <vt:lpstr>9.2 Combo sanitarios</vt:lpstr>
      <vt:lpstr>9.3 ceramica baño </vt:lpstr>
      <vt:lpstr>BASE DE DATOS</vt:lpstr>
      <vt:lpstr>PRESUPUESTO OFICIAL</vt:lpstr>
      <vt:lpstr>1,1</vt:lpstr>
      <vt:lpstr>1,2</vt:lpstr>
      <vt:lpstr>1,3</vt:lpstr>
      <vt:lpstr>1,4</vt:lpstr>
      <vt:lpstr>2,1</vt:lpstr>
      <vt:lpstr>2,2</vt:lpstr>
      <vt:lpstr>2,3</vt:lpstr>
      <vt:lpstr>2,4</vt:lpstr>
      <vt:lpstr>3,1</vt:lpstr>
      <vt:lpstr>3,2</vt:lpstr>
      <vt:lpstr>3,3</vt:lpstr>
      <vt:lpstr>3,4</vt:lpstr>
      <vt:lpstr>3,5</vt:lpstr>
      <vt:lpstr>3,6</vt:lpstr>
      <vt:lpstr>4,1</vt:lpstr>
      <vt:lpstr>4,2</vt:lpstr>
      <vt:lpstr>4,3</vt:lpstr>
      <vt:lpstr>4,4</vt:lpstr>
      <vt:lpstr>4,5</vt:lpstr>
      <vt:lpstr>5.1</vt:lpstr>
      <vt:lpstr>5.2</vt:lpstr>
      <vt:lpstr>5.3</vt:lpstr>
      <vt:lpstr>5.4</vt:lpstr>
      <vt:lpstr>6.1</vt:lpstr>
      <vt:lpstr>6.2</vt:lpstr>
      <vt:lpstr>6.3</vt:lpstr>
      <vt:lpstr>6.4</vt:lpstr>
      <vt:lpstr>6.5</vt:lpstr>
      <vt:lpstr>6.6</vt:lpstr>
      <vt:lpstr>6.7</vt:lpstr>
      <vt:lpstr>7.1</vt:lpstr>
      <vt:lpstr>7.2</vt:lpstr>
      <vt:lpstr>7.3</vt:lpstr>
      <vt:lpstr>8.1</vt:lpstr>
      <vt:lpstr>8.2</vt:lpstr>
      <vt:lpstr>8.3</vt:lpstr>
      <vt:lpstr>8.4</vt:lpstr>
      <vt:lpstr>8.5</vt:lpstr>
      <vt:lpstr>8.6</vt:lpstr>
      <vt:lpstr>9.1</vt:lpstr>
      <vt:lpstr>9.2</vt:lpstr>
      <vt:lpstr>9.3</vt:lpstr>
      <vt:lpstr>'1.1 localizacion'!Área_de_impresión</vt:lpstr>
      <vt:lpstr>'1.2 Valla'!Área_de_impresión</vt:lpstr>
      <vt:lpstr>'1.3 señal '!Área_de_impresión</vt:lpstr>
      <vt:lpstr>'1.4 Cerramiento '!Área_de_impresión</vt:lpstr>
      <vt:lpstr>'2.1 Desmonte teja'!Área_de_impresión</vt:lpstr>
      <vt:lpstr>'2.2 Desmonte cielo raso'!Área_de_impresión</vt:lpstr>
      <vt:lpstr>'2.3 Desmonte Madera'!Área_de_impresión</vt:lpstr>
      <vt:lpstr>'3.1. Teja termoacustica'!Área_de_impresión</vt:lpstr>
      <vt:lpstr>'3.2 Caballete termo'!Área_de_impresión</vt:lpstr>
      <vt:lpstr>'3.3 Impermiabiliazación'!Área_de_impresión</vt:lpstr>
      <vt:lpstr>'3.4 Canal'!Área_de_impresión</vt:lpstr>
      <vt:lpstr>'3.5 Bajante'!Área_de_impresión</vt:lpstr>
      <vt:lpstr>'3.6 Recorrido cubierta'!Área_de_impresión</vt:lpstr>
      <vt:lpstr>'4,3'!Área_de_impresión</vt:lpstr>
      <vt:lpstr>'4.1 cielo raso pvc'!Área_de_impresión</vt:lpstr>
      <vt:lpstr>'4.2 luminarias'!Área_de_impresión</vt:lpstr>
      <vt:lpstr>'5.1'!Área_de_impresión</vt:lpstr>
      <vt:lpstr>'5.2'!Área_de_impresión</vt:lpstr>
      <vt:lpstr>'5.3'!Área_de_impresión</vt:lpstr>
      <vt:lpstr>'5.4'!Área_de_impresión</vt:lpstr>
      <vt:lpstr>'6.1'!Área_de_impresión</vt:lpstr>
      <vt:lpstr>'6.2'!Área_de_impresión</vt:lpstr>
      <vt:lpstr>'6.3'!Área_de_impresión</vt:lpstr>
      <vt:lpstr>'6.4'!Área_de_impresión</vt:lpstr>
      <vt:lpstr>'6.5'!Área_de_impresión</vt:lpstr>
      <vt:lpstr>'6.6'!Área_de_impresión</vt:lpstr>
      <vt:lpstr>'6.7'!Área_de_impresión</vt:lpstr>
      <vt:lpstr>'7.1'!Área_de_impresión</vt:lpstr>
      <vt:lpstr>'7.2'!Área_de_impresión</vt:lpstr>
      <vt:lpstr>'7.2 Vidrios'!Área_de_impresión</vt:lpstr>
      <vt:lpstr>'7.3'!Área_de_impresión</vt:lpstr>
      <vt:lpstr>'8.1'!Área_de_impresión</vt:lpstr>
      <vt:lpstr>'8.2'!Área_de_impresión</vt:lpstr>
      <vt:lpstr>'8.3'!Área_de_impresión</vt:lpstr>
      <vt:lpstr>'8.4'!Área_de_impresión</vt:lpstr>
      <vt:lpstr>'8.5'!Área_de_impresión</vt:lpstr>
      <vt:lpstr>'8.6'!Área_de_impresión</vt:lpstr>
      <vt:lpstr>'9.1'!Área_de_impresión</vt:lpstr>
      <vt:lpstr>'9.2'!Área_de_impresión</vt:lpstr>
      <vt:lpstr>'9.3'!Área_de_impresión</vt:lpstr>
      <vt:lpstr>A.I.U.!Área_de_impresión</vt:lpstr>
      <vt:lpstr>'ANALISIS M.O'!Área_de_impresión</vt:lpstr>
      <vt:lpstr>'BASE DE DATOS'!Área_de_impresión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María</dc:creator>
  <cp:lastModifiedBy>alcaldia aguadas</cp:lastModifiedBy>
  <cp:lastPrinted>2026-07-02T05:10:26Z</cp:lastPrinted>
  <dcterms:created xsi:type="dcterms:W3CDTF">2025-04-09T19:36:01Z</dcterms:created>
  <dcterms:modified xsi:type="dcterms:W3CDTF">2026-09-23T19:04:55Z</dcterms:modified>
</cp:coreProperties>
</file>