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omments1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defaultThemeVersion="153222"/>
  <mc:AlternateContent xmlns:mc="http://schemas.openxmlformats.org/markup-compatibility/2006">
    <mc:Choice Requires="x15">
      <x15ac:absPath xmlns:x15ac="http://schemas.microsoft.com/office/spreadsheetml/2010/11/ac" url="C:\Users\usuario\Downloads\"/>
    </mc:Choice>
  </mc:AlternateContent>
  <workbookProtection workbookAlgorithmName="SHA-512" workbookHashValue="/6ittTImMHFoWF1a7CtIwA2c4enHB4DYdFL1IkiRFSfcX/S6Dsm4ZH1nX+Fr0jn/3Ezj8o3pXvNgztupUZzJcA==" workbookSaltValue="t/BTSjlZ8eImI4FguiZ+5g==" workbookSpinCount="100000" lockStructure="1"/>
  <bookViews>
    <workbookView xWindow="0" yWindow="0" windowWidth="23040" windowHeight="8496" firstSheet="8" activeTab="12"/>
  </bookViews>
  <sheets>
    <sheet name="1. REFRIGERIOS " sheetId="1" r:id="rId1"/>
    <sheet name="1. REFRIGERIOS  (2)" sheetId="14" r:id="rId2"/>
    <sheet name="2.1 ALIMENTACIÓN C.N. " sheetId="2" r:id="rId3"/>
    <sheet name="2.2 Personal C.N" sheetId="3" r:id="rId4"/>
    <sheet name="2.3 Infraestructura C.N" sheetId="4" r:id="rId5"/>
    <sheet name="Total Comedores N." sheetId="5" r:id="rId6"/>
    <sheet name="3.1  Alimentación HG. " sheetId="6" r:id="rId7"/>
    <sheet name="3.2 KIT DE ASEO HG" sheetId="7" r:id="rId8"/>
    <sheet name="3.3 DOTACIÓN HG" sheetId="8" r:id="rId9"/>
    <sheet name="3.4 IMPREVISTOS" sheetId="9" r:id="rId10"/>
    <sheet name="3.5 PERSONAL HG 1" sheetId="13" r:id="rId11"/>
    <sheet name=" INFRAESTRUCTURA  HG." sheetId="11" r:id="rId12"/>
    <sheet name="TOTAL " sheetId="12" r:id="rId13"/>
  </sheets>
  <definedNames>
    <definedName name="_xlnm.Print_Area" localSheetId="0">'1. REFRIGERIOS '!$A$1:$I$7</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K34" i="2" l="1"/>
  <c r="J34" i="2"/>
  <c r="J5" i="3"/>
  <c r="N14" i="8" l="1"/>
  <c r="E7" i="5"/>
  <c r="E34" i="2"/>
  <c r="I5" i="3"/>
  <c r="D21" i="5" l="1"/>
  <c r="C10" i="1"/>
  <c r="F14" i="13"/>
  <c r="P9" i="9"/>
  <c r="I31" i="8"/>
  <c r="E10" i="6"/>
  <c r="D10" i="6"/>
  <c r="E6" i="5"/>
  <c r="I9" i="4"/>
  <c r="J10" i="3"/>
  <c r="G4" i="3"/>
  <c r="G34" i="2" l="1"/>
  <c r="G5" i="3"/>
  <c r="H4" i="3"/>
  <c r="F4" i="3"/>
  <c r="G9" i="2"/>
  <c r="G8" i="2"/>
  <c r="H5" i="3"/>
  <c r="F5" i="3"/>
  <c r="G26" i="13" l="1"/>
  <c r="L8" i="9"/>
  <c r="I8" i="9"/>
  <c r="M6" i="8" l="1"/>
  <c r="H16" i="6"/>
  <c r="G6" i="6"/>
  <c r="D17" i="6" s="1"/>
  <c r="E17" i="6" s="1"/>
  <c r="G5" i="6"/>
  <c r="H5" i="6" s="1"/>
  <c r="M5" i="4"/>
  <c r="E5" i="4"/>
  <c r="F5" i="4" s="1"/>
  <c r="I4" i="3"/>
  <c r="J4" i="3" s="1"/>
  <c r="K4" i="3" s="1"/>
  <c r="G4" i="1"/>
  <c r="H4" i="1" s="1"/>
  <c r="I4" i="1" s="1"/>
  <c r="G6" i="1"/>
  <c r="H6" i="1" s="1"/>
  <c r="I6" i="1" s="1"/>
  <c r="G5" i="1"/>
  <c r="R6" i="11"/>
  <c r="M6" i="11"/>
  <c r="M7" i="11" s="1"/>
  <c r="H6" i="11"/>
  <c r="I6" i="11" s="1"/>
  <c r="I7" i="11" s="1"/>
  <c r="E6" i="11"/>
  <c r="F6" i="11" s="1"/>
  <c r="F7" i="11" s="1"/>
  <c r="J26" i="13"/>
  <c r="I26" i="13"/>
  <c r="E26" i="13"/>
  <c r="K6" i="13"/>
  <c r="K7" i="13"/>
  <c r="K8" i="13"/>
  <c r="K9" i="13"/>
  <c r="K10" i="13"/>
  <c r="K11" i="13"/>
  <c r="K12" i="13"/>
  <c r="K13" i="13"/>
  <c r="K5" i="13"/>
  <c r="J6" i="13"/>
  <c r="J7" i="13"/>
  <c r="J8" i="13"/>
  <c r="J9" i="13"/>
  <c r="J10" i="13"/>
  <c r="J11" i="13"/>
  <c r="J12" i="13"/>
  <c r="J13" i="13"/>
  <c r="J5" i="13"/>
  <c r="H6" i="13"/>
  <c r="H7" i="13"/>
  <c r="H8" i="13"/>
  <c r="H9" i="13"/>
  <c r="H10" i="13"/>
  <c r="H11" i="13"/>
  <c r="H12" i="13"/>
  <c r="H13" i="13"/>
  <c r="H5" i="13"/>
  <c r="F6" i="13"/>
  <c r="F7" i="13"/>
  <c r="F8" i="13"/>
  <c r="F9" i="13"/>
  <c r="F10" i="13"/>
  <c r="F11" i="13"/>
  <c r="F12" i="13"/>
  <c r="F13" i="13"/>
  <c r="F5" i="13"/>
  <c r="M9" i="9"/>
  <c r="L9" i="9"/>
  <c r="H9" i="9"/>
  <c r="E9" i="9"/>
  <c r="F9" i="9" s="1"/>
  <c r="F8" i="9"/>
  <c r="M24" i="8"/>
  <c r="M25" i="8"/>
  <c r="M26" i="8"/>
  <c r="M27" i="8"/>
  <c r="M28" i="8"/>
  <c r="M29" i="8"/>
  <c r="M30" i="8"/>
  <c r="M23" i="8"/>
  <c r="L24" i="8"/>
  <c r="L25" i="8"/>
  <c r="L26" i="8"/>
  <c r="L27" i="8"/>
  <c r="L28" i="8"/>
  <c r="L29" i="8"/>
  <c r="L30" i="8"/>
  <c r="L23" i="8"/>
  <c r="H24" i="8"/>
  <c r="I24" i="8" s="1"/>
  <c r="H25" i="8"/>
  <c r="I25" i="8" s="1"/>
  <c r="H26" i="8"/>
  <c r="I26" i="8" s="1"/>
  <c r="H27" i="8"/>
  <c r="I27" i="8" s="1"/>
  <c r="H28" i="8"/>
  <c r="I28" i="8" s="1"/>
  <c r="H29" i="8"/>
  <c r="I29" i="8" s="1"/>
  <c r="H30" i="8"/>
  <c r="I30" i="8" s="1"/>
  <c r="H23" i="8"/>
  <c r="I23" i="8" s="1"/>
  <c r="E24" i="8"/>
  <c r="E25" i="8"/>
  <c r="E26" i="8"/>
  <c r="E27" i="8"/>
  <c r="E28" i="8"/>
  <c r="E29" i="8"/>
  <c r="E30" i="8"/>
  <c r="E23" i="8"/>
  <c r="M7" i="8"/>
  <c r="M8" i="8"/>
  <c r="M9" i="8"/>
  <c r="M10" i="8"/>
  <c r="M11" i="8"/>
  <c r="M12" i="8"/>
  <c r="M13" i="8"/>
  <c r="M14" i="8"/>
  <c r="L7" i="8"/>
  <c r="L8" i="8"/>
  <c r="L9" i="8"/>
  <c r="L10" i="8"/>
  <c r="L11" i="8"/>
  <c r="L12" i="8"/>
  <c r="L13" i="8"/>
  <c r="L14" i="8"/>
  <c r="L6" i="8"/>
  <c r="H7" i="8"/>
  <c r="I7" i="8" s="1"/>
  <c r="H8" i="8"/>
  <c r="I8" i="8" s="1"/>
  <c r="H9" i="8"/>
  <c r="I9" i="8" s="1"/>
  <c r="H10" i="8"/>
  <c r="I10" i="8" s="1"/>
  <c r="H11" i="8"/>
  <c r="I11" i="8" s="1"/>
  <c r="H12" i="8"/>
  <c r="I12" i="8" s="1"/>
  <c r="H13" i="8"/>
  <c r="I13" i="8" s="1"/>
  <c r="H14" i="8"/>
  <c r="I14" i="8" s="1"/>
  <c r="H6" i="8"/>
  <c r="E7" i="8"/>
  <c r="E8" i="8"/>
  <c r="F8" i="8" s="1"/>
  <c r="E9" i="8"/>
  <c r="E10" i="8"/>
  <c r="F10" i="8" s="1"/>
  <c r="E11" i="8"/>
  <c r="E12" i="8"/>
  <c r="F12" i="8" s="1"/>
  <c r="E13" i="8"/>
  <c r="E14" i="8"/>
  <c r="F14" i="8" s="1"/>
  <c r="E6" i="8"/>
  <c r="M35" i="7"/>
  <c r="M36" i="7"/>
  <c r="M37" i="7"/>
  <c r="M38" i="7"/>
  <c r="M39" i="7"/>
  <c r="M40" i="7"/>
  <c r="M41" i="7"/>
  <c r="M42" i="7"/>
  <c r="M43" i="7"/>
  <c r="M44" i="7"/>
  <c r="M34" i="7"/>
  <c r="L35" i="7"/>
  <c r="L43" i="7"/>
  <c r="L34" i="7"/>
  <c r="L36" i="7"/>
  <c r="L37" i="7"/>
  <c r="L38" i="7"/>
  <c r="L39" i="7"/>
  <c r="L40" i="7"/>
  <c r="L41" i="7"/>
  <c r="L42" i="7"/>
  <c r="L44" i="7"/>
  <c r="H35" i="7"/>
  <c r="H36" i="7"/>
  <c r="I36" i="7" s="1"/>
  <c r="H37" i="7"/>
  <c r="I37" i="7" s="1"/>
  <c r="H38" i="7"/>
  <c r="I38" i="7" s="1"/>
  <c r="H39" i="7"/>
  <c r="I39" i="7" s="1"/>
  <c r="H40" i="7"/>
  <c r="I40" i="7" s="1"/>
  <c r="H41" i="7"/>
  <c r="I41" i="7" s="1"/>
  <c r="H42" i="7"/>
  <c r="I42" i="7" s="1"/>
  <c r="H43" i="7"/>
  <c r="I43" i="7" s="1"/>
  <c r="H44" i="7"/>
  <c r="I44" i="7" s="1"/>
  <c r="H34" i="7"/>
  <c r="I34" i="7" s="1"/>
  <c r="F41" i="7"/>
  <c r="E35" i="7"/>
  <c r="F35" i="7" s="1"/>
  <c r="E36" i="7"/>
  <c r="E37" i="7"/>
  <c r="F37" i="7" s="1"/>
  <c r="E38" i="7"/>
  <c r="F38" i="7" s="1"/>
  <c r="E39" i="7"/>
  <c r="F39" i="7" s="1"/>
  <c r="E40" i="7"/>
  <c r="E41" i="7"/>
  <c r="E42" i="7"/>
  <c r="F42" i="7" s="1"/>
  <c r="E43" i="7"/>
  <c r="F43" i="7" s="1"/>
  <c r="E44" i="7"/>
  <c r="E34" i="7"/>
  <c r="F34" i="7" s="1"/>
  <c r="M7" i="7"/>
  <c r="M8" i="7"/>
  <c r="M9" i="7"/>
  <c r="M10" i="7"/>
  <c r="M11" i="7"/>
  <c r="M12" i="7"/>
  <c r="M13" i="7"/>
  <c r="M14" i="7"/>
  <c r="M15" i="7"/>
  <c r="M16" i="7"/>
  <c r="M6" i="7"/>
  <c r="L6" i="7"/>
  <c r="H6" i="7"/>
  <c r="I6" i="7" s="1"/>
  <c r="E6" i="7"/>
  <c r="F6" i="7" s="1"/>
  <c r="L7" i="7"/>
  <c r="L8" i="7"/>
  <c r="L9" i="7"/>
  <c r="L10" i="7"/>
  <c r="L11" i="7"/>
  <c r="L12" i="7"/>
  <c r="L13" i="7"/>
  <c r="L14" i="7"/>
  <c r="L15" i="7"/>
  <c r="L16" i="7"/>
  <c r="H7" i="7"/>
  <c r="I7" i="7" s="1"/>
  <c r="H8" i="7"/>
  <c r="I8" i="7" s="1"/>
  <c r="H9" i="7"/>
  <c r="I9" i="7" s="1"/>
  <c r="H10" i="7"/>
  <c r="I10" i="7" s="1"/>
  <c r="H11" i="7"/>
  <c r="H12" i="7"/>
  <c r="I12" i="7" s="1"/>
  <c r="H13" i="7"/>
  <c r="I13" i="7" s="1"/>
  <c r="H14" i="7"/>
  <c r="I14" i="7" s="1"/>
  <c r="H15" i="7"/>
  <c r="I15" i="7" s="1"/>
  <c r="H16" i="7"/>
  <c r="I16" i="7" s="1"/>
  <c r="E7" i="7"/>
  <c r="F7" i="7" s="1"/>
  <c r="E8" i="7"/>
  <c r="E9" i="7"/>
  <c r="E10" i="7"/>
  <c r="F10" i="7" s="1"/>
  <c r="E11" i="7"/>
  <c r="F11" i="7" s="1"/>
  <c r="E12" i="7"/>
  <c r="E13" i="7"/>
  <c r="E14" i="7"/>
  <c r="E15" i="7"/>
  <c r="E16" i="7"/>
  <c r="G7" i="6"/>
  <c r="H7" i="6" s="1"/>
  <c r="G8" i="6"/>
  <c r="H8" i="6" s="1"/>
  <c r="G9" i="6"/>
  <c r="H9" i="6" s="1"/>
  <c r="M6" i="4"/>
  <c r="M7" i="4"/>
  <c r="M8" i="4"/>
  <c r="L6" i="4"/>
  <c r="L7" i="4"/>
  <c r="K8" i="4"/>
  <c r="L8" i="4" s="1"/>
  <c r="L5" i="4"/>
  <c r="H6" i="4"/>
  <c r="I6" i="4" s="1"/>
  <c r="H7" i="4"/>
  <c r="I7" i="4" s="1"/>
  <c r="H8" i="4"/>
  <c r="I8" i="4" s="1"/>
  <c r="H5" i="4"/>
  <c r="I5" i="4" s="1"/>
  <c r="E6" i="4"/>
  <c r="F6" i="4" s="1"/>
  <c r="E7" i="4"/>
  <c r="E8" i="4"/>
  <c r="K5" i="3" l="1"/>
  <c r="I9" i="9"/>
  <c r="N9" i="9"/>
  <c r="L10" i="13"/>
  <c r="M10" i="13" s="1"/>
  <c r="L8" i="13"/>
  <c r="M8" i="13" s="1"/>
  <c r="N13" i="8"/>
  <c r="N36" i="7"/>
  <c r="N15" i="7"/>
  <c r="N14" i="7"/>
  <c r="N7" i="4"/>
  <c r="N35" i="7"/>
  <c r="N34" i="7"/>
  <c r="N43" i="7"/>
  <c r="F15" i="7"/>
  <c r="O15" i="7" s="1"/>
  <c r="F14" i="7"/>
  <c r="O14" i="7" s="1"/>
  <c r="F7" i="4"/>
  <c r="L6" i="13"/>
  <c r="M6" i="13" s="1"/>
  <c r="K26" i="13"/>
  <c r="L26" i="13" s="1"/>
  <c r="B10" i="12" s="1"/>
  <c r="O9" i="9"/>
  <c r="N29" i="8"/>
  <c r="N26" i="8"/>
  <c r="N25" i="8"/>
  <c r="N24" i="8"/>
  <c r="O12" i="8"/>
  <c r="O8" i="8"/>
  <c r="N6" i="8"/>
  <c r="N39" i="7"/>
  <c r="N11" i="7"/>
  <c r="O10" i="7"/>
  <c r="O5" i="4"/>
  <c r="P5" i="4" s="1"/>
  <c r="N6" i="4"/>
  <c r="L13" i="13"/>
  <c r="M13" i="13" s="1"/>
  <c r="L12" i="13"/>
  <c r="M12" i="13" s="1"/>
  <c r="L11" i="13"/>
  <c r="M11" i="13" s="1"/>
  <c r="L9" i="13"/>
  <c r="M9" i="13" s="1"/>
  <c r="L7" i="13"/>
  <c r="M7" i="13" s="1"/>
  <c r="L5" i="13"/>
  <c r="M5" i="13" s="1"/>
  <c r="N30" i="8"/>
  <c r="N28" i="8"/>
  <c r="N27" i="8"/>
  <c r="N23" i="8"/>
  <c r="N11" i="8"/>
  <c r="N10" i="8"/>
  <c r="N9" i="8"/>
  <c r="N7" i="8"/>
  <c r="I6" i="8"/>
  <c r="N44" i="7"/>
  <c r="O43" i="7"/>
  <c r="O42" i="7"/>
  <c r="N41" i="7"/>
  <c r="O41" i="7"/>
  <c r="N40" i="7"/>
  <c r="O39" i="7"/>
  <c r="O38" i="7"/>
  <c r="N37" i="7"/>
  <c r="O37" i="7"/>
  <c r="I35" i="7"/>
  <c r="O35" i="7" s="1"/>
  <c r="O34" i="7"/>
  <c r="N16" i="7"/>
  <c r="N12" i="7"/>
  <c r="I11" i="7"/>
  <c r="O11" i="7" s="1"/>
  <c r="N10" i="7"/>
  <c r="N8" i="7"/>
  <c r="N7" i="7"/>
  <c r="O6" i="7"/>
  <c r="N6" i="7"/>
  <c r="H6" i="6"/>
  <c r="O6" i="4"/>
  <c r="P6" i="4" s="1"/>
  <c r="N5" i="4"/>
  <c r="G7" i="1"/>
  <c r="O10" i="8"/>
  <c r="N13" i="7"/>
  <c r="F13" i="7"/>
  <c r="O13" i="7" s="1"/>
  <c r="O7" i="7"/>
  <c r="N8" i="4"/>
  <c r="F8" i="4"/>
  <c r="O8" i="4" s="1"/>
  <c r="P8" i="4" s="1"/>
  <c r="N9" i="7"/>
  <c r="F9" i="7"/>
  <c r="O9" i="7" s="1"/>
  <c r="O14" i="8"/>
  <c r="F28" i="8"/>
  <c r="O28" i="8" s="1"/>
  <c r="F24" i="8"/>
  <c r="O24" i="8" s="1"/>
  <c r="F44" i="7"/>
  <c r="O44" i="7" s="1"/>
  <c r="F40" i="7"/>
  <c r="O40" i="7" s="1"/>
  <c r="F36" i="7"/>
  <c r="O36" i="7" s="1"/>
  <c r="N42" i="7"/>
  <c r="N38" i="7"/>
  <c r="F13" i="8"/>
  <c r="O13" i="8" s="1"/>
  <c r="F9" i="8"/>
  <c r="O9" i="8" s="1"/>
  <c r="F23" i="8"/>
  <c r="O23" i="8" s="1"/>
  <c r="F27" i="8"/>
  <c r="O27" i="8" s="1"/>
  <c r="N12" i="8"/>
  <c r="N8" i="8"/>
  <c r="F30" i="8"/>
  <c r="O30" i="8" s="1"/>
  <c r="F26" i="8"/>
  <c r="O26" i="8" s="1"/>
  <c r="F16" i="7"/>
  <c r="O16" i="7" s="1"/>
  <c r="F12" i="7"/>
  <c r="O12" i="7" s="1"/>
  <c r="F8" i="7"/>
  <c r="O8" i="7" s="1"/>
  <c r="F6" i="8"/>
  <c r="F11" i="8"/>
  <c r="O11" i="8" s="1"/>
  <c r="F7" i="8"/>
  <c r="O7" i="8" s="1"/>
  <c r="F29" i="8"/>
  <c r="O29" i="8" s="1"/>
  <c r="F25" i="8"/>
  <c r="O25" i="8" s="1"/>
  <c r="T6" i="11"/>
  <c r="S6" i="11"/>
  <c r="L9" i="4"/>
  <c r="I34" i="2"/>
  <c r="B18" i="2"/>
  <c r="C18" i="2" s="1"/>
  <c r="G10" i="2"/>
  <c r="B19" i="2" s="1"/>
  <c r="C19" i="2" s="1"/>
  <c r="H5" i="1"/>
  <c r="I5" i="1" s="1"/>
  <c r="F9" i="4" l="1"/>
  <c r="T7" i="11"/>
  <c r="O6" i="8"/>
  <c r="O7" i="4"/>
  <c r="P7" i="4" s="1"/>
  <c r="P9" i="4" s="1"/>
  <c r="C7" i="5" s="1"/>
  <c r="D52" i="7"/>
  <c r="E52" i="7" s="1"/>
  <c r="F52" i="7" s="1"/>
  <c r="O17" i="7"/>
  <c r="D21" i="7" s="1"/>
  <c r="E21" i="7" s="1"/>
  <c r="D24" i="7"/>
  <c r="E24" i="7" s="1"/>
  <c r="F24" i="7" s="1"/>
  <c r="B17" i="2"/>
  <c r="C17" i="2" s="1"/>
  <c r="C20" i="2" s="1"/>
  <c r="G11" i="2"/>
  <c r="O45" i="7"/>
  <c r="D49" i="7" s="1"/>
  <c r="E49" i="7" s="1"/>
  <c r="D15" i="8"/>
  <c r="O8" i="9"/>
  <c r="P8" i="9" l="1"/>
  <c r="P10" i="9" s="1"/>
  <c r="P11" i="9" s="1"/>
  <c r="B8" i="12" s="1"/>
  <c r="D27" i="7"/>
  <c r="B4" i="12" s="1"/>
  <c r="M8" i="9" l="1"/>
  <c r="B6" i="6" l="1"/>
  <c r="G14" i="13" l="1"/>
  <c r="E14" i="13"/>
  <c r="C38" i="8"/>
  <c r="C65" i="7"/>
  <c r="C62" i="7"/>
  <c r="A64" i="7"/>
  <c r="A63" i="7"/>
  <c r="A61" i="7"/>
  <c r="A60" i="7"/>
  <c r="D16" i="6"/>
  <c r="F10" i="6"/>
  <c r="F6" i="3"/>
  <c r="F11" i="2"/>
  <c r="E11" i="2"/>
  <c r="D11" i="2"/>
  <c r="J5" i="14"/>
  <c r="I5" i="14"/>
  <c r="E16" i="6" l="1"/>
  <c r="F16" i="6" s="1"/>
  <c r="T9" i="11"/>
  <c r="B11" i="12" s="1"/>
  <c r="H14" i="13"/>
  <c r="K14" i="13"/>
  <c r="G10" i="6"/>
  <c r="J7" i="14"/>
  <c r="I6" i="14"/>
  <c r="J6" i="14"/>
  <c r="I7" i="14"/>
  <c r="M14" i="13" l="1"/>
  <c r="B9" i="12" s="1"/>
  <c r="L14" i="13"/>
  <c r="J6" i="3"/>
  <c r="J8" i="14"/>
  <c r="K6" i="14"/>
  <c r="K5" i="14"/>
  <c r="I8" i="14"/>
  <c r="K7" i="14"/>
  <c r="K8" i="14" l="1"/>
  <c r="M11" i="1" l="1"/>
  <c r="D32" i="7" l="1"/>
  <c r="J21" i="8" l="1"/>
  <c r="G21" i="8"/>
  <c r="J32" i="7"/>
  <c r="G32" i="7"/>
  <c r="Q8" i="9" l="1"/>
  <c r="D21" i="8"/>
  <c r="D6" i="9"/>
  <c r="J6" i="9"/>
  <c r="G6" i="9"/>
  <c r="J9" i="4"/>
  <c r="D9" i="4"/>
  <c r="I14" i="13" l="1"/>
  <c r="J14" i="13" l="1"/>
  <c r="Q7" i="11" l="1"/>
  <c r="J7" i="11"/>
  <c r="M4" i="1" l="1"/>
  <c r="M5" i="1" s="1"/>
  <c r="R18" i="8" l="1"/>
  <c r="R19" i="8" s="1"/>
  <c r="R23" i="8"/>
  <c r="T23" i="8" s="1"/>
  <c r="J15" i="8" l="1"/>
  <c r="G15" i="8"/>
  <c r="M15" i="8" l="1"/>
  <c r="O15" i="8"/>
  <c r="O16" i="8" s="1"/>
  <c r="B6" i="12" s="1"/>
  <c r="D37" i="8" l="1"/>
  <c r="E37" i="8" s="1"/>
  <c r="H6" i="3"/>
  <c r="G6" i="3"/>
  <c r="D20" i="6" l="1"/>
  <c r="F17" i="6"/>
  <c r="D18" i="6"/>
  <c r="D19" i="6"/>
  <c r="E20" i="6" l="1"/>
  <c r="F20" i="6" s="1"/>
  <c r="E19" i="6"/>
  <c r="F19" i="6" s="1"/>
  <c r="E18" i="6"/>
  <c r="F18" i="6" s="1"/>
  <c r="K6" i="3"/>
  <c r="C5" i="5" s="1"/>
  <c r="H10" i="6"/>
  <c r="H7" i="1" l="1"/>
  <c r="L45" i="7"/>
  <c r="E21" i="6"/>
  <c r="F21" i="6"/>
  <c r="I45" i="7"/>
  <c r="B20" i="2"/>
  <c r="D26" i="2" s="1"/>
  <c r="L17" i="7"/>
  <c r="F17" i="7"/>
  <c r="L31" i="8"/>
  <c r="E61" i="7" l="1"/>
  <c r="F61" i="7" s="1"/>
  <c r="I7" i="1"/>
  <c r="B16" i="12" s="1"/>
  <c r="K9" i="4"/>
  <c r="E9" i="4"/>
  <c r="F45" i="7"/>
  <c r="I17" i="7"/>
  <c r="N15" i="8" l="1"/>
  <c r="M45" i="7" l="1"/>
  <c r="N45" i="7"/>
  <c r="E64" i="7" l="1"/>
  <c r="F64" i="7" s="1"/>
  <c r="E60" i="7"/>
  <c r="F60" i="7" s="1"/>
  <c r="F62" i="7" s="1"/>
  <c r="D55" i="7"/>
  <c r="B5" i="12" s="1"/>
  <c r="E25" i="6"/>
  <c r="F25" i="6" s="1"/>
  <c r="D21" i="6"/>
  <c r="I6" i="3"/>
  <c r="H25" i="6" l="1"/>
  <c r="B3" i="12" s="1"/>
  <c r="E63" i="7"/>
  <c r="F63" i="7" s="1"/>
  <c r="G25" i="6"/>
  <c r="F65" i="7" l="1"/>
  <c r="F66" i="7" s="1"/>
  <c r="E26" i="2"/>
  <c r="C4" i="5" s="1"/>
  <c r="N31" i="8"/>
  <c r="M31" i="8"/>
  <c r="F31" i="8" l="1"/>
  <c r="O31" i="8"/>
  <c r="D36" i="8" l="1"/>
  <c r="E36" i="8" s="1"/>
  <c r="E38" i="8" s="1"/>
  <c r="O32" i="8"/>
  <c r="B7" i="12" l="1"/>
  <c r="B12" i="12" s="1"/>
  <c r="H9" i="4"/>
  <c r="M9" i="4"/>
  <c r="N9" i="4" l="1"/>
  <c r="O9" i="4" l="1"/>
  <c r="C8" i="5" l="1"/>
  <c r="B17" i="12" s="1"/>
  <c r="B18" i="12"/>
  <c r="B19" i="12" l="1"/>
  <c r="C22" i="12" s="1"/>
</calcChain>
</file>

<file path=xl/comments1.xml><?xml version="1.0" encoding="utf-8"?>
<comments xmlns="http://schemas.openxmlformats.org/spreadsheetml/2006/main">
  <authors>
    <author>Lenovo</author>
  </authors>
  <commentList>
    <comment ref="B2" authorId="0" shapeId="0">
      <text>
        <r>
          <rPr>
            <b/>
            <sz val="9"/>
            <color indexed="81"/>
            <rFont val="Tahoma"/>
            <family val="2"/>
          </rPr>
          <t>Lenovo:</t>
        </r>
        <r>
          <rPr>
            <sz val="9"/>
            <color indexed="81"/>
            <rFont val="Tahoma"/>
            <family val="2"/>
          </rPr>
          <t xml:space="preserve">
Desarrollar unidad de medida</t>
        </r>
      </text>
    </comment>
  </commentList>
</comments>
</file>

<file path=xl/comments2.xml><?xml version="1.0" encoding="utf-8"?>
<comments xmlns="http://schemas.openxmlformats.org/spreadsheetml/2006/main">
  <authors>
    <author>Lenovo</author>
  </authors>
  <commentList>
    <comment ref="B3" authorId="0" shapeId="0">
      <text>
        <r>
          <rPr>
            <b/>
            <sz val="9"/>
            <color indexed="81"/>
            <rFont val="Tahoma"/>
            <family val="2"/>
          </rPr>
          <t>Lenovo:</t>
        </r>
        <r>
          <rPr>
            <sz val="9"/>
            <color indexed="81"/>
            <rFont val="Tahoma"/>
            <family val="2"/>
          </rPr>
          <t xml:space="preserve">
Desarrollar unidad de medida</t>
        </r>
      </text>
    </comment>
  </commentList>
</comments>
</file>

<file path=xl/comments3.xml><?xml version="1.0" encoding="utf-8"?>
<comments xmlns="http://schemas.openxmlformats.org/spreadsheetml/2006/main">
  <authors>
    <author>AUXILIAR SEM-7</author>
    <author>ANDRES ABRIL</author>
  </authors>
  <commentList>
    <comment ref="A24" authorId="0" shapeId="0">
      <text>
        <r>
          <rPr>
            <b/>
            <sz val="9"/>
            <color indexed="81"/>
            <rFont val="Tahoma"/>
            <family val="2"/>
          </rPr>
          <t>AUXILIAR SEM-7:</t>
        </r>
        <r>
          <rPr>
            <sz val="9"/>
            <color indexed="81"/>
            <rFont val="Tahoma"/>
            <family val="2"/>
          </rPr>
          <t xml:space="preserve">
se ajusto en 10 cupos mas para el Bra altamira presu. Participativos
valor adicionado en el presupuesto 91500000 y valor de de loos 10 cupos 81.461.120 </t>
        </r>
      </text>
    </comment>
    <comment ref="C34" authorId="1" shapeId="0">
      <text>
        <r>
          <rPr>
            <b/>
            <sz val="9"/>
            <color indexed="81"/>
            <rFont val="Tahoma"/>
            <family val="2"/>
          </rPr>
          <t>ANDRES ABRIL:</t>
        </r>
        <r>
          <rPr>
            <sz val="9"/>
            <color indexed="81"/>
            <rFont val="Tahoma"/>
            <family val="2"/>
          </rPr>
          <t xml:space="preserve">
como se determina esta cantidad </t>
        </r>
      </text>
    </comment>
  </commentList>
</comments>
</file>

<file path=xl/comments4.xml><?xml version="1.0" encoding="utf-8"?>
<comments xmlns="http://schemas.openxmlformats.org/spreadsheetml/2006/main">
  <authors>
    <author>Usuario</author>
  </authors>
  <commentList>
    <comment ref="K5" authorId="0" shapeId="0">
      <text>
        <r>
          <rPr>
            <b/>
            <sz val="9"/>
            <color indexed="81"/>
            <rFont val="Tahoma"/>
            <family val="2"/>
          </rPr>
          <t>Usuario:</t>
        </r>
        <r>
          <rPr>
            <sz val="9"/>
            <color indexed="81"/>
            <rFont val="Tahoma"/>
            <family val="2"/>
          </rPr>
          <t xml:space="preserve">
verificar esta operación por el redondeo realizado en el promedio ya que si no se aplica redondeo da 8 pesos menos</t>
        </r>
      </text>
    </comment>
  </commentList>
</comments>
</file>

<file path=xl/comments5.xml><?xml version="1.0" encoding="utf-8"?>
<comments xmlns="http://schemas.openxmlformats.org/spreadsheetml/2006/main">
  <authors>
    <author>Usuario</author>
  </authors>
  <commentList>
    <comment ref="F6" authorId="0" shapeId="0">
      <text>
        <r>
          <rPr>
            <b/>
            <sz val="9"/>
            <color indexed="81"/>
            <rFont val="Tahoma"/>
            <family val="2"/>
          </rPr>
          <t>Usuario:</t>
        </r>
        <r>
          <rPr>
            <sz val="9"/>
            <color indexed="81"/>
            <rFont val="Tahoma"/>
            <family val="2"/>
          </rPr>
          <t xml:space="preserve">
verificar y ajustar la cotización ya que el total consignado no corresponde
</t>
        </r>
      </text>
    </comment>
  </commentList>
</comments>
</file>

<file path=xl/comments6.xml><?xml version="1.0" encoding="utf-8"?>
<comments xmlns="http://schemas.openxmlformats.org/spreadsheetml/2006/main">
  <authors>
    <author>Usuario</author>
    <author>ANDRES ABRIL</author>
  </authors>
  <commentList>
    <comment ref="A2" authorId="0" shapeId="0">
      <text>
        <r>
          <rPr>
            <b/>
            <sz val="9"/>
            <color indexed="81"/>
            <rFont val="Tahoma"/>
            <family val="2"/>
          </rPr>
          <t>Usuario:</t>
        </r>
        <r>
          <rPr>
            <sz val="9"/>
            <color indexed="81"/>
            <rFont val="Tahoma"/>
            <family val="2"/>
          </rPr>
          <t xml:space="preserve">
verificar la pertinencia de ejecución de plazos diferentes toda vez que 8 meses excedería la fecha propuesta de ejecución del contrato esto es 31 de mayo de 2027</t>
        </r>
      </text>
    </comment>
    <comment ref="C5" authorId="1" shapeId="0">
      <text>
        <r>
          <rPr>
            <b/>
            <sz val="9"/>
            <color indexed="81"/>
            <rFont val="Tahoma"/>
            <family val="2"/>
          </rPr>
          <t>ANDRES ABRIL:</t>
        </r>
        <r>
          <rPr>
            <sz val="9"/>
            <color indexed="81"/>
            <rFont val="Tahoma"/>
            <family val="2"/>
          </rPr>
          <t xml:space="preserve">
este valor corresponde a 8 meses </t>
        </r>
      </text>
    </comment>
    <comment ref="C6" authorId="1" shapeId="0">
      <text>
        <r>
          <rPr>
            <b/>
            <sz val="9"/>
            <color indexed="81"/>
            <rFont val="Tahoma"/>
            <family val="2"/>
          </rPr>
          <t>ANDRES ABRIL:</t>
        </r>
        <r>
          <rPr>
            <sz val="9"/>
            <color indexed="81"/>
            <rFont val="Tahoma"/>
            <family val="2"/>
          </rPr>
          <t xml:space="preserve">
este valor corresponde a 8 meses </t>
        </r>
      </text>
    </comment>
    <comment ref="E6" authorId="0" shapeId="0">
      <text>
        <r>
          <rPr>
            <b/>
            <sz val="9"/>
            <color indexed="81"/>
            <rFont val="Tahoma"/>
            <family val="2"/>
          </rPr>
          <t>Usuario:</t>
        </r>
        <r>
          <rPr>
            <sz val="9"/>
            <color indexed="81"/>
            <rFont val="Tahoma"/>
            <family val="2"/>
          </rPr>
          <t xml:space="preserve">
verificar el valor de los domicilios ya que no corresponde con el promedio de las cotizaciones</t>
        </r>
      </text>
    </comment>
    <comment ref="C7" authorId="1" shapeId="0">
      <text>
        <r>
          <rPr>
            <b/>
            <sz val="9"/>
            <color indexed="81"/>
            <rFont val="Tahoma"/>
            <family val="2"/>
          </rPr>
          <t>ANDRES ABRIL:</t>
        </r>
        <r>
          <rPr>
            <sz val="9"/>
            <color indexed="81"/>
            <rFont val="Tahoma"/>
            <family val="2"/>
          </rPr>
          <t xml:space="preserve">
este valor corresponde a 8 meses </t>
        </r>
      </text>
    </comment>
  </commentList>
</comments>
</file>

<file path=xl/comments7.xml><?xml version="1.0" encoding="utf-8"?>
<comments xmlns="http://schemas.openxmlformats.org/spreadsheetml/2006/main">
  <authors>
    <author>Usuario</author>
  </authors>
  <commentList>
    <comment ref="H24" authorId="0" shapeId="0">
      <text>
        <r>
          <rPr>
            <b/>
            <sz val="9"/>
            <color indexed="81"/>
            <rFont val="Tahoma"/>
            <family val="2"/>
          </rPr>
          <t>Usuario:</t>
        </r>
        <r>
          <rPr>
            <sz val="9"/>
            <color indexed="81"/>
            <rFont val="Tahoma"/>
            <family val="2"/>
          </rPr>
          <t xml:space="preserve">
días</t>
        </r>
      </text>
    </comment>
  </commentList>
</comments>
</file>

<file path=xl/comments8.xml><?xml version="1.0" encoding="utf-8"?>
<comments xmlns="http://schemas.openxmlformats.org/spreadsheetml/2006/main">
  <authors>
    <author>Usuario</author>
    <author>ANDRES ABRIL</author>
  </authors>
  <commentList>
    <comment ref="D7" authorId="0" shapeId="0">
      <text>
        <r>
          <rPr>
            <b/>
            <sz val="9"/>
            <color indexed="81"/>
            <rFont val="Tahoma"/>
            <family val="2"/>
          </rPr>
          <t>Usuario:</t>
        </r>
        <r>
          <rPr>
            <sz val="9"/>
            <color indexed="81"/>
            <rFont val="Tahoma"/>
            <family val="2"/>
          </rPr>
          <t xml:space="preserve">
verificar este valor ya que en la cotización aparece diferente</t>
        </r>
      </text>
    </comment>
    <comment ref="M7" authorId="0" shapeId="0">
      <text>
        <r>
          <rPr>
            <b/>
            <sz val="9"/>
            <color indexed="81"/>
            <rFont val="Tahoma"/>
            <family val="2"/>
          </rPr>
          <t>Usuario:</t>
        </r>
        <r>
          <rPr>
            <sz val="9"/>
            <color indexed="81"/>
            <rFont val="Tahoma"/>
            <family val="2"/>
          </rPr>
          <t xml:space="preserve">
verificar este valor de acuerdo con la diferencia de la cotización 1 y eso variaría todo</t>
        </r>
      </text>
    </comment>
    <comment ref="A23" authorId="1" shapeId="0">
      <text>
        <r>
          <rPr>
            <b/>
            <sz val="9"/>
            <color indexed="81"/>
            <rFont val="Tahoma"/>
            <family val="2"/>
          </rPr>
          <t>ANDRES ABRIL:</t>
        </r>
        <r>
          <rPr>
            <sz val="9"/>
            <color indexed="81"/>
            <rFont val="Tahoma"/>
            <family val="2"/>
          </rPr>
          <t xml:space="preserve">
serian 7 entregas </t>
        </r>
      </text>
    </comment>
    <comment ref="A51" authorId="1" shapeId="0">
      <text>
        <r>
          <rPr>
            <b/>
            <sz val="9"/>
            <color indexed="81"/>
            <rFont val="Tahoma"/>
            <family val="2"/>
          </rPr>
          <t>ANDRES ABRIL:</t>
        </r>
        <r>
          <rPr>
            <sz val="9"/>
            <color indexed="81"/>
            <rFont val="Tahoma"/>
            <family val="2"/>
          </rPr>
          <t xml:space="preserve">
siete entregas </t>
        </r>
      </text>
    </comment>
  </commentList>
</comments>
</file>

<file path=xl/comments9.xml><?xml version="1.0" encoding="utf-8"?>
<comments xmlns="http://schemas.openxmlformats.org/spreadsheetml/2006/main">
  <authors>
    <author>Usuario</author>
  </authors>
  <commentList>
    <comment ref="D14" authorId="0" shapeId="0">
      <text>
        <r>
          <rPr>
            <b/>
            <sz val="9"/>
            <color indexed="81"/>
            <rFont val="Tahoma"/>
            <family val="2"/>
          </rPr>
          <t>Usuario:</t>
        </r>
        <r>
          <rPr>
            <sz val="9"/>
            <color indexed="81"/>
            <rFont val="Tahoma"/>
            <family val="2"/>
          </rPr>
          <t xml:space="preserve">
este valor no corresponde con la cotizacion</t>
        </r>
      </text>
    </comment>
    <comment ref="N14" authorId="0" shapeId="0">
      <text>
        <r>
          <rPr>
            <b/>
            <sz val="9"/>
            <color indexed="81"/>
            <rFont val="Tahoma"/>
            <family val="2"/>
          </rPr>
          <t>Usuario:</t>
        </r>
        <r>
          <rPr>
            <sz val="9"/>
            <color indexed="81"/>
            <rFont val="Tahoma"/>
            <family val="2"/>
          </rPr>
          <t xml:space="preserve">
al encontrarse un valor diferente al de la cotización este valor varía y por ende el total. Vereificar el redondeorealizado </t>
        </r>
      </text>
    </comment>
    <comment ref="D37" authorId="0" shapeId="0">
      <text>
        <r>
          <rPr>
            <b/>
            <sz val="9"/>
            <color indexed="81"/>
            <rFont val="Tahoma"/>
            <family val="2"/>
          </rPr>
          <t>Usuario:</t>
        </r>
        <r>
          <rPr>
            <sz val="9"/>
            <color indexed="81"/>
            <rFont val="Tahoma"/>
            <family val="2"/>
          </rPr>
          <t xml:space="preserve">
verificar de acuerdo con el comentario en el cuadro anterior</t>
        </r>
      </text>
    </comment>
  </commentList>
</comments>
</file>

<file path=xl/comments10.xml><?xml version="1.0" encoding="utf-8"?>
<comments xmlns="http://schemas.openxmlformats.org/spreadsheetml/2006/main">
  <authors>
    <author>ANDRES ABRIL</author>
    <author>Usuario</author>
  </authors>
  <commentList>
    <comment ref="C12" authorId="0" shapeId="0">
      <text>
        <r>
          <rPr>
            <b/>
            <sz val="9"/>
            <color indexed="81"/>
            <rFont val="Tahoma"/>
            <family val="2"/>
          </rPr>
          <t>ANDRES ABRIL:</t>
        </r>
        <r>
          <rPr>
            <sz val="9"/>
            <color indexed="81"/>
            <rFont val="Tahoma"/>
            <family val="2"/>
          </rPr>
          <t xml:space="preserve">
discrepa de las cantidades del estudio previo se debe unificar </t>
        </r>
      </text>
    </comment>
    <comment ref="F14" authorId="1" shapeId="0">
      <text>
        <r>
          <rPr>
            <b/>
            <sz val="9"/>
            <color indexed="81"/>
            <rFont val="Tahoma"/>
            <family val="2"/>
          </rPr>
          <t>Usuario:</t>
        </r>
        <r>
          <rPr>
            <sz val="9"/>
            <color indexed="81"/>
            <rFont val="Tahoma"/>
            <family val="2"/>
          </rPr>
          <t xml:space="preserve">
Esta sumatoria esta mal en la cotización ajustar</t>
        </r>
      </text>
    </comment>
    <comment ref="G14" authorId="1" shapeId="0">
      <text>
        <r>
          <rPr>
            <b/>
            <sz val="9"/>
            <color indexed="81"/>
            <rFont val="Tahoma"/>
            <family val="2"/>
          </rPr>
          <t>Usuario:</t>
        </r>
        <r>
          <rPr>
            <sz val="9"/>
            <color indexed="81"/>
            <rFont val="Tahoma"/>
            <family val="2"/>
          </rPr>
          <t xml:space="preserve">
ajustar este valor en la cotización la sumatoria esta mal</t>
        </r>
      </text>
    </comment>
    <comment ref="F26" authorId="1" shapeId="0">
      <text>
        <r>
          <rPr>
            <b/>
            <sz val="9"/>
            <color indexed="81"/>
            <rFont val="Tahoma"/>
            <family val="2"/>
          </rPr>
          <t>Usuario:</t>
        </r>
        <r>
          <rPr>
            <sz val="9"/>
            <color indexed="81"/>
            <rFont val="Tahoma"/>
            <family val="2"/>
          </rPr>
          <t xml:space="preserve">
este valor no corresponde con el de la cotización</t>
        </r>
      </text>
    </comment>
    <comment ref="J26" authorId="1" shapeId="0">
      <text>
        <r>
          <rPr>
            <b/>
            <sz val="9"/>
            <color indexed="81"/>
            <rFont val="Tahoma"/>
            <family val="2"/>
          </rPr>
          <t>Usuario:</t>
        </r>
        <r>
          <rPr>
            <sz val="9"/>
            <color indexed="81"/>
            <rFont val="Tahoma"/>
            <family val="2"/>
          </rPr>
          <t xml:space="preserve">
ajustar de acuerdo con los valores de las cotizaciones</t>
        </r>
      </text>
    </comment>
  </commentList>
</comments>
</file>

<file path=xl/comments11.xml><?xml version="1.0" encoding="utf-8"?>
<comments xmlns="http://schemas.openxmlformats.org/spreadsheetml/2006/main">
  <authors>
    <author>Usuario</author>
  </authors>
  <commentList>
    <comment ref="B16" authorId="0" shapeId="0">
      <text>
        <r>
          <rPr>
            <b/>
            <sz val="9"/>
            <color indexed="81"/>
            <rFont val="Tahoma"/>
            <family val="2"/>
          </rPr>
          <t>Usuario:</t>
        </r>
        <r>
          <rPr>
            <sz val="9"/>
            <color indexed="81"/>
            <rFont val="Tahoma"/>
            <family val="2"/>
          </rPr>
          <t xml:space="preserve">
verificar los totales de acuerdo con las observaciones de las demás hojas</t>
        </r>
      </text>
    </comment>
  </commentList>
</comments>
</file>

<file path=xl/sharedStrings.xml><?xml version="1.0" encoding="utf-8"?>
<sst xmlns="http://schemas.openxmlformats.org/spreadsheetml/2006/main" count="536" uniqueCount="244">
  <si>
    <t>CANTIDAD SEMANAL</t>
  </si>
  <si>
    <t>Bebida/ caliente o fría: jugo natural, bebida láctea (yogurt, kumis) café, chocolate, avena, té 11 onzas.</t>
  </si>
  <si>
    <t>Harina o cereal: torta casera, pastel de pollo, sanduche, galletas, entre otros 70 gr.</t>
  </si>
  <si>
    <t>Porción de Fruta 60 gr.</t>
  </si>
  <si>
    <t>TOTAL</t>
  </si>
  <si>
    <t xml:space="preserve">VALOR UNITARIO </t>
  </si>
  <si>
    <t>VALOR
UNITARIO
PROMEDIO</t>
  </si>
  <si>
    <t xml:space="preserve">VALOR
MENSUAL
PROMEDIO </t>
  </si>
  <si>
    <t>2. COMEDOR NUTRICIONAL ADULTO MAYOR</t>
  </si>
  <si>
    <t>A. Suministro servicio de alimentación</t>
  </si>
  <si>
    <t>SUMINISTRO SERVICIO ALIMENTACION COMEDOR</t>
  </si>
  <si>
    <t xml:space="preserve">VALOR PROMEDIO DÍA </t>
  </si>
  <si>
    <t xml:space="preserve">Desayuno: bebida caliente o fría de 11 onzas (café, chocolate, jugo natural, avena, te) , proteína de 60 gr (huevos, queso) harina/ cereal 50 gr (pan, tostadas, croissant, arepas) y porción de fruta 60 gr.
</t>
  </si>
  <si>
    <t xml:space="preserve">TOTAL </t>
  </si>
  <si>
    <t>VALOR PROMEDIO DIA</t>
  </si>
  <si>
    <t>Prestar el suministro de asistencia alimentaria de lunes a sábado sin ninguna interrupción (incluyendo días lunes festivo) correspondiente a desayuno, almuerzo, y cena a la población adulto mayor que esté inscrita en el programa Adulto Mayor que ofrece el Municipio (De acuerdo a minuta)</t>
  </si>
  <si>
    <t>ALIMENTACIÓN</t>
  </si>
  <si>
    <t>VALOR UN (1) DIA</t>
  </si>
  <si>
    <t>Personal centro de atención - Comedor nutricional para adultos mayores.</t>
  </si>
  <si>
    <t xml:space="preserve">CANTIDAD
</t>
  </si>
  <si>
    <t xml:space="preserve">DESCRIPCION
</t>
  </si>
  <si>
    <t xml:space="preserve">REQUISITOS </t>
  </si>
  <si>
    <t>ECONOMAS
LA PREPARACIÓN Y ALISTAMIENTO DE LOS ALIMENTOS PARA LOS ADULTOS MAYORES, CON UNA PERIODICIDAD DIARIA (TRES VECES AL DÍA) (DESAYUNO, ALMUERZO, Y CENA).</t>
  </si>
  <si>
    <t>PERSONA PARA ASEO Y SERVICIOS GENERALES.
PERSONAS QUE SE ENCARGAN DE ASEO Y MANTENIMIENTO DE LAS INSTALACIONES Y DEL LAVADO Y ARREGLO DE LA ROPA DE LOS ADULTOS MAYORES.</t>
  </si>
  <si>
    <t>EXPERIENCIA MAYOR A UN (1) AÑO CON POBLACION ADULTA MAYOR Y/O ESTUDIOS EN MANEJO DE RESIDUOS HOSPITALARIOS.</t>
  </si>
  <si>
    <t>CURSO CERTIFICADO EN MANIPULACIÓN DE ALIMENTOS.
EXPERIENCIA MAYOR A 1 AÑO EN MANIPULACIÓN DE ALIMENTOS, EN PROGRAMAS DE ADULTO MAYOR.
DEBEN CONTAR CON LA DOCUMENTACIÓN REQUERIDA POR LA SECRETARIA DE SALUD (CARNET DE MANIPULACIÓN DE ALIMENTOS) DE ACUERDO CON LO DISPUESTO EN EL ANEXO TÉCNICO DE LA RESOLUCIÓN 024</t>
  </si>
  <si>
    <t xml:space="preserve">VALOR MENSUAL  PROMEDIO </t>
  </si>
  <si>
    <t>DETALLE</t>
  </si>
  <si>
    <t>CANTIDAD</t>
  </si>
  <si>
    <t>VALOR
UNITARIO SIN
IVA</t>
  </si>
  <si>
    <t>IVA 19%</t>
  </si>
  <si>
    <t>VALOR
UNITARIO
CON IVA</t>
  </si>
  <si>
    <t>PROMEDIO IVA 19%</t>
  </si>
  <si>
    <t>VALOR
UNITARIO PROMEDIO 
CON IVA</t>
  </si>
  <si>
    <t xml:space="preserve">PROMEDIOS </t>
  </si>
  <si>
    <t>VALOR
UNITARIO PROMEDIO MES 
CON IVA</t>
  </si>
  <si>
    <t>SUMINISTRO</t>
  </si>
  <si>
    <t>SERVICIO ALIMENTACIÓN ADULTOS MAYORES</t>
  </si>
  <si>
    <t>VALOR PERSONAL COMEDORES NUTRICIONALES</t>
  </si>
  <si>
    <t>INFRAESTRUCTURA FISICA COMEDOR NUTRICIONAL</t>
  </si>
  <si>
    <t>SUMINISTRO SERVICIO ALIMENTACION PARA ADULTOS MAYORES</t>
  </si>
  <si>
    <t>Desayuno: bebida caliente o fría de 11 onzas (café, chocolate, jugo natural, avena, te) , proteína de 60 gr (huevos, queso) harina/ cereal 50 gr (pan, tostadas, croissant, arepas) y porción de fruta 60 gr.</t>
  </si>
  <si>
    <t>Refrigerios: Bebida/ caliente o fría: jugo natural bebida láctea (yogurt, kumis) café, chocolate, avena, té de 11 oz, porción de fruta de 50gr.</t>
  </si>
  <si>
    <t>Refrigerios: Bebida/ caliente o fría: jugo natural, bebida láctea (yogurt, kumis) café, chocolate, avena, té de 11 oz Harina o cereal: torta casera, pastel de pollo, sandwich, galletas, entre otros de 50 gr.</t>
  </si>
  <si>
    <t>CANTIDAD DE PERSONAS</t>
  </si>
  <si>
    <t>VALOR PROMEDIO UNITARIO</t>
  </si>
  <si>
    <t>VALOR UN DIA</t>
  </si>
  <si>
    <t>VALOR 30 DIAS</t>
  </si>
  <si>
    <t>KIT DE ASEO PERSONAL</t>
  </si>
  <si>
    <t>KIT DE ASEO PARA HOMBRE</t>
  </si>
  <si>
    <t>VALOR
UNITARIO  SIN
IVA</t>
  </si>
  <si>
    <t>VALOR
UNITARIO   SIN
IVA</t>
  </si>
  <si>
    <t>VALOR
UNITARIO 
CON IVA</t>
  </si>
  <si>
    <t>VALOR
UNITARIO PROMEDIO  SIN
IVA</t>
  </si>
  <si>
    <t>Jabón de tocador de 120 gramos</t>
  </si>
  <si>
    <t>Tubo de crema dental de 125 gramos</t>
  </si>
  <si>
    <t>Cepillo de dientes</t>
  </si>
  <si>
    <t>Peinilla</t>
  </si>
  <si>
    <t>Desodorante roll on</t>
  </si>
  <si>
    <t>Cortauñas</t>
  </si>
  <si>
    <t>Talcos para pies de 125 gramos</t>
  </si>
  <si>
    <t>Prestobarba o máquina de afeitar doble hoja</t>
  </si>
  <si>
    <t xml:space="preserve">Suministro de elementos de aseo para hombres </t>
  </si>
  <si>
    <t xml:space="preserve">CANTIDAD DE PERSONAS </t>
  </si>
  <si>
    <t>Lima de uñas</t>
  </si>
  <si>
    <t xml:space="preserve">KIT DE ASEO PARA MUJER </t>
  </si>
  <si>
    <t>ADULTO MAYOR MUJER</t>
  </si>
  <si>
    <t>VALOR
UNITARIO PROMEDIO   SIN
IVA</t>
  </si>
  <si>
    <t>Sudadera (chaqueta y pantalón) en material impermeable, con forro, costuras reforzadas, bolsillos con cremallera, con bordado institucional.</t>
  </si>
  <si>
    <t>Camiseta en cuello redondo, doble cuello, costuras reforzadas, con bordado institucional.</t>
  </si>
  <si>
    <t>Gorra bordada con logo institucional.</t>
  </si>
  <si>
    <t>Par de medias</t>
  </si>
  <si>
    <t>Brassier deportivo sin costuras</t>
  </si>
  <si>
    <t>Ropa interior</t>
  </si>
  <si>
    <t>Pijama</t>
  </si>
  <si>
    <t>Toalla para baño mediana.</t>
  </si>
  <si>
    <t>KIT DE ASEO PARA HOMBRE PRIMERA ENTREGA</t>
  </si>
  <si>
    <t xml:space="preserve">Suministro de elementos de aseo para hombres  (sin cortauñas) </t>
  </si>
  <si>
    <t xml:space="preserve">KIT DE ASEO PARA HOMBRE </t>
  </si>
  <si>
    <t>KIT DE ASEO PARA MUJER  PRIMERA ENTREGA</t>
  </si>
  <si>
    <t xml:space="preserve">Suministro de elementos de aseo para mujeres </t>
  </si>
  <si>
    <t xml:space="preserve">Suministro de elementos de aseo para mujeres  (sin cortauñas) </t>
  </si>
  <si>
    <t>VALOR
TOTAL
CON IVA</t>
  </si>
  <si>
    <t>VALOR
TOTAL 
CON IVA</t>
  </si>
  <si>
    <t>VALOR
TOTAL  PROMEDIO 
CON IVA</t>
  </si>
  <si>
    <t xml:space="preserve">PRODUCTO/MUJER </t>
  </si>
  <si>
    <t xml:space="preserve">HOMBRE </t>
  </si>
  <si>
    <t xml:space="preserve">PRODUCTO/HOMBRE  </t>
  </si>
  <si>
    <t>Camiseta en cuello redondo, doble cuello, costuras reforzadas, con bordado institucional</t>
  </si>
  <si>
    <t>DESCRIPCION</t>
  </si>
  <si>
    <t>VALOR
UNITARIO MENSUAL SIN
IVA</t>
  </si>
  <si>
    <t>VALOR
UNITARIO MENSUAL 
CON IVA</t>
  </si>
  <si>
    <t>VALOR
UNITARIO PROMEDIO MENSUAL   SIN
IVA</t>
  </si>
  <si>
    <t>VALOR
UNITARIO PROMEDIO  MENSUAL 
CON IVA</t>
  </si>
  <si>
    <t>PROFESIONAL EN
NUTRICIÓN Y DIETETICA
ENCARGADO DE DAR
SOPORTE NUTRICIONAL Y
DETERMINAR CUÁL ES LA
MEJOR OPCIÓN DE
ALIMENTACIÓN PARA CADA
ADULTO MAYOR.
SE ENCARGARA
IGUALMENTE DE
PROMOVER HÁBITOS DE
VIDA SALUDABLE Y
AJUSTARA LAS MINUTAS
DE ACURDO A LAS
NECESIDADES DE LA
POBLACIÓN ADULTO
MAYOR.</t>
  </si>
  <si>
    <t>SE REQUIERE DE UN
PROFESIONAL EN
NUTRICIÓN Y
DIETETICA CON
TÍTULO OTORGADO
POR UNA
INSTITUCIÓN
UNIVERSITARIA
LEGALMENTE
RECONOCIDA EN
COLOMBIA. (TARJETA
PROFESIONAL).
EXPERIENCIA
CERTIFICADA DE
MÍNIMO 2 AÑOS CON
POBLACIÓN ADULTA
MAYOR
ESPECIALMENTE EN
FORMULACIÓN DE
TRATAMIENTOS
DIETÉTICOS PARA
ADULTOS Y MANEJO
EN SERVICIO DE
ALIMENTACIÓN .</t>
  </si>
  <si>
    <t>AUXILIAR DE
ENFERMERIA
SUMINISTRO DE
MEDICAMENTOS, GESTIÓN
DE CITAS, TRASLADOS Y
ATENCIÓN EN PRIMEROS
AUXILIOS.</t>
  </si>
  <si>
    <t>COORDINADOR
GENERAL
PROFESIONAL EN
CARRERAS
ADMINISTRATIVAS, SALUD
Y/O TRABAJO SOCIAL Y/O
QUÍMICA DE ALIMENTOS;
QUIEN SE ENCARGARA DE
LA SUPERVISIÓN,  CONTROL Y MANEJO DEL
CENTRO GERIÁTRICO DE
PROTECCIÓN DÍA Y DEL
COMEDOR NUTRICIONAL..</t>
  </si>
  <si>
    <t>SE REQUIERE DE UN
PROFESIONAL CON
TÍTULO EN
CARRERAS
ADMINISTRATIVAS,
SALUD Y/O TRABAJO
SOCIAL Y/O QUÍMICA
DE ALIMENTOS,
OTORGADO POR UNA NSTITUCIÓN
UNIVERSITARIA
LEGALMENTE
RECONOCIDA EN
COLOMBIA. (TARJETA
PROFESIONAL PARA
LAS PROFESIONES
QUE ESTE
REGLAMENTADO
POR LA LEY).
EXPERIENCIA
CERTIFICADA DE
MÍNIMO DE TRES
AÑOS EN LA
COORDINACIÓN DE
PROYECTOS Y/O
PROGRAMAS DE
ATENCIÓN DE
SERVICIO DE
PROTECCIÓN
INTEGRAL AL
ADULTO MAYOR Y/O
CENTROS
GERIÁTRICOS.</t>
  </si>
  <si>
    <t>PSICOLOGO.
PROFESIONAL EN
PSICOLOGÍA, QUIEN SE
ENCARGARÁ DE BRINDAR
ACOMPAÑAMIENTO Y
ATENCIÓN PSICOLÓGICA A
LOS ADULTOS MAYORES
DEL HOGAR GERIÁTRICO.</t>
  </si>
  <si>
    <t>SE REQUIERE
PROFESIONAL EN
PSICOLOGÍA CON
TÍTULO OTORGADO
POR UNA
INSTITUCIÓN
UNIVERSITARIA
LEGALMENTE
RECONOCIDA EN
COLOMBIA. (TARJETA
PROFESIONAL PARA
LAS PROFESIONES
QUE ESTE
REGLAMENTADO
POR LA LEY).
EXPERIENCIA
CERTIFICADA DE
MÍNIMO 2 AÑOS EN
ATENCIÓN AL
ADULTO MAYOR</t>
  </si>
  <si>
    <t>FISIOTERAPEUTA.
PROFESIONAL
ENCARGADO DE REALIZAR
LA RUTINA DE EJERCICIOS
CON EL FIN DE
FORTALECER Y ESTIMULAR
LOS MÚSCULOS Y
ARTICULACIONES DE LOS
ADULTOS MAYORES DEL
HOGAR GERIÁTRICO Y
APLICACIÓN DE TERAPIAS
ALTERNATIVAS.</t>
  </si>
  <si>
    <t>ECONOMAS
PERSONAS QUE SE
ENCARGAN DE LA
PREPARACIÓN Y
ALISTAMIENTO DE LOS
ALIMENTOS PARA LOS
ADULTOS MAYORES, CON
UNA PERIODICIDAD DIARIA
(CINCO VECES AL DÍA)
(DESAYUNO, REFRIGERIO,
ALMUERZO, REFRIGERIO Y
COMIDA).</t>
  </si>
  <si>
    <t>CURSO CERTIFICADO
EN MANIPULACIÓN
DE ALIMENTOS.
EXPERIENCIA MAYOR
A 1 AÑO EN
MANIPULACIÓN DE
ALIMENTOS EN
PROGRAMAS DE
ADULTO MAYOR.
DEBEN CONTAR CON
LA DOCUMENTACIÓN
REQUERIDA POR LA
SECRETARIA DE
SALUD (CARNET DE
MANIPULACIÓN DE
ALIMENTOS) DE
ACUERDO CON LO
DISPUESTO EN EL
ANEXO TÉCNICO DE
LA RESOLUCIÓN 024
DEL 11 DE ENERO DE
2014.</t>
  </si>
  <si>
    <t>PERSONAL DE
LAVANDERIA Y ASEO
PERSONAS QUE SE
ENCARGAN DE ASEO Y
MANTENIMIENTO DE LAS
INSTALACIONES Y DEL
LAVADO Y ARREGLO DE LA
ROPA DE LOS ADULTOS
MAYORES,</t>
  </si>
  <si>
    <t>EXPERIENCIA MAYOR
A UN (1) AÑO CON
POBLACION ADULTA
MAYOR Y/O
ESTUDIOS EN
MANEJO DE
RESIDUOS
HOSPITALARIOS..</t>
  </si>
  <si>
    <t>REQUISITOS</t>
  </si>
  <si>
    <t>PERSONAL PARA EL FUNCIONAMIENTO DEL HOGAR</t>
  </si>
  <si>
    <t>INFRAESTRUCTURA</t>
  </si>
  <si>
    <t xml:space="preserve">SUMINISTRO DE REFRIGERIOS  </t>
  </si>
  <si>
    <t>CENTRO DE PROTECCIÓN EN LA MODALIDAD HOGAR GERIÁTRICO COMEDOR NUTRICIONAL PARA ADULTOS MAYORES.</t>
  </si>
  <si>
    <t>CENTRO DE PROTECCIÓN EN LA MODALIDAD HOGAR GERIATRICO, PARA ADULTOS MAYORES</t>
  </si>
  <si>
    <t xml:space="preserve">Valor promedio  refrigerios </t>
  </si>
  <si>
    <t xml:space="preserve">valor unitario </t>
  </si>
  <si>
    <t xml:space="preserve">Valor total </t>
  </si>
  <si>
    <t xml:space="preserve">Valor promedio </t>
  </si>
  <si>
    <t>Papel higiénico doble hoja 80 gramos</t>
  </si>
  <si>
    <t xml:space="preserve">Pañitos húmedos por 60 unidades </t>
  </si>
  <si>
    <t xml:space="preserve">VALOR PROMEDIO 23  KIT  ADULTOS MAYORES  PRIMER MES </t>
  </si>
  <si>
    <t xml:space="preserve">VALOR PROMEDIO 23  KIT  ADULTOS MAYORES </t>
  </si>
  <si>
    <t xml:space="preserve">VALOR TOTAL PROMEDIO </t>
  </si>
  <si>
    <t>VALOR TOTAL PROMEDIO</t>
  </si>
  <si>
    <t>TOTAL 23 HOMBRES</t>
  </si>
  <si>
    <t xml:space="preserve">Total </t>
  </si>
  <si>
    <t>KIT DE ASEO PARA HOMBRES (23).</t>
  </si>
  <si>
    <t>DOTACION Y VESTUARIO HOMBRE (23)</t>
  </si>
  <si>
    <t>Suministro de elementos de aseo para hombres (con cortauñas)</t>
  </si>
  <si>
    <t>Suministro de elementos de aseo para mujeres (con cortauñas)</t>
  </si>
  <si>
    <t xml:space="preserve">VALOR PROMEDIO 1 KIT  ADULTOS MAYORES  PRIMER MES </t>
  </si>
  <si>
    <t>TOTAL 17 MUJERES</t>
  </si>
  <si>
    <t>VALOR DIA SIN IVA</t>
  </si>
  <si>
    <t>VALOR 12 DIAS IVA</t>
  </si>
  <si>
    <t>TOTAL 12 DIAS</t>
  </si>
  <si>
    <t>VALOR PROMEDIO
UNITARIO MENSUAL SIN
IVA</t>
  </si>
  <si>
    <t>VALOR PROMEDIO
UNITARIO MENSUAL 
CON IVA</t>
  </si>
  <si>
    <t>IVA PROMEDIO MES 19%</t>
  </si>
  <si>
    <t>SERVICIO ALIMENTACIÓN PARA 40 ADULTOS MAYORES</t>
  </si>
  <si>
    <t>KIT DE ASEO PARA MUJER (17)</t>
  </si>
  <si>
    <t>DOTACION Y VESTUARIO MUJER (17)</t>
  </si>
  <si>
    <t>VALOR 15 DIAS SIN IVA</t>
  </si>
  <si>
    <t>VALOR 15 DIAS IVA</t>
  </si>
  <si>
    <t xml:space="preserve">VALOR MENSUAL  PROMEDIO  TOTAL  </t>
  </si>
  <si>
    <t>VALOR PROMEDIO DIA 150 ADULTOS</t>
  </si>
  <si>
    <t>Cena: proteína 150 gr (carne, pescado, cerdo, pollo) Hortalizas y Verduras 100 gr (ensaladas, verduras caliente, etc.) leguminosas secas 60 gr (garbanzo, lenteja, frijol) cereal 90 gr (arroz), raíces tubérculos y plátano 80 gr (plátano, yuca, papa) jugo de fruta 300 cc.</t>
  </si>
  <si>
    <t xml:space="preserve">SE REQUIERE DE UN
PROFESIONAL CON
TÍTULO EN TERAPIA
FÍSICA, OTORGADO
POR UNA
INSTITUCIÓN
UNIVERSITARIA
LEGALMENTE
RECONOCIDA EN
COLOMBIA. (TARJETA
PROFESIONAL). CON
EXPERIENCIA
PROFESIONAL
CERTIFICADA DE
MÍNIMO 2 AÑOS CON
ADULTO MAYOR.
DEBE CONTAR CON
TRES JORNADAS DE
ACTUALIZACIÓN EN
DIFERENTES TEMAS
FISIOTERAPÉUTICOS
REALIZADAS POR
UNA INSTITUCIÓN
UNIVERSITARIA
LEGALMENTE
RECONOCIDA EN
COLOMBIA. </t>
  </si>
  <si>
    <t>IMPREVISTOS. NO POST. SERVICIO FUNERARIO</t>
  </si>
  <si>
    <t>IMPREVISTOS:  NO POST</t>
  </si>
  <si>
    <t>Almuerzo: sopa 250 cc, proteico 150gr. carne, pescado, cerdo, pollo) Hortalizas y Verduras 100 gr (ensaladas, verduras caliente, etc.) leguminosas secas 60 gr (garbanzo, lenteja, frijol) cereal 90 gr (arroz), raíces tubérculos y plátano 80 gr (plátano, yuca, papa) jugo de fruta de cosecha 300 cc.</t>
  </si>
  <si>
    <t>Almuerzo: sopa 250 cc, proteico 150gr (carne, pescado, cerdo, pollo) Hortalizas y Verduras 100 gr (ensaladas, verduras caliente, etc.) leguminosas secas 60 gr (garbanzo, lenteja, frijol) cereal 90 gr (arroz), raíces tubérculos y plátano 80 gr (plátano, yuca, papa) jugo de fruta de cosecha 300 cc.</t>
  </si>
  <si>
    <t>Cena: proteína 150 gr (carne, pescado, cerdo, pollo) Hortalizas y Verduras 100 gr (ensaladas, verduras caliente, etc.) leguminosas secas 60 gr (garbanzo, lenteja, frijol) cereal 90 gr (arroz), raíces tubérculos y plátano 80 gr (plátano, yuca, papa) jugo de fruta 300cc.</t>
  </si>
  <si>
    <t>IMPREVISTOS, NO POST Y SERVICIOS FUNERARIOS</t>
  </si>
  <si>
    <t>SUMINISTRO DE REFRIGERIO PARA ADULTO MAYOR</t>
  </si>
  <si>
    <t>VALOR PARA CIENTO CINCUENTA (150) ADULTOS MAYORES</t>
  </si>
  <si>
    <t xml:space="preserve">CENTRO DE PROTECCIÓN EN LA MODALIDAD HOGAR GERIÁTRICO PARA ADULTOS MAYORES SUMINISTRO SERVICIO ALIMENTACION PARA CUARENTA (40) ADULTOS MAYORES </t>
  </si>
  <si>
    <t>PROPACHAMAMA</t>
  </si>
  <si>
    <t xml:space="preserve">VALOR PROMEDIO MENSUAL  </t>
  </si>
  <si>
    <t xml:space="preserve">VALOR PROMEDIO 17  ADULTOS MAYORES </t>
  </si>
  <si>
    <t>Shampoo de 400 ML.</t>
  </si>
  <si>
    <t>Par de Tenis (Se podrá suministrar 2 pantuflas en los casos que por recomendación médica se requiera)</t>
  </si>
  <si>
    <t>JEFE DE
ENFERMERIA
SUMINISTRO DE
MEDICAMENTOS, GESTIÓN
DE CITAS, TRASLADOS Y
ATENCIÓN EN PRIMEROS
AUXILIOS.</t>
  </si>
  <si>
    <t>SE REQUIEREN DE
UN JEFE ENFERMERÍA,
CON TÍTULO
OTORGADO POR UNA
INSTITUCIÓN
LEGALMENTE
RECONOCIDA EN
COLOMBIA.
EXPERIENCIA
MÍNIMO DE 3 AÑOS
CERTIFICADA EN
POBLACIÓN ADULTO
MAYOR Y/O CONTAR
CON CURSO EN
PRIMEROS AUXILIOS.</t>
  </si>
  <si>
    <t>VALOR PROMEDIO 16 DÍAS</t>
  </si>
  <si>
    <t xml:space="preserve">VALOR TOTAL PROMEDIO
6 MESES </t>
  </si>
  <si>
    <t xml:space="preserve">QUIMICO., QUÍMICO DE
ALIMENTOS, INGENIERO DE
ALIMENTOS, PROFESIONAL
ENCARGADO DE APLICAR
PROCESOS DE CALIDAD A
CADA UNO DE LOS
ALIMENTOS
PROPORCIONADOS A LOS
ADULTOS MAYORES EN
LOS CENTROS VIDA
(REFRIGERIOS), HOGAR
GERIÁTRICO Y
COMEDORES
NUTRICIONALES.
</t>
  </si>
  <si>
    <t xml:space="preserve">E REQUIERE DE UN
PROFESIONAL CON
TÍTULO EN
QUIMICA,QUIMICO DE
ALIMENTOS Y/O
INGENIERO DE
ALIMENTOS CON
TITULO OTORGADO
POR UNA
INSTITUCIÓN
UNIVERSITARIA
LEGALMENTE
RECONOCIDA EN
COLOMBIA (TARJETA
PROFESIONAL PARA
LAS PROFESIONES
QUE ESTE
REGLAMENTADO
POR LA LEY). CON
ESPE CON
ESPECIALIZACION EN
SEGURIDAD Y
CALIDAD
ALIMENTARIA,
EXPERIENCIA
PROFESIONAL
CERTIFICADA DE
MÍNIMO 2 AÑOS CON
ADULTO MAYOR.
</t>
  </si>
  <si>
    <t>VALOR TOTAL 6 MESES Y 16 DÍAS</t>
  </si>
  <si>
    <t>UND</t>
  </si>
  <si>
    <t>Und</t>
  </si>
  <si>
    <t>VALOR
MENSUAL
PROMEDIO (4 SEMANAS/MES)</t>
  </si>
  <si>
    <t>UNIDAD</t>
  </si>
  <si>
    <t>COSTO DIARIO POR ADULTO MAYOR BENEFICIARIO</t>
  </si>
  <si>
    <t>TOTAL VALOR MENSUAL PERSONAS REQUERIDO PARA EL COMEDOR NUTRICIONAL.</t>
  </si>
  <si>
    <t>INFRAESTRUCTURA FISICA COMEDOR NUTRICIONAL SECTOR OCCIDENTAL -  ALTAMIRA</t>
  </si>
  <si>
    <t xml:space="preserve">INFRAESTRUCTURA FISICA COMEDOR NUTRICIONAL SECTOR SUR EL COMEDOR SUR - UBICADO EN EL SECTOR SUR DE LA CIUDAD DE TUNJA </t>
  </si>
  <si>
    <t xml:space="preserve">INFRAESTRUCTURA FISICA COMEDOR NUTRICIONAL SECTOR ORIENTAL EL COMEDOR ORIENTAL  - BARRIO EL DORADO </t>
  </si>
  <si>
    <t xml:space="preserve">INFRAESTRUCTURA FISICA COMEDOR NUTRICIONAL SECTOR CENTRO (Casco Urbano) </t>
  </si>
  <si>
    <t>VALOR
UNITARIO (SIN IVA)</t>
  </si>
  <si>
    <t>IVA (19%)</t>
  </si>
  <si>
    <t>VALOR
UNITARIO PROMEDIO MES  (SIN IVA)</t>
  </si>
  <si>
    <t>PROMEDIO IVA (19%)</t>
  </si>
  <si>
    <t xml:space="preserve">CENTRO DE PROTECCIÓN EN LA MODALIDAD HOGAR GERIÁTRICO PARA ADULTOS MAYORES SUMINISTRO SERVICIO ALIMENTACION  DIA/ POR BENEFICIARIO </t>
  </si>
  <si>
    <t>VALOR PROMEDIO DIARIO/ PERSONA</t>
  </si>
  <si>
    <t>VALOR PROMEDIO</t>
  </si>
  <si>
    <t>CANT</t>
  </si>
  <si>
    <t>VALOR UNITARIO</t>
  </si>
  <si>
    <t>VALOR TOTAL</t>
  </si>
  <si>
    <t>OBSERVACIONES</t>
  </si>
  <si>
    <t>Primera entrega</t>
  </si>
  <si>
    <t>CANTIDAD ENTREGAS</t>
  </si>
  <si>
    <t>N°. BENEFICIARIOS</t>
  </si>
  <si>
    <t>Siguientes entregas</t>
  </si>
  <si>
    <t>Subtotal Hombres</t>
  </si>
  <si>
    <t>Subtotal Mujeres</t>
  </si>
  <si>
    <t>DOTACIÓN CABALLEROS</t>
  </si>
  <si>
    <t>DOTACION DAMAS</t>
  </si>
  <si>
    <t>DESCRIPCIÓN</t>
  </si>
  <si>
    <t>Gbl</t>
  </si>
  <si>
    <t xml:space="preserve">VALORES PROMEDIOS </t>
  </si>
  <si>
    <t>MES</t>
  </si>
  <si>
    <t>AUXILIO FUNERARIO COBERTURA PARA 40 ADULTOS MAYORES</t>
  </si>
  <si>
    <t>Mes</t>
  </si>
  <si>
    <t xml:space="preserve">VALOR UNITARIO   PROMEDIO   </t>
  </si>
  <si>
    <t xml:space="preserve">INFRAESTRUCTURA DEL LUGAR - ACCIONES OPERACIÓNALES PARA CENTRO DE PROTECCIÓN EN LA MODALIDAD HOGAR GERIATRICO, PARA ADULTOS MAYORES Y COMEDOR NUTRICIONAL
</t>
  </si>
  <si>
    <t>SE REQUIEREN DE
SIETE AUXILIARES
DE ENFERMERÍA,
CON TÍTULO
OTORGADO POR UNA
INSTITUCIÓN
LEGALMENTE
RECONOCIDA EN
COLOMBIA.
EXPERIENCIA
MÍNIMO DE 3 AÑOS
CERTIFICADA EN
POBLACIÓN ADULTO
MAYOR Y/O CONTAR
CON CURSO EN
PRIMEROS AUXILIOS.</t>
  </si>
  <si>
    <t>DOMICILIOS DE ALIMENTACION</t>
  </si>
  <si>
    <t>SERVICIO DE DOMICILIO EL CONTRATISTA DEBERÁ PRESTAR EL SERVICIO DE DOMICILIO A LOS DIFERENTES LUGARES DE VIVIENDA DE LOS BENEFIFIARIOS QUE LO REQUIERAN. (DENTRO DEL CASCO URBANO Y RURAL)</t>
  </si>
  <si>
    <t>TURNOS ADICIONALES DE ENFERMERIA DE MANERA MENSUAL</t>
  </si>
  <si>
    <t>TURNOS ADICIONALES DE ENFERMERIA</t>
  </si>
  <si>
    <t>DOMICILOS ALIMENTACION</t>
  </si>
  <si>
    <t>CORPORACION TERNURA</t>
  </si>
  <si>
    <t>CAFAMI</t>
  </si>
  <si>
    <t xml:space="preserve">VALOR PROMEDIO MES </t>
  </si>
  <si>
    <t>valor unitario</t>
  </si>
  <si>
    <t>valor total MES</t>
  </si>
  <si>
    <t>VALOR TOTAL PROMEDIO SERVICIO/MES</t>
  </si>
  <si>
    <t>DAMAS</t>
  </si>
  <si>
    <t>Almuerzo: sopa 250 cc, proteico 150gr carne, pescado, cerdo, pollo) Hortalizas y Verduras 100 gr (ensaladas, verduras caliente, etc.) leguminosas secas 60 gr (garbanzo, lenteja, frijol) cereal 90 gr (arroz), raíces tubérculos y plátano 80 gr (plátano, yuca, papa) jugo de fruta de cosecha 300 cc.</t>
  </si>
  <si>
    <t>CORPOPRACION TERNURA</t>
  </si>
  <si>
    <t>TOTAL 6 MESES</t>
  </si>
  <si>
    <t>TOTAL PROMEDIO 6 MESES</t>
  </si>
  <si>
    <t>VALOR PROMEDIO 6 MESES</t>
  </si>
  <si>
    <t>VALOR 6 MESES</t>
  </si>
  <si>
    <t xml:space="preserve">VALOR PROMEDIO 6 MESES </t>
  </si>
  <si>
    <t>VALOR PROMEDIO 180 DIAS</t>
  </si>
  <si>
    <t xml:space="preserve">VALOR PROMEDIO 180 DIAS POR 4O ADULTOS </t>
  </si>
  <si>
    <t xml:space="preserve">VALOR ESTIMADO CONTRATACIÓN SUMINISTRO DE ALIMENTACIÓN PARA ADULTOS MAYORES DEL HOGAR GERIATRICO PARA 180 DIAS </t>
  </si>
  <si>
    <t>VALOR ESTIMADO CONTRATO PARA LA ATENCIÓN ADULTOS MAYORES EN HOGAR GERIATRICO 180 DIAS</t>
  </si>
  <si>
    <t xml:space="preserve">VALOR 180 DIAS INCLUIDO IVA </t>
  </si>
  <si>
    <t xml:space="preserve">TOTAL OPERACION 180 DIAS </t>
  </si>
  <si>
    <t>VALOR ESTIMADO CONTRATO PARA LA ATENCIÓN  INTEGRAL ADULTOS MAYORES 180 DIAS</t>
  </si>
  <si>
    <t>TOTAL ATENCIÓN INTEGRAL ADULTOS MAYORES 180 DIAS</t>
  </si>
  <si>
    <t>VALOR  156 DIAS PARA 150 ADULTOS</t>
  </si>
  <si>
    <t>VALOR ESTIMADO CONTRATACIÓN SUMINISTRO DE ALIMENTACIÓN PARA 150  ADULTOS MAYORES DEL COMEDOR NUTRICIONAL DURANTE 156 DIAS</t>
  </si>
  <si>
    <t>VALOR 156 DIAS</t>
  </si>
  <si>
    <t>VALOR PARA LA ATENCION ADULTOS MAYORES EN COMEDOR NUTRICIONAL 156 DIAS</t>
  </si>
  <si>
    <t>VALOR TOTAL PROMEDIO 156 DIAS INCLUYENDO IVA</t>
  </si>
  <si>
    <t xml:space="preserve">VALOR PROMEDIO 17  KIT  ADULTOS MAYORES 5 ENTREGAS SIN CORTAUÑAS           </t>
  </si>
  <si>
    <t xml:space="preserve">VALOR PROMEDIO 23  KIT  ADULTOS MAYORES 5 ENTREGAS SIN CORTAUÑAS           </t>
  </si>
  <si>
    <t xml:space="preserve">KIT DE ASEO PARA HOMBRE POR 5 ENTREGAS  </t>
  </si>
  <si>
    <t xml:space="preserve">KIT DE ASEO PARA MUJER  POR 5 ENTREGAS  </t>
  </si>
  <si>
    <t>GRAN TOTAL IMPREVISTOS Y AUXILIO FUNERARIO 6 MESES</t>
  </si>
  <si>
    <t>VALOR MENSUAL PARA 40 ADULTOS MAYORES</t>
  </si>
  <si>
    <t>TOTAL MENSUAL IMPREVISTO Y AUXILIO FUNERARIO</t>
  </si>
  <si>
    <t xml:space="preserve">VALOR 180 DÍAS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</si>
</sst>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2">
    <numFmt numFmtId="44" formatCode="_-&quot;$&quot;\ * #,##0.00_-;\-&quot;$&quot;\ * #,##0.00_-;_-&quot;$&quot;\ * &quot;-&quot;??_-;_-@_-"/>
    <numFmt numFmtId="43" formatCode="_-* #,##0.00_-;\-* #,##0.00_-;_-* &quot;-&quot;??_-;_-@_-"/>
    <numFmt numFmtId="164" formatCode="_-* #,##0.00\ _€_-;\-* #,##0.00\ _€_-;_-* &quot;-&quot;??\ _€_-;_-@_-"/>
    <numFmt numFmtId="165" formatCode="_(&quot;$&quot;\ * #,##0.00_);_(&quot;$&quot;\ * \(#,##0.00\);_(&quot;$&quot;\ * &quot;-&quot;??_);_(@_)"/>
    <numFmt numFmtId="166" formatCode="_(* #,##0.00_);_(* \(#,##0.00\);_(* &quot;-&quot;??_);_(@_)"/>
    <numFmt numFmtId="167" formatCode="_-&quot;$&quot;* #,##0_-;\-&quot;$&quot;* #,##0_-;_-&quot;$&quot;* &quot;-&quot;_-;_-@_-"/>
    <numFmt numFmtId="168" formatCode="_-&quot;$&quot;* #,##0.00_-;\-&quot;$&quot;* #,##0.00_-;_-&quot;$&quot;* &quot;-&quot;??_-;_-@_-"/>
    <numFmt numFmtId="169" formatCode="_(&quot;$&quot;\ * #,##0_);_(&quot;$&quot;\ * \(#,##0\);_(&quot;$&quot;\ * &quot;-&quot;??_);_(@_)"/>
    <numFmt numFmtId="170" formatCode="_-&quot;$&quot;* #,##0_-;\-&quot;$&quot;* #,##0_-;_-&quot;$&quot;* &quot;-&quot;??_-;_-@_-"/>
    <numFmt numFmtId="171" formatCode="&quot;$&quot;#,##0.00"/>
    <numFmt numFmtId="172" formatCode="_(* #,##0.0000_);_(* \(#,##0.0000\);_(* &quot;-&quot;??_);_(@_)"/>
    <numFmt numFmtId="173" formatCode="&quot;$&quot;\ #,##0.00"/>
  </numFmts>
  <fonts count="46">
    <font>
      <sz val="11"/>
      <color theme="1"/>
      <name val="Calibri"/>
      <family val="2"/>
      <scheme val="minor"/>
    </font>
    <font>
      <sz val="11"/>
      <color theme="1"/>
      <name val="Calibri"/>
      <family val="2"/>
      <scheme val="minor"/>
    </font>
    <font>
      <b/>
      <sz val="11"/>
      <color theme="1"/>
      <name val="Calibri"/>
      <family val="2"/>
      <scheme val="minor"/>
    </font>
    <font>
      <sz val="9"/>
      <color theme="1"/>
      <name val="Arial"/>
      <family val="2"/>
    </font>
    <font>
      <sz val="8"/>
      <color theme="1"/>
      <name val="Arial"/>
      <family val="2"/>
    </font>
    <font>
      <b/>
      <sz val="8"/>
      <color theme="1"/>
      <name val="Arial"/>
      <family val="2"/>
    </font>
    <font>
      <sz val="7"/>
      <color theme="1"/>
      <name val="Arial"/>
      <family val="2"/>
    </font>
    <font>
      <b/>
      <sz val="7"/>
      <color theme="1"/>
      <name val="Arial"/>
      <family val="2"/>
    </font>
    <font>
      <b/>
      <sz val="8"/>
      <color theme="1"/>
      <name val="Calibri"/>
      <family val="2"/>
      <scheme val="minor"/>
    </font>
    <font>
      <sz val="8"/>
      <color theme="1"/>
      <name val="Calibri"/>
      <family val="2"/>
      <scheme val="minor"/>
    </font>
    <font>
      <b/>
      <sz val="10"/>
      <color theme="1"/>
      <name val="Calibri"/>
      <family val="2"/>
      <scheme val="minor"/>
    </font>
    <font>
      <sz val="10"/>
      <color theme="1"/>
      <name val="Calibri"/>
      <family val="2"/>
      <scheme val="minor"/>
    </font>
    <font>
      <b/>
      <sz val="9"/>
      <color theme="1"/>
      <name val="Arial"/>
      <family val="2"/>
    </font>
    <font>
      <sz val="6"/>
      <color theme="1"/>
      <name val="Calibri"/>
      <family val="2"/>
      <scheme val="minor"/>
    </font>
    <font>
      <b/>
      <sz val="6"/>
      <color theme="1"/>
      <name val="Calibri"/>
      <family val="2"/>
      <scheme val="minor"/>
    </font>
    <font>
      <b/>
      <sz val="10"/>
      <name val="Calibri"/>
      <family val="2"/>
      <scheme val="minor"/>
    </font>
    <font>
      <sz val="10"/>
      <name val="Calibri"/>
      <family val="2"/>
      <scheme val="minor"/>
    </font>
    <font>
      <b/>
      <sz val="8"/>
      <name val="Calibri"/>
      <family val="2"/>
      <scheme val="minor"/>
    </font>
    <font>
      <b/>
      <sz val="7"/>
      <name val="Arial"/>
      <family val="2"/>
    </font>
    <font>
      <sz val="8"/>
      <name val="Arial"/>
      <family val="2"/>
    </font>
    <font>
      <b/>
      <sz val="8"/>
      <name val="Arial"/>
      <family val="2"/>
    </font>
    <font>
      <sz val="7"/>
      <name val="Arial"/>
      <family val="2"/>
    </font>
    <font>
      <sz val="9"/>
      <name val="Arial"/>
      <family val="2"/>
    </font>
    <font>
      <b/>
      <sz val="9"/>
      <name val="Arial"/>
      <family val="2"/>
    </font>
    <font>
      <sz val="8"/>
      <name val="Calibri"/>
      <family val="2"/>
      <scheme val="minor"/>
    </font>
    <font>
      <sz val="6"/>
      <name val="Calibri"/>
      <family val="2"/>
      <scheme val="minor"/>
    </font>
    <font>
      <sz val="11"/>
      <name val="Calibri"/>
      <family val="2"/>
      <scheme val="minor"/>
    </font>
    <font>
      <sz val="11"/>
      <color rgb="FFFF0000"/>
      <name val="Calibri"/>
      <family val="2"/>
      <scheme val="minor"/>
    </font>
    <font>
      <sz val="9"/>
      <color indexed="81"/>
      <name val="Tahoma"/>
      <family val="2"/>
    </font>
    <font>
      <b/>
      <sz val="9"/>
      <color indexed="81"/>
      <name val="Tahoma"/>
      <family val="2"/>
    </font>
    <font>
      <b/>
      <sz val="11"/>
      <name val="Calibri"/>
      <family val="2"/>
      <scheme val="minor"/>
    </font>
    <font>
      <b/>
      <sz val="8"/>
      <name val="TAOMA"/>
    </font>
    <font>
      <sz val="10"/>
      <color theme="1"/>
      <name val="Tahoma"/>
      <family val="2"/>
    </font>
    <font>
      <b/>
      <sz val="10"/>
      <color theme="1"/>
      <name val="Tahoma"/>
      <family val="2"/>
    </font>
    <font>
      <b/>
      <u/>
      <sz val="10"/>
      <color theme="1"/>
      <name val="Tahoma"/>
      <family val="2"/>
    </font>
    <font>
      <b/>
      <sz val="10"/>
      <color rgb="FF000000"/>
      <name val="Tahoma"/>
      <family val="2"/>
    </font>
    <font>
      <b/>
      <sz val="10"/>
      <name val="Tahoma"/>
      <family val="2"/>
    </font>
    <font>
      <sz val="10"/>
      <name val="Tahoma"/>
      <family val="2"/>
    </font>
    <font>
      <b/>
      <sz val="8"/>
      <color theme="1"/>
      <name val="Tahoma"/>
      <family val="2"/>
    </font>
    <font>
      <b/>
      <sz val="8"/>
      <name val="Tahoma"/>
      <family val="2"/>
    </font>
    <font>
      <sz val="8"/>
      <color theme="1"/>
      <name val="Tahoma"/>
      <family val="2"/>
    </font>
    <font>
      <sz val="8"/>
      <name val="Tahoma"/>
      <family val="2"/>
    </font>
    <font>
      <b/>
      <sz val="11"/>
      <color theme="1"/>
      <name val="Tahoma"/>
      <family val="2"/>
    </font>
    <font>
      <sz val="11"/>
      <color theme="1"/>
      <name val="Tahoma"/>
      <family val="2"/>
    </font>
    <font>
      <sz val="9"/>
      <name val="Tahoma"/>
      <family val="2"/>
    </font>
    <font>
      <sz val="9"/>
      <color theme="1"/>
      <name val="Calibri"/>
      <family val="2"/>
      <scheme val="minor"/>
    </font>
  </fonts>
  <fills count="5">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theme="2"/>
        <bgColor indexed="64"/>
      </patternFill>
    </fill>
  </fills>
  <borders count="5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thin">
        <color indexed="64"/>
      </left>
      <right style="medium">
        <color indexed="64"/>
      </right>
      <top/>
      <bottom style="medium">
        <color indexed="64"/>
      </bottom>
      <diagonal/>
    </border>
    <border>
      <left/>
      <right/>
      <top style="medium">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thin">
        <color indexed="64"/>
      </bottom>
      <diagonal/>
    </border>
    <border>
      <left style="medium">
        <color indexed="64"/>
      </left>
      <right style="thin">
        <color indexed="64"/>
      </right>
      <top/>
      <bottom style="thin">
        <color indexed="64"/>
      </bottom>
      <diagonal/>
    </border>
    <border>
      <left/>
      <right style="medium">
        <color indexed="64"/>
      </right>
      <top/>
      <bottom style="thin">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top/>
      <bottom/>
      <diagonal/>
    </border>
    <border>
      <left style="medium">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style="medium">
        <color indexed="64"/>
      </top>
      <bottom/>
      <diagonal/>
    </border>
    <border>
      <left/>
      <right style="thin">
        <color indexed="64"/>
      </right>
      <top style="thin">
        <color indexed="64"/>
      </top>
      <bottom style="medium">
        <color indexed="64"/>
      </bottom>
      <diagonal/>
    </border>
    <border>
      <left/>
      <right style="thin">
        <color indexed="64"/>
      </right>
      <top style="medium">
        <color indexed="64"/>
      </top>
      <bottom/>
      <diagonal/>
    </border>
    <border>
      <left style="thin">
        <color indexed="64"/>
      </left>
      <right/>
      <top style="medium">
        <color indexed="64"/>
      </top>
      <bottom/>
      <diagonal/>
    </border>
    <border>
      <left style="thin">
        <color indexed="64"/>
      </left>
      <right style="medium">
        <color indexed="64"/>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diagonal/>
    </border>
    <border>
      <left/>
      <right style="thin">
        <color indexed="64"/>
      </right>
      <top style="medium">
        <color indexed="64"/>
      </top>
      <bottom style="thin">
        <color indexed="64"/>
      </bottom>
      <diagonal/>
    </border>
    <border>
      <left/>
      <right style="thin">
        <color indexed="64"/>
      </right>
      <top style="medium">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diagonal/>
    </border>
    <border>
      <left/>
      <right style="thin">
        <color indexed="64"/>
      </right>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top style="medium">
        <color indexed="64"/>
      </top>
      <bottom/>
      <diagonal/>
    </border>
  </borders>
  <cellStyleXfs count="4">
    <xf numFmtId="0" fontId="0" fillId="0" borderId="0"/>
    <xf numFmtId="165" fontId="1" fillId="0" borderId="0" applyFont="0" applyFill="0" applyBorder="0" applyAlignment="0" applyProtection="0"/>
    <xf numFmtId="167" fontId="1" fillId="0" borderId="0" applyFont="0" applyFill="0" applyBorder="0" applyAlignment="0" applyProtection="0"/>
    <xf numFmtId="166" fontId="1" fillId="0" borderId="0" applyFont="0" applyFill="0" applyBorder="0" applyAlignment="0" applyProtection="0"/>
  </cellStyleXfs>
  <cellXfs count="613">
    <xf numFmtId="0" fontId="0" fillId="0" borderId="0" xfId="0"/>
    <xf numFmtId="3" fontId="0" fillId="0" borderId="0" xfId="0" applyNumberFormat="1"/>
    <xf numFmtId="0" fontId="0" fillId="0" borderId="0" xfId="0" applyAlignment="1">
      <alignment wrapText="1"/>
    </xf>
    <xf numFmtId="0" fontId="2" fillId="0" borderId="0" xfId="0" applyFont="1"/>
    <xf numFmtId="0" fontId="2" fillId="0" borderId="1" xfId="0" applyFont="1" applyBorder="1"/>
    <xf numFmtId="0" fontId="0" fillId="0" borderId="1" xfId="0" applyBorder="1" applyAlignment="1">
      <alignment wrapText="1"/>
    </xf>
    <xf numFmtId="0" fontId="2" fillId="0" borderId="1" xfId="0" applyFont="1" applyBorder="1" applyAlignment="1">
      <alignment wrapText="1"/>
    </xf>
    <xf numFmtId="165" fontId="0" fillId="0" borderId="0" xfId="1" applyFont="1"/>
    <xf numFmtId="169" fontId="0" fillId="0" borderId="0" xfId="1" applyNumberFormat="1" applyFont="1"/>
    <xf numFmtId="169" fontId="0" fillId="0" borderId="0" xfId="0" applyNumberFormat="1"/>
    <xf numFmtId="169" fontId="2" fillId="0" borderId="0" xfId="1" applyNumberFormat="1" applyFont="1" applyBorder="1" applyAlignment="1">
      <alignment wrapText="1"/>
    </xf>
    <xf numFmtId="169" fontId="2" fillId="0" borderId="0" xfId="1" applyNumberFormat="1" applyFont="1" applyBorder="1"/>
    <xf numFmtId="0" fontId="2" fillId="0" borderId="12" xfId="0" applyFont="1" applyBorder="1" applyAlignment="1">
      <alignment wrapText="1"/>
    </xf>
    <xf numFmtId="0" fontId="2" fillId="0" borderId="11" xfId="0" applyFont="1" applyBorder="1" applyAlignment="1">
      <alignment wrapText="1"/>
    </xf>
    <xf numFmtId="0" fontId="2" fillId="0" borderId="8" xfId="0" applyFont="1" applyBorder="1" applyAlignment="1">
      <alignment wrapText="1"/>
    </xf>
    <xf numFmtId="0" fontId="2" fillId="0" borderId="10" xfId="0" applyFont="1" applyBorder="1" applyAlignment="1">
      <alignment wrapText="1"/>
    </xf>
    <xf numFmtId="0" fontId="0" fillId="0" borderId="11" xfId="0" applyBorder="1" applyAlignment="1">
      <alignment wrapText="1"/>
    </xf>
    <xf numFmtId="0" fontId="2" fillId="0" borderId="13" xfId="0" applyFont="1" applyBorder="1" applyAlignment="1">
      <alignment wrapText="1"/>
    </xf>
    <xf numFmtId="0" fontId="0" fillId="0" borderId="13" xfId="0" applyBorder="1" applyAlignment="1">
      <alignment wrapText="1"/>
    </xf>
    <xf numFmtId="1" fontId="0" fillId="0" borderId="0" xfId="0" applyNumberFormat="1"/>
    <xf numFmtId="169" fontId="2" fillId="0" borderId="9" xfId="1" applyNumberFormat="1" applyFont="1" applyBorder="1" applyAlignment="1">
      <alignment wrapText="1"/>
    </xf>
    <xf numFmtId="169" fontId="2" fillId="0" borderId="10" xfId="1" applyNumberFormat="1" applyFont="1" applyBorder="1" applyAlignment="1">
      <alignment wrapText="1"/>
    </xf>
    <xf numFmtId="0" fontId="2" fillId="0" borderId="23" xfId="0" applyFont="1" applyBorder="1" applyAlignment="1">
      <alignment wrapText="1"/>
    </xf>
    <xf numFmtId="0" fontId="0" fillId="0" borderId="24" xfId="0" applyBorder="1" applyAlignment="1">
      <alignment wrapText="1"/>
    </xf>
    <xf numFmtId="0" fontId="0" fillId="2" borderId="0" xfId="0" applyFill="1"/>
    <xf numFmtId="169" fontId="0" fillId="0" borderId="0" xfId="1" applyNumberFormat="1" applyFont="1" applyFill="1"/>
    <xf numFmtId="0" fontId="5" fillId="0" borderId="1" xfId="0" applyFont="1" applyBorder="1" applyAlignment="1">
      <alignment wrapText="1"/>
    </xf>
    <xf numFmtId="0" fontId="7" fillId="0" borderId="1" xfId="0" applyFont="1" applyBorder="1" applyAlignment="1">
      <alignment wrapText="1"/>
    </xf>
    <xf numFmtId="0" fontId="7" fillId="0" borderId="1" xfId="0" applyFont="1" applyBorder="1"/>
    <xf numFmtId="0" fontId="6" fillId="0" borderId="11" xfId="0" applyFont="1" applyBorder="1" applyAlignment="1">
      <alignment wrapText="1"/>
    </xf>
    <xf numFmtId="0" fontId="4" fillId="0" borderId="0" xfId="0" applyFont="1"/>
    <xf numFmtId="0" fontId="6" fillId="0" borderId="0" xfId="0" applyFont="1"/>
    <xf numFmtId="0" fontId="6" fillId="0" borderId="1" xfId="0" applyFont="1" applyBorder="1" applyAlignment="1">
      <alignment wrapText="1"/>
    </xf>
    <xf numFmtId="0" fontId="6" fillId="0" borderId="12" xfId="0" applyFont="1" applyBorder="1" applyAlignment="1">
      <alignment wrapText="1"/>
    </xf>
    <xf numFmtId="0" fontId="6" fillId="0" borderId="13" xfId="0" applyFont="1" applyBorder="1" applyAlignment="1">
      <alignment wrapText="1"/>
    </xf>
    <xf numFmtId="0" fontId="4" fillId="0" borderId="13" xfId="0" applyFont="1" applyBorder="1" applyAlignment="1">
      <alignment wrapText="1"/>
    </xf>
    <xf numFmtId="0" fontId="4" fillId="0" borderId="1" xfId="0" applyFont="1" applyBorder="1" applyAlignment="1">
      <alignment wrapText="1"/>
    </xf>
    <xf numFmtId="0" fontId="9" fillId="0" borderId="11" xfId="0" applyFont="1" applyBorder="1" applyAlignment="1">
      <alignment wrapText="1"/>
    </xf>
    <xf numFmtId="0" fontId="8" fillId="0" borderId="13" xfId="0" applyFont="1" applyBorder="1" applyAlignment="1">
      <alignment wrapText="1"/>
    </xf>
    <xf numFmtId="0" fontId="11" fillId="0" borderId="11" xfId="0" applyFont="1" applyBorder="1" applyAlignment="1">
      <alignment wrapText="1"/>
    </xf>
    <xf numFmtId="0" fontId="10" fillId="0" borderId="13" xfId="0" applyFont="1" applyBorder="1" applyAlignment="1">
      <alignment wrapText="1"/>
    </xf>
    <xf numFmtId="169" fontId="5" fillId="0" borderId="1" xfId="1" applyNumberFormat="1" applyFont="1" applyBorder="1" applyAlignment="1">
      <alignment wrapText="1"/>
    </xf>
    <xf numFmtId="0" fontId="12" fillId="2" borderId="1" xfId="0" applyFont="1" applyFill="1" applyBorder="1" applyAlignment="1">
      <alignment wrapText="1"/>
    </xf>
    <xf numFmtId="0" fontId="3" fillId="2" borderId="1" xfId="0" applyFont="1" applyFill="1" applyBorder="1" applyAlignment="1">
      <alignment wrapText="1"/>
    </xf>
    <xf numFmtId="0" fontId="8" fillId="0" borderId="11" xfId="0" applyFont="1" applyBorder="1" applyAlignment="1">
      <alignment wrapText="1"/>
    </xf>
    <xf numFmtId="0" fontId="9" fillId="0" borderId="11" xfId="0" applyFont="1" applyBorder="1" applyAlignment="1">
      <alignment horizontal="left" wrapText="1"/>
    </xf>
    <xf numFmtId="0" fontId="10" fillId="0" borderId="8" xfId="0" applyFont="1" applyBorder="1" applyAlignment="1">
      <alignment wrapText="1"/>
    </xf>
    <xf numFmtId="0" fontId="10" fillId="0" borderId="1" xfId="0" applyFont="1" applyBorder="1" applyAlignment="1">
      <alignment wrapText="1"/>
    </xf>
    <xf numFmtId="0" fontId="11" fillId="0" borderId="1" xfId="0" applyFont="1" applyBorder="1" applyAlignment="1">
      <alignment wrapText="1"/>
    </xf>
    <xf numFmtId="169" fontId="10" fillId="0" borderId="9" xfId="1" applyNumberFormat="1" applyFont="1" applyBorder="1" applyAlignment="1">
      <alignment wrapText="1"/>
    </xf>
    <xf numFmtId="169" fontId="10" fillId="0" borderId="10" xfId="1" applyNumberFormat="1" applyFont="1" applyBorder="1" applyAlignment="1">
      <alignment wrapText="1"/>
    </xf>
    <xf numFmtId="0" fontId="11" fillId="0" borderId="13" xfId="0" applyFont="1" applyBorder="1" applyAlignment="1">
      <alignment wrapText="1"/>
    </xf>
    <xf numFmtId="0" fontId="13" fillId="0" borderId="0" xfId="0" applyFont="1"/>
    <xf numFmtId="169" fontId="13" fillId="0" borderId="0" xfId="0" applyNumberFormat="1" applyFont="1"/>
    <xf numFmtId="165" fontId="0" fillId="0" borderId="0" xfId="0" applyNumberFormat="1"/>
    <xf numFmtId="169" fontId="2" fillId="0" borderId="1" xfId="1" applyNumberFormat="1" applyFont="1" applyBorder="1"/>
    <xf numFmtId="167" fontId="0" fillId="0" borderId="0" xfId="2" applyFont="1"/>
    <xf numFmtId="169" fontId="9" fillId="0" borderId="0" xfId="0" applyNumberFormat="1" applyFont="1"/>
    <xf numFmtId="169" fontId="0" fillId="2" borderId="0" xfId="0" applyNumberFormat="1" applyFill="1"/>
    <xf numFmtId="165" fontId="0" fillId="2" borderId="0" xfId="1" applyFont="1" applyFill="1"/>
    <xf numFmtId="3" fontId="0" fillId="2" borderId="0" xfId="0" applyNumberFormat="1" applyFill="1"/>
    <xf numFmtId="169" fontId="9" fillId="2" borderId="1" xfId="0" applyNumberFormat="1" applyFont="1" applyFill="1" applyBorder="1"/>
    <xf numFmtId="167" fontId="0" fillId="2" borderId="0" xfId="2" applyFont="1" applyFill="1"/>
    <xf numFmtId="169" fontId="8" fillId="2" borderId="14" xfId="0" applyNumberFormat="1" applyFont="1" applyFill="1" applyBorder="1"/>
    <xf numFmtId="3" fontId="10" fillId="0" borderId="17" xfId="0" applyNumberFormat="1" applyFont="1" applyBorder="1"/>
    <xf numFmtId="3" fontId="16" fillId="0" borderId="1" xfId="0" applyNumberFormat="1" applyFont="1" applyBorder="1"/>
    <xf numFmtId="169" fontId="22" fillId="2" borderId="1" xfId="0" applyNumberFormat="1" applyFont="1" applyFill="1" applyBorder="1"/>
    <xf numFmtId="169" fontId="26" fillId="0" borderId="1" xfId="1" applyNumberFormat="1" applyFont="1" applyBorder="1"/>
    <xf numFmtId="169" fontId="26" fillId="0" borderId="14" xfId="0" applyNumberFormat="1" applyFont="1" applyBorder="1"/>
    <xf numFmtId="169" fontId="26" fillId="0" borderId="15" xfId="0" applyNumberFormat="1" applyFont="1" applyBorder="1"/>
    <xf numFmtId="169" fontId="16" fillId="0" borderId="1" xfId="0" applyNumberFormat="1" applyFont="1" applyBorder="1"/>
    <xf numFmtId="169" fontId="16" fillId="0" borderId="14" xfId="0" applyNumberFormat="1" applyFont="1" applyBorder="1"/>
    <xf numFmtId="168" fontId="16" fillId="0" borderId="15" xfId="1" applyNumberFormat="1" applyFont="1" applyBorder="1"/>
    <xf numFmtId="169" fontId="26" fillId="0" borderId="14" xfId="1" applyNumberFormat="1" applyFont="1" applyBorder="1"/>
    <xf numFmtId="169" fontId="26" fillId="0" borderId="12" xfId="1" applyNumberFormat="1" applyFont="1" applyBorder="1"/>
    <xf numFmtId="0" fontId="27" fillId="0" borderId="0" xfId="0" applyFont="1"/>
    <xf numFmtId="166" fontId="0" fillId="0" borderId="0" xfId="3" applyFont="1"/>
    <xf numFmtId="170" fontId="0" fillId="0" borderId="0" xfId="0" applyNumberFormat="1"/>
    <xf numFmtId="166" fontId="0" fillId="0" borderId="0" xfId="0" applyNumberFormat="1"/>
    <xf numFmtId="166" fontId="26" fillId="0" borderId="15" xfId="3" applyFont="1" applyBorder="1"/>
    <xf numFmtId="0" fontId="0" fillId="0" borderId="0" xfId="0" applyAlignment="1">
      <alignment horizontal="center"/>
    </xf>
    <xf numFmtId="169" fontId="0" fillId="0" borderId="0" xfId="0" applyNumberFormat="1" applyAlignment="1">
      <alignment horizontal="center"/>
    </xf>
    <xf numFmtId="171" fontId="2" fillId="0" borderId="0" xfId="0" applyNumberFormat="1" applyFont="1"/>
    <xf numFmtId="166" fontId="0" fillId="2" borderId="0" xfId="3" applyFont="1" applyFill="1"/>
    <xf numFmtId="0" fontId="5" fillId="0" borderId="0" xfId="0" applyFont="1" applyAlignment="1">
      <alignment wrapText="1"/>
    </xf>
    <xf numFmtId="169" fontId="19" fillId="0" borderId="0" xfId="0" applyNumberFormat="1" applyFont="1"/>
    <xf numFmtId="169" fontId="5" fillId="0" borderId="0" xfId="1" applyNumberFormat="1" applyFont="1" applyBorder="1"/>
    <xf numFmtId="0" fontId="5" fillId="0" borderId="1" xfId="0" applyFont="1" applyBorder="1" applyAlignment="1">
      <alignment vertical="center" wrapText="1"/>
    </xf>
    <xf numFmtId="0" fontId="12" fillId="2" borderId="38" xfId="0" applyFont="1" applyFill="1" applyBorder="1" applyAlignment="1">
      <alignment wrapText="1"/>
    </xf>
    <xf numFmtId="169" fontId="23" fillId="2" borderId="38" xfId="0" applyNumberFormat="1" applyFont="1" applyFill="1" applyBorder="1"/>
    <xf numFmtId="165" fontId="2" fillId="0" borderId="15" xfId="0" applyNumberFormat="1" applyFont="1" applyBorder="1"/>
    <xf numFmtId="169" fontId="21" fillId="0" borderId="5" xfId="1" applyNumberFormat="1" applyFont="1" applyFill="1" applyBorder="1"/>
    <xf numFmtId="44" fontId="0" fillId="0" borderId="0" xfId="0" applyNumberFormat="1"/>
    <xf numFmtId="165" fontId="16" fillId="0" borderId="3" xfId="1" applyFont="1" applyBorder="1"/>
    <xf numFmtId="165" fontId="16" fillId="0" borderId="1" xfId="1" applyFont="1" applyBorder="1"/>
    <xf numFmtId="165" fontId="10" fillId="2" borderId="14" xfId="1" applyFont="1" applyFill="1" applyBorder="1"/>
    <xf numFmtId="165" fontId="16" fillId="2" borderId="1" xfId="1" applyFont="1" applyFill="1" applyBorder="1"/>
    <xf numFmtId="165" fontId="16" fillId="2" borderId="12" xfId="0" applyNumberFormat="1" applyFont="1" applyFill="1" applyBorder="1"/>
    <xf numFmtId="165" fontId="19" fillId="0" borderId="1" xfId="1" applyFont="1" applyBorder="1"/>
    <xf numFmtId="165" fontId="20" fillId="0" borderId="1" xfId="1" applyFont="1" applyBorder="1"/>
    <xf numFmtId="165" fontId="5" fillId="0" borderId="1" xfId="1" applyFont="1" applyBorder="1"/>
    <xf numFmtId="165" fontId="25" fillId="0" borderId="11" xfId="1" applyFont="1" applyBorder="1" applyAlignment="1">
      <alignment horizontal="center" vertical="center"/>
    </xf>
    <xf numFmtId="165" fontId="25" fillId="0" borderId="12" xfId="0" applyNumberFormat="1" applyFont="1" applyBorder="1" applyAlignment="1">
      <alignment horizontal="center" vertical="center"/>
    </xf>
    <xf numFmtId="165" fontId="25" fillId="0" borderId="1" xfId="1" applyFont="1" applyBorder="1" applyAlignment="1">
      <alignment horizontal="center" vertical="center"/>
    </xf>
    <xf numFmtId="165" fontId="25" fillId="0" borderId="18" xfId="1" applyFont="1" applyBorder="1"/>
    <xf numFmtId="165" fontId="2" fillId="2" borderId="14" xfId="1" applyFont="1" applyFill="1" applyBorder="1"/>
    <xf numFmtId="0" fontId="30" fillId="0" borderId="11" xfId="0" applyFont="1" applyBorder="1" applyAlignment="1">
      <alignment wrapText="1"/>
    </xf>
    <xf numFmtId="0" fontId="30" fillId="2" borderId="1" xfId="0" applyFont="1" applyFill="1" applyBorder="1" applyAlignment="1">
      <alignment horizontal="center" wrapText="1"/>
    </xf>
    <xf numFmtId="0" fontId="30" fillId="2" borderId="1" xfId="0" applyFont="1" applyFill="1" applyBorder="1" applyAlignment="1">
      <alignment wrapText="1"/>
    </xf>
    <xf numFmtId="0" fontId="30" fillId="2" borderId="12" xfId="0" applyFont="1" applyFill="1" applyBorder="1" applyAlignment="1">
      <alignment wrapText="1"/>
    </xf>
    <xf numFmtId="0" fontId="26" fillId="0" borderId="13" xfId="0" applyFont="1" applyBorder="1" applyAlignment="1">
      <alignment wrapText="1"/>
    </xf>
    <xf numFmtId="0" fontId="26" fillId="2" borderId="14" xfId="0" applyFont="1" applyFill="1" applyBorder="1" applyAlignment="1">
      <alignment horizontal="center" vertical="center"/>
    </xf>
    <xf numFmtId="169" fontId="26" fillId="2" borderId="14" xfId="0" applyNumberFormat="1" applyFont="1" applyFill="1" applyBorder="1" applyAlignment="1">
      <alignment horizontal="center" vertical="center"/>
    </xf>
    <xf numFmtId="169" fontId="26" fillId="2" borderId="15" xfId="0" applyNumberFormat="1" applyFont="1" applyFill="1" applyBorder="1" applyAlignment="1">
      <alignment horizontal="center" vertical="center"/>
    </xf>
    <xf numFmtId="171" fontId="21" fillId="0" borderId="1" xfId="1" applyNumberFormat="1" applyFont="1" applyBorder="1"/>
    <xf numFmtId="171" fontId="21" fillId="0" borderId="12" xfId="1" applyNumberFormat="1" applyFont="1" applyBorder="1"/>
    <xf numFmtId="171" fontId="18" fillId="0" borderId="15" xfId="0" applyNumberFormat="1" applyFont="1" applyBorder="1"/>
    <xf numFmtId="171" fontId="18" fillId="0" borderId="12" xfId="1" applyNumberFormat="1" applyFont="1" applyBorder="1"/>
    <xf numFmtId="171" fontId="6" fillId="0" borderId="0" xfId="0" applyNumberFormat="1" applyFont="1"/>
    <xf numFmtId="171" fontId="6" fillId="0" borderId="0" xfId="1" applyNumberFormat="1" applyFont="1"/>
    <xf numFmtId="171" fontId="7" fillId="0" borderId="22" xfId="0" applyNumberFormat="1" applyFont="1" applyBorder="1"/>
    <xf numFmtId="172" fontId="6" fillId="0" borderId="0" xfId="1" applyNumberFormat="1" applyFont="1"/>
    <xf numFmtId="172" fontId="6" fillId="0" borderId="0" xfId="0" applyNumberFormat="1" applyFont="1"/>
    <xf numFmtId="166" fontId="7" fillId="0" borderId="26" xfId="0" applyNumberFormat="1" applyFont="1" applyBorder="1"/>
    <xf numFmtId="166" fontId="21" fillId="0" borderId="1" xfId="1" applyNumberFormat="1" applyFont="1" applyBorder="1"/>
    <xf numFmtId="166" fontId="21" fillId="0" borderId="12" xfId="1" applyNumberFormat="1" applyFont="1" applyBorder="1"/>
    <xf numFmtId="166" fontId="6" fillId="0" borderId="26" xfId="0" applyNumberFormat="1" applyFont="1" applyBorder="1"/>
    <xf numFmtId="166" fontId="7" fillId="0" borderId="36" xfId="0" applyNumberFormat="1" applyFont="1" applyBorder="1"/>
    <xf numFmtId="166" fontId="6" fillId="0" borderId="37" xfId="0" applyNumberFormat="1" applyFont="1" applyBorder="1"/>
    <xf numFmtId="165" fontId="21" fillId="0" borderId="14" xfId="1" applyFont="1" applyBorder="1"/>
    <xf numFmtId="165" fontId="6" fillId="0" borderId="0" xfId="0" applyNumberFormat="1" applyFont="1"/>
    <xf numFmtId="0" fontId="6" fillId="0" borderId="39" xfId="0" applyFont="1" applyBorder="1" applyAlignment="1">
      <alignment horizontal="center" vertical="center" wrapText="1"/>
    </xf>
    <xf numFmtId="0" fontId="6" fillId="0" borderId="4" xfId="0" applyFont="1" applyBorder="1" applyAlignment="1">
      <alignment horizontal="center" vertical="center"/>
    </xf>
    <xf numFmtId="166" fontId="6" fillId="0" borderId="4" xfId="3" applyFont="1" applyBorder="1" applyAlignment="1">
      <alignment wrapText="1"/>
    </xf>
    <xf numFmtId="166" fontId="6" fillId="0" borderId="4" xfId="0" applyNumberFormat="1" applyFont="1" applyBorder="1" applyAlignment="1">
      <alignment wrapText="1"/>
    </xf>
    <xf numFmtId="0" fontId="21" fillId="0" borderId="14" xfId="0" applyFont="1" applyBorder="1" applyAlignment="1">
      <alignment horizontal="center"/>
    </xf>
    <xf numFmtId="0" fontId="4" fillId="0" borderId="0" xfId="0" applyFont="1" applyAlignment="1">
      <alignment wrapText="1"/>
    </xf>
    <xf numFmtId="0" fontId="21" fillId="0" borderId="0" xfId="0" applyFont="1" applyAlignment="1">
      <alignment horizontal="center"/>
    </xf>
    <xf numFmtId="165" fontId="21" fillId="0" borderId="0" xfId="1" applyFont="1" applyBorder="1"/>
    <xf numFmtId="166" fontId="26" fillId="0" borderId="14" xfId="3" applyFont="1" applyBorder="1"/>
    <xf numFmtId="166" fontId="0" fillId="2" borderId="0" xfId="3" applyFont="1" applyFill="1" applyAlignment="1">
      <alignment horizontal="center"/>
    </xf>
    <xf numFmtId="166" fontId="0" fillId="0" borderId="48" xfId="3" applyFont="1" applyBorder="1"/>
    <xf numFmtId="166" fontId="0" fillId="0" borderId="0" xfId="3" applyFont="1" applyBorder="1"/>
    <xf numFmtId="165" fontId="15" fillId="2" borderId="0" xfId="0" applyNumberFormat="1" applyFont="1" applyFill="1"/>
    <xf numFmtId="165" fontId="15" fillId="2" borderId="15" xfId="0" applyNumberFormat="1" applyFont="1" applyFill="1" applyBorder="1"/>
    <xf numFmtId="166" fontId="0" fillId="0" borderId="47" xfId="3" applyFont="1" applyBorder="1"/>
    <xf numFmtId="0" fontId="8" fillId="0" borderId="45" xfId="0" applyFont="1" applyBorder="1" applyAlignment="1">
      <alignment wrapText="1"/>
    </xf>
    <xf numFmtId="166" fontId="2" fillId="2" borderId="12" xfId="3" applyFont="1" applyFill="1" applyBorder="1" applyAlignment="1">
      <alignment wrapText="1"/>
    </xf>
    <xf numFmtId="166" fontId="27" fillId="2" borderId="0" xfId="3" applyFont="1" applyFill="1"/>
    <xf numFmtId="165" fontId="6" fillId="0" borderId="50" xfId="0" applyNumberFormat="1" applyFont="1" applyBorder="1"/>
    <xf numFmtId="4" fontId="0" fillId="0" borderId="0" xfId="0" applyNumberFormat="1"/>
    <xf numFmtId="0" fontId="7" fillId="0" borderId="1" xfId="0" applyFont="1" applyBorder="1" applyAlignment="1">
      <alignment horizontal="center" wrapText="1"/>
    </xf>
    <xf numFmtId="0" fontId="2" fillId="0" borderId="8" xfId="0" applyFont="1" applyBorder="1" applyAlignment="1">
      <alignment horizontal="center" wrapText="1"/>
    </xf>
    <xf numFmtId="0" fontId="2" fillId="0" borderId="9" xfId="0" applyFont="1" applyBorder="1" applyAlignment="1">
      <alignment horizontal="center" wrapText="1"/>
    </xf>
    <xf numFmtId="0" fontId="10" fillId="0" borderId="34" xfId="0" applyFont="1" applyBorder="1" applyAlignment="1">
      <alignment wrapText="1"/>
    </xf>
    <xf numFmtId="0" fontId="15" fillId="0" borderId="1" xfId="0" applyFont="1" applyBorder="1" applyAlignment="1">
      <alignment horizontal="center" vertical="center" wrapText="1"/>
    </xf>
    <xf numFmtId="166" fontId="10" fillId="2" borderId="0" xfId="3" applyFont="1" applyFill="1" applyBorder="1" applyAlignment="1">
      <alignment horizontal="center" vertical="center" wrapText="1"/>
    </xf>
    <xf numFmtId="166" fontId="0" fillId="0" borderId="0" xfId="3" applyFont="1" applyAlignment="1">
      <alignment vertical="center"/>
    </xf>
    <xf numFmtId="0" fontId="0" fillId="0" borderId="0" xfId="0" applyAlignment="1">
      <alignment vertical="center"/>
    </xf>
    <xf numFmtId="0" fontId="10" fillId="0" borderId="3" xfId="0" applyFont="1" applyBorder="1" applyAlignment="1">
      <alignment vertical="center"/>
    </xf>
    <xf numFmtId="0" fontId="11" fillId="3" borderId="7" xfId="0" applyFont="1" applyFill="1" applyBorder="1" applyAlignment="1">
      <alignment horizontal="center" wrapText="1"/>
    </xf>
    <xf numFmtId="0" fontId="2" fillId="0" borderId="0" xfId="0" applyFont="1" applyAlignment="1">
      <alignment horizontal="center" vertical="center"/>
    </xf>
    <xf numFmtId="0" fontId="0" fillId="0" borderId="0" xfId="0" applyAlignment="1">
      <alignment horizontal="center" vertical="center"/>
    </xf>
    <xf numFmtId="169" fontId="2" fillId="0" borderId="0" xfId="1" applyNumberFormat="1" applyFont="1" applyBorder="1" applyAlignment="1">
      <alignment horizontal="center" vertical="center" wrapText="1"/>
    </xf>
    <xf numFmtId="0" fontId="12"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166" fontId="0" fillId="0" borderId="1" xfId="3" applyFont="1" applyBorder="1" applyAlignment="1">
      <alignment horizontal="center" vertical="center"/>
    </xf>
    <xf numFmtId="166" fontId="0" fillId="0" borderId="0" xfId="3" applyFont="1" applyAlignment="1">
      <alignment horizontal="center" vertical="center"/>
    </xf>
    <xf numFmtId="169" fontId="0" fillId="0" borderId="0" xfId="0" applyNumberFormat="1" applyAlignment="1">
      <alignment horizontal="center" vertical="center"/>
    </xf>
    <xf numFmtId="0" fontId="0" fillId="2" borderId="0" xfId="0" applyFill="1" applyAlignment="1">
      <alignment horizontal="center" vertical="center"/>
    </xf>
    <xf numFmtId="3" fontId="0" fillId="0" borderId="0" xfId="0" applyNumberFormat="1" applyAlignment="1">
      <alignment horizontal="center" vertical="center"/>
    </xf>
    <xf numFmtId="3" fontId="0" fillId="2" borderId="0" xfId="0" applyNumberFormat="1" applyFill="1" applyAlignment="1">
      <alignment horizontal="center" vertical="center"/>
    </xf>
    <xf numFmtId="0" fontId="8" fillId="0" borderId="32" xfId="0" applyFont="1" applyBorder="1" applyAlignment="1">
      <alignment horizontal="center" wrapText="1"/>
    </xf>
    <xf numFmtId="0" fontId="8" fillId="0" borderId="3" xfId="0" applyFont="1" applyBorder="1" applyAlignment="1">
      <alignment horizontal="center" wrapText="1"/>
    </xf>
    <xf numFmtId="0" fontId="0" fillId="0" borderId="42" xfId="0" applyBorder="1" applyAlignment="1">
      <alignment wrapText="1"/>
    </xf>
    <xf numFmtId="0" fontId="8" fillId="0" borderId="7" xfId="0" applyFont="1" applyBorder="1" applyAlignment="1">
      <alignment wrapText="1"/>
    </xf>
    <xf numFmtId="0" fontId="9" fillId="0" borderId="7" xfId="0" applyFont="1" applyBorder="1" applyAlignment="1">
      <alignment horizontal="left" wrapText="1"/>
    </xf>
    <xf numFmtId="0" fontId="9" fillId="0" borderId="7" xfId="0" applyFont="1" applyBorder="1" applyAlignment="1">
      <alignment wrapText="1"/>
    </xf>
    <xf numFmtId="0" fontId="8" fillId="0" borderId="42" xfId="0" applyFont="1" applyBorder="1" applyAlignment="1">
      <alignment wrapText="1"/>
    </xf>
    <xf numFmtId="0" fontId="30" fillId="0" borderId="7" xfId="0" applyFont="1" applyBorder="1" applyAlignment="1">
      <alignment wrapText="1"/>
    </xf>
    <xf numFmtId="0" fontId="26" fillId="0" borderId="42" xfId="0" applyFont="1" applyBorder="1" applyAlignment="1">
      <alignment wrapText="1"/>
    </xf>
    <xf numFmtId="0" fontId="2" fillId="0" borderId="49" xfId="0" applyFont="1" applyBorder="1" applyAlignment="1">
      <alignment wrapText="1"/>
    </xf>
    <xf numFmtId="0" fontId="6" fillId="0" borderId="7" xfId="0" applyFont="1" applyBorder="1" applyAlignment="1">
      <alignment wrapText="1"/>
    </xf>
    <xf numFmtId="0" fontId="10" fillId="0" borderId="49" xfId="0" applyFont="1" applyBorder="1" applyAlignment="1">
      <alignment wrapText="1"/>
    </xf>
    <xf numFmtId="0" fontId="11" fillId="0" borderId="22" xfId="0" applyFont="1" applyBorder="1" applyAlignment="1">
      <alignment wrapText="1"/>
    </xf>
    <xf numFmtId="0" fontId="21" fillId="0" borderId="1" xfId="0" applyFont="1" applyBorder="1" applyAlignment="1">
      <alignment horizontal="center" vertical="center"/>
    </xf>
    <xf numFmtId="0" fontId="26" fillId="0" borderId="14" xfId="0" applyFont="1" applyBorder="1" applyAlignment="1">
      <alignment horizontal="center"/>
    </xf>
    <xf numFmtId="0" fontId="10" fillId="0" borderId="1" xfId="0" applyFont="1" applyBorder="1" applyAlignment="1">
      <alignment horizontal="center" wrapText="1"/>
    </xf>
    <xf numFmtId="0" fontId="16" fillId="0" borderId="1" xfId="0" applyFont="1" applyBorder="1" applyAlignment="1">
      <alignment horizontal="center"/>
    </xf>
    <xf numFmtId="0" fontId="10" fillId="0" borderId="9" xfId="0" applyFont="1" applyBorder="1" applyAlignment="1">
      <alignment horizontal="center" wrapText="1"/>
    </xf>
    <xf numFmtId="3" fontId="26" fillId="0" borderId="22" xfId="0" applyNumberFormat="1" applyFont="1" applyBorder="1" applyAlignment="1">
      <alignment horizontal="center"/>
    </xf>
    <xf numFmtId="0" fontId="26" fillId="0" borderId="13" xfId="0" applyFont="1" applyBorder="1" applyAlignment="1">
      <alignment horizontal="center"/>
    </xf>
    <xf numFmtId="0" fontId="0" fillId="4" borderId="1" xfId="0" applyFill="1" applyBorder="1" applyAlignment="1">
      <alignment horizontal="center"/>
    </xf>
    <xf numFmtId="0" fontId="0" fillId="0" borderId="1" xfId="0" applyBorder="1"/>
    <xf numFmtId="0" fontId="0" fillId="0" borderId="1" xfId="0" applyBorder="1" applyAlignment="1">
      <alignment horizontal="center"/>
    </xf>
    <xf numFmtId="169" fontId="0" fillId="0" borderId="1" xfId="0" applyNumberFormat="1" applyBorder="1"/>
    <xf numFmtId="0" fontId="0" fillId="4" borderId="1" xfId="0" applyFill="1" applyBorder="1"/>
    <xf numFmtId="169" fontId="0" fillId="4" borderId="1" xfId="0" applyNumberFormat="1" applyFill="1" applyBorder="1"/>
    <xf numFmtId="0" fontId="6" fillId="0" borderId="0" xfId="0" applyFont="1" applyAlignment="1">
      <alignment horizontal="center" vertical="center"/>
    </xf>
    <xf numFmtId="0" fontId="21" fillId="0" borderId="14" xfId="0" applyFont="1" applyBorder="1" applyAlignment="1">
      <alignment horizontal="center" vertical="center"/>
    </xf>
    <xf numFmtId="0" fontId="0" fillId="0" borderId="1" xfId="0" applyBorder="1" applyAlignment="1">
      <alignment horizontal="center" vertical="center"/>
    </xf>
    <xf numFmtId="166" fontId="0" fillId="0" borderId="1" xfId="0" applyNumberFormat="1" applyBorder="1"/>
    <xf numFmtId="171" fontId="0" fillId="0" borderId="1" xfId="0" applyNumberFormat="1" applyBorder="1"/>
    <xf numFmtId="164" fontId="0" fillId="0" borderId="1" xfId="0" applyNumberFormat="1" applyBorder="1"/>
    <xf numFmtId="0" fontId="2" fillId="0" borderId="1" xfId="0" applyFont="1" applyBorder="1" applyAlignment="1">
      <alignment horizontal="center" vertical="center"/>
    </xf>
    <xf numFmtId="169" fontId="2" fillId="0" borderId="1" xfId="0" applyNumberFormat="1" applyFont="1" applyBorder="1" applyAlignment="1">
      <alignment horizontal="center" vertical="center"/>
    </xf>
    <xf numFmtId="0" fontId="6" fillId="0" borderId="52" xfId="0" applyFont="1" applyBorder="1" applyAlignment="1">
      <alignment horizontal="center" vertical="center" wrapText="1"/>
    </xf>
    <xf numFmtId="0" fontId="4" fillId="0" borderId="42" xfId="0" applyFont="1" applyBorder="1" applyAlignment="1">
      <alignment horizontal="center" wrapText="1"/>
    </xf>
    <xf numFmtId="166" fontId="6" fillId="0" borderId="40" xfId="3" applyFont="1" applyBorder="1" applyAlignment="1">
      <alignment wrapText="1"/>
    </xf>
    <xf numFmtId="165" fontId="21" fillId="0" borderId="17" xfId="1" applyFont="1" applyBorder="1"/>
    <xf numFmtId="165" fontId="6" fillId="0" borderId="26" xfId="0" applyNumberFormat="1" applyFont="1" applyBorder="1"/>
    <xf numFmtId="165" fontId="2" fillId="0" borderId="26" xfId="0" applyNumberFormat="1" applyFont="1" applyBorder="1"/>
    <xf numFmtId="0" fontId="7" fillId="0" borderId="3" xfId="0" applyFont="1" applyBorder="1" applyAlignment="1">
      <alignment horizontal="center" vertical="center" wrapText="1"/>
    </xf>
    <xf numFmtId="0" fontId="7" fillId="0" borderId="3" xfId="0" applyFont="1" applyBorder="1" applyAlignment="1">
      <alignment horizontal="center" wrapText="1"/>
    </xf>
    <xf numFmtId="0" fontId="7" fillId="0" borderId="31" xfId="0" applyFont="1" applyBorder="1" applyAlignment="1">
      <alignment horizontal="center" wrapText="1"/>
    </xf>
    <xf numFmtId="165" fontId="0" fillId="0" borderId="1" xfId="0" applyNumberFormat="1" applyBorder="1" applyAlignment="1">
      <alignment horizontal="center" vertical="center"/>
    </xf>
    <xf numFmtId="165" fontId="20" fillId="0" borderId="52" xfId="1" applyFont="1" applyBorder="1" applyAlignment="1">
      <alignment horizontal="center" vertical="center"/>
    </xf>
    <xf numFmtId="165" fontId="20" fillId="0" borderId="4" xfId="1" applyFont="1" applyBorder="1" applyAlignment="1">
      <alignment horizontal="center" vertical="center"/>
    </xf>
    <xf numFmtId="0" fontId="19" fillId="0" borderId="11" xfId="0" applyFont="1" applyBorder="1" applyAlignment="1">
      <alignment horizontal="center" vertical="center" wrapText="1"/>
    </xf>
    <xf numFmtId="0" fontId="19" fillId="0" borderId="9" xfId="0" applyFont="1" applyBorder="1" applyAlignment="1">
      <alignment horizontal="center" vertical="center" wrapText="1"/>
    </xf>
    <xf numFmtId="0" fontId="2" fillId="0" borderId="26" xfId="0" applyFont="1" applyBorder="1" applyAlignment="1">
      <alignment horizontal="center" vertical="center"/>
    </xf>
    <xf numFmtId="169" fontId="2" fillId="0" borderId="26" xfId="0" applyNumberFormat="1" applyFont="1" applyBorder="1" applyAlignment="1">
      <alignment horizontal="center" vertical="center"/>
    </xf>
    <xf numFmtId="171" fontId="2" fillId="0" borderId="0" xfId="0" applyNumberFormat="1" applyFont="1" applyAlignment="1">
      <alignment horizontal="center" vertical="center"/>
    </xf>
    <xf numFmtId="169" fontId="2" fillId="0" borderId="0" xfId="0" applyNumberFormat="1" applyFont="1" applyAlignment="1">
      <alignment horizontal="center" vertical="center"/>
    </xf>
    <xf numFmtId="43" fontId="0" fillId="0" borderId="0" xfId="0" applyNumberFormat="1"/>
    <xf numFmtId="0" fontId="33" fillId="0" borderId="0" xfId="0" applyFont="1" applyAlignment="1">
      <alignment horizontal="justify" vertical="center"/>
    </xf>
    <xf numFmtId="0" fontId="33" fillId="0" borderId="55" xfId="0" applyFont="1" applyBorder="1" applyAlignment="1">
      <alignment vertical="center" wrapText="1"/>
    </xf>
    <xf numFmtId="166" fontId="0" fillId="0" borderId="0" xfId="3" applyFont="1" applyFill="1" applyBorder="1"/>
    <xf numFmtId="166" fontId="27" fillId="0" borderId="0" xfId="3" applyFont="1"/>
    <xf numFmtId="166" fontId="26" fillId="0" borderId="1" xfId="3" applyFont="1" applyBorder="1"/>
    <xf numFmtId="43" fontId="0" fillId="0" borderId="57" xfId="0" applyNumberFormat="1" applyBorder="1" applyAlignment="1">
      <alignment vertical="center"/>
    </xf>
    <xf numFmtId="166" fontId="0" fillId="0" borderId="56" xfId="3" applyFont="1" applyBorder="1" applyAlignment="1">
      <alignment vertical="center"/>
    </xf>
    <xf numFmtId="0" fontId="7" fillId="0" borderId="5" xfId="0" applyFont="1" applyBorder="1" applyAlignment="1">
      <alignment horizontal="center" vertical="center" wrapText="1"/>
    </xf>
    <xf numFmtId="171" fontId="18" fillId="0" borderId="1" xfId="1" applyNumberFormat="1" applyFont="1" applyBorder="1"/>
    <xf numFmtId="166" fontId="6" fillId="0" borderId="1" xfId="0" applyNumberFormat="1" applyFont="1" applyBorder="1" applyAlignment="1">
      <alignment wrapText="1"/>
    </xf>
    <xf numFmtId="165" fontId="2" fillId="0" borderId="1" xfId="0" applyNumberFormat="1" applyFont="1" applyBorder="1" applyAlignment="1">
      <alignment horizontal="center" vertical="center" wrapText="1"/>
    </xf>
    <xf numFmtId="0" fontId="2" fillId="0" borderId="0" xfId="0" applyFont="1" applyAlignment="1">
      <alignment wrapText="1"/>
    </xf>
    <xf numFmtId="169" fontId="26" fillId="0" borderId="0" xfId="1" applyNumberFormat="1" applyFont="1" applyBorder="1"/>
    <xf numFmtId="169" fontId="2" fillId="0" borderId="0" xfId="0" applyNumberFormat="1" applyFont="1" applyAlignment="1">
      <alignment wrapText="1"/>
    </xf>
    <xf numFmtId="0" fontId="32" fillId="0" borderId="11" xfId="0" applyFont="1" applyBorder="1" applyAlignment="1">
      <alignment wrapText="1"/>
    </xf>
    <xf numFmtId="0" fontId="32" fillId="3" borderId="7" xfId="0" applyFont="1" applyFill="1" applyBorder="1" applyAlignment="1">
      <alignment horizontal="center" wrapText="1"/>
    </xf>
    <xf numFmtId="173" fontId="37" fillId="2" borderId="1" xfId="1" applyNumberFormat="1" applyFont="1" applyFill="1" applyBorder="1" applyAlignment="1">
      <alignment horizontal="center" vertical="center"/>
    </xf>
    <xf numFmtId="173" fontId="37" fillId="2" borderId="12" xfId="0" applyNumberFormat="1" applyFont="1" applyFill="1" applyBorder="1" applyAlignment="1">
      <alignment horizontal="center" vertical="center"/>
    </xf>
    <xf numFmtId="173" fontId="33" fillId="2" borderId="14" xfId="1" applyNumberFormat="1" applyFont="1" applyFill="1" applyBorder="1" applyAlignment="1">
      <alignment horizontal="center" vertical="center"/>
    </xf>
    <xf numFmtId="173" fontId="36" fillId="2" borderId="15" xfId="0" applyNumberFormat="1" applyFont="1" applyFill="1" applyBorder="1" applyAlignment="1">
      <alignment horizontal="center" vertical="center"/>
    </xf>
    <xf numFmtId="1" fontId="37" fillId="0" borderId="1" xfId="0" applyNumberFormat="1" applyFont="1" applyBorder="1" applyAlignment="1">
      <alignment horizontal="center" vertical="center"/>
    </xf>
    <xf numFmtId="0" fontId="42" fillId="2" borderId="0" xfId="0" applyFont="1" applyFill="1" applyAlignment="1">
      <alignment horizontal="center"/>
    </xf>
    <xf numFmtId="0" fontId="43" fillId="2" borderId="0" xfId="0" applyFont="1" applyFill="1"/>
    <xf numFmtId="173" fontId="26" fillId="0" borderId="1" xfId="1" applyNumberFormat="1" applyFont="1" applyFill="1" applyBorder="1" applyAlignment="1">
      <alignment horizontal="center" vertical="center"/>
    </xf>
    <xf numFmtId="0" fontId="8" fillId="2" borderId="1" xfId="0" applyFont="1" applyFill="1" applyBorder="1" applyAlignment="1">
      <alignment horizontal="center" vertical="center" wrapText="1"/>
    </xf>
    <xf numFmtId="0" fontId="8" fillId="2" borderId="12" xfId="0" applyFont="1" applyFill="1" applyBorder="1" applyAlignment="1">
      <alignment horizontal="center" vertical="center" wrapText="1"/>
    </xf>
    <xf numFmtId="165" fontId="21" fillId="0" borderId="14" xfId="1" applyFont="1" applyFill="1" applyBorder="1"/>
    <xf numFmtId="165" fontId="21" fillId="0" borderId="0" xfId="1" applyFont="1" applyFill="1" applyBorder="1"/>
    <xf numFmtId="165" fontId="6" fillId="0" borderId="0" xfId="0" applyNumberFormat="1" applyFont="1" applyFill="1"/>
    <xf numFmtId="165" fontId="0" fillId="0" borderId="0" xfId="0" applyNumberFormat="1" applyFill="1"/>
    <xf numFmtId="0" fontId="0" fillId="0" borderId="0" xfId="0" applyFill="1"/>
    <xf numFmtId="43" fontId="2" fillId="0" borderId="0" xfId="0" applyNumberFormat="1" applyFont="1" applyAlignment="1">
      <alignment wrapText="1"/>
    </xf>
    <xf numFmtId="0" fontId="2" fillId="0" borderId="8" xfId="0" applyFont="1" applyFill="1" applyBorder="1" applyAlignment="1">
      <alignment wrapText="1"/>
    </xf>
    <xf numFmtId="0" fontId="36" fillId="0" borderId="1" xfId="0" applyFont="1" applyFill="1" applyBorder="1" applyAlignment="1">
      <alignment horizontal="center" vertical="center" wrapText="1"/>
    </xf>
    <xf numFmtId="0" fontId="36" fillId="0" borderId="3" xfId="0" applyFont="1" applyFill="1" applyBorder="1" applyAlignment="1">
      <alignment horizontal="center" vertical="center" wrapText="1"/>
    </xf>
    <xf numFmtId="173" fontId="37" fillId="0" borderId="3" xfId="1" applyNumberFormat="1" applyFont="1" applyFill="1" applyBorder="1" applyAlignment="1">
      <alignment horizontal="center" vertical="center"/>
    </xf>
    <xf numFmtId="173" fontId="37" fillId="0" borderId="1" xfId="1" applyNumberFormat="1" applyFont="1" applyFill="1" applyBorder="1" applyAlignment="1">
      <alignment horizontal="center" vertical="center"/>
    </xf>
    <xf numFmtId="0" fontId="39" fillId="0" borderId="1" xfId="0" applyFont="1" applyFill="1" applyBorder="1" applyAlignment="1">
      <alignment horizontal="center" vertical="center" wrapText="1"/>
    </xf>
    <xf numFmtId="0" fontId="41" fillId="0" borderId="1" xfId="0" applyFont="1" applyFill="1" applyBorder="1" applyAlignment="1">
      <alignment wrapText="1"/>
    </xf>
    <xf numFmtId="0" fontId="41" fillId="0" borderId="1" xfId="0" applyFont="1" applyFill="1" applyBorder="1" applyAlignment="1">
      <alignment horizontal="center" vertical="center" wrapText="1"/>
    </xf>
    <xf numFmtId="173" fontId="41" fillId="0" borderId="1" xfId="1" applyNumberFormat="1" applyFont="1" applyFill="1" applyBorder="1" applyAlignment="1">
      <alignment horizontal="center" vertical="center"/>
    </xf>
    <xf numFmtId="173" fontId="39" fillId="0" borderId="1" xfId="0" applyNumberFormat="1" applyFont="1" applyFill="1" applyBorder="1" applyAlignment="1">
      <alignment horizontal="center" vertical="center"/>
    </xf>
    <xf numFmtId="0" fontId="0" fillId="0" borderId="0" xfId="0" applyFill="1" applyAlignment="1">
      <alignment horizontal="center" vertical="center"/>
    </xf>
    <xf numFmtId="0" fontId="36" fillId="0" borderId="55" xfId="0" applyFont="1" applyFill="1" applyBorder="1" applyAlignment="1">
      <alignment horizontal="center" vertical="center" wrapText="1"/>
    </xf>
    <xf numFmtId="0" fontId="36" fillId="0" borderId="46" xfId="0" applyFont="1" applyFill="1" applyBorder="1" applyAlignment="1">
      <alignment horizontal="center" vertical="center" wrapText="1"/>
    </xf>
    <xf numFmtId="0" fontId="42" fillId="0" borderId="0" xfId="0" applyFont="1" applyFill="1" applyAlignment="1">
      <alignment horizontal="center" vertical="center"/>
    </xf>
    <xf numFmtId="0" fontId="38" fillId="0" borderId="1" xfId="0" applyFont="1" applyFill="1" applyBorder="1" applyAlignment="1">
      <alignment horizontal="center" vertical="center" wrapText="1"/>
    </xf>
    <xf numFmtId="0" fontId="38" fillId="0" borderId="1" xfId="0" applyFont="1" applyFill="1" applyBorder="1" applyAlignment="1">
      <alignment horizontal="center" vertical="center"/>
    </xf>
    <xf numFmtId="0" fontId="43" fillId="0" borderId="0" xfId="0" applyFont="1" applyFill="1" applyAlignment="1">
      <alignment horizontal="center" vertical="center"/>
    </xf>
    <xf numFmtId="0" fontId="40" fillId="0" borderId="1" xfId="0" applyFont="1" applyFill="1" applyBorder="1" applyAlignment="1">
      <alignment horizontal="center" vertical="center" wrapText="1"/>
    </xf>
    <xf numFmtId="0" fontId="40" fillId="0" borderId="1" xfId="0" applyFont="1" applyFill="1" applyBorder="1" applyAlignment="1">
      <alignment horizontal="center" vertical="center"/>
    </xf>
    <xf numFmtId="173" fontId="41" fillId="0" borderId="1" xfId="3" applyNumberFormat="1" applyFont="1" applyFill="1" applyBorder="1" applyAlignment="1">
      <alignment horizontal="center" vertical="center"/>
    </xf>
    <xf numFmtId="173" fontId="38" fillId="0" borderId="1" xfId="3" applyNumberFormat="1" applyFont="1" applyFill="1" applyBorder="1" applyAlignment="1">
      <alignment horizontal="center" vertical="center"/>
    </xf>
    <xf numFmtId="173" fontId="38" fillId="0" borderId="1" xfId="1" applyNumberFormat="1" applyFont="1" applyFill="1" applyBorder="1" applyAlignment="1">
      <alignment horizontal="center" vertical="center"/>
    </xf>
    <xf numFmtId="0" fontId="7" fillId="0" borderId="1" xfId="0" applyFont="1" applyFill="1" applyBorder="1" applyAlignment="1">
      <alignment horizontal="center" wrapText="1"/>
    </xf>
    <xf numFmtId="0" fontId="7" fillId="0" borderId="1" xfId="0" applyFont="1" applyFill="1" applyBorder="1" applyAlignment="1">
      <alignment horizontal="center"/>
    </xf>
    <xf numFmtId="0" fontId="21" fillId="0" borderId="11" xfId="0" applyFont="1" applyFill="1" applyBorder="1" applyAlignment="1">
      <alignment wrapText="1"/>
    </xf>
    <xf numFmtId="0" fontId="21" fillId="0" borderId="6" xfId="0" applyFont="1" applyFill="1" applyBorder="1" applyAlignment="1">
      <alignment wrapText="1"/>
    </xf>
    <xf numFmtId="0" fontId="24" fillId="0" borderId="2" xfId="0" applyFont="1" applyFill="1" applyBorder="1" applyAlignment="1">
      <alignment horizontal="center"/>
    </xf>
    <xf numFmtId="165" fontId="25" fillId="0" borderId="11" xfId="1" applyFont="1" applyFill="1" applyBorder="1" applyAlignment="1">
      <alignment horizontal="center" vertical="center"/>
    </xf>
    <xf numFmtId="165" fontId="25" fillId="0" borderId="1" xfId="0" applyNumberFormat="1" applyFont="1" applyFill="1" applyBorder="1" applyAlignment="1">
      <alignment horizontal="center" vertical="center"/>
    </xf>
    <xf numFmtId="165" fontId="25" fillId="0" borderId="12" xfId="0" applyNumberFormat="1" applyFont="1" applyFill="1" applyBorder="1" applyAlignment="1">
      <alignment horizontal="center" vertical="center"/>
    </xf>
    <xf numFmtId="165" fontId="25" fillId="0" borderId="1" xfId="1" applyFont="1" applyFill="1" applyBorder="1" applyAlignment="1">
      <alignment horizontal="center" vertical="center"/>
    </xf>
    <xf numFmtId="165" fontId="25" fillId="0" borderId="12" xfId="1" applyFont="1" applyFill="1" applyBorder="1" applyAlignment="1">
      <alignment horizontal="center" vertical="center"/>
    </xf>
    <xf numFmtId="165" fontId="25" fillId="0" borderId="11" xfId="0" applyNumberFormat="1" applyFont="1" applyFill="1" applyBorder="1" applyAlignment="1">
      <alignment horizontal="center" vertical="center"/>
    </xf>
    <xf numFmtId="165" fontId="25" fillId="0" borderId="13" xfId="0" applyNumberFormat="1" applyFont="1" applyFill="1" applyBorder="1"/>
    <xf numFmtId="165" fontId="25" fillId="0" borderId="14" xfId="0" applyNumberFormat="1" applyFont="1" applyFill="1" applyBorder="1"/>
    <xf numFmtId="165" fontId="25" fillId="0" borderId="15" xfId="0" applyNumberFormat="1" applyFont="1" applyFill="1" applyBorder="1"/>
    <xf numFmtId="165" fontId="25" fillId="0" borderId="13" xfId="1" applyFont="1" applyFill="1" applyBorder="1"/>
    <xf numFmtId="165" fontId="25" fillId="0" borderId="14" xfId="1" applyFont="1" applyFill="1" applyBorder="1"/>
    <xf numFmtId="165" fontId="25" fillId="0" borderId="15" xfId="1" applyFont="1" applyFill="1" applyBorder="1"/>
    <xf numFmtId="0" fontId="2" fillId="0" borderId="1" xfId="0" applyFont="1" applyFill="1" applyBorder="1"/>
    <xf numFmtId="0" fontId="2" fillId="0" borderId="1" xfId="0" applyFont="1" applyFill="1" applyBorder="1" applyAlignment="1">
      <alignment vertical="center" wrapText="1"/>
    </xf>
    <xf numFmtId="0" fontId="0" fillId="0" borderId="1" xfId="0" applyFill="1" applyBorder="1" applyAlignment="1">
      <alignment wrapText="1"/>
    </xf>
    <xf numFmtId="0" fontId="26" fillId="0" borderId="1" xfId="0" applyFont="1" applyFill="1" applyBorder="1" applyAlignment="1">
      <alignment horizontal="center" vertical="center"/>
    </xf>
    <xf numFmtId="173" fontId="1" fillId="0" borderId="1" xfId="0" applyNumberFormat="1" applyFont="1" applyFill="1" applyBorder="1" applyAlignment="1">
      <alignment horizontal="center" vertical="center"/>
    </xf>
    <xf numFmtId="173" fontId="2" fillId="0" borderId="1" xfId="0" applyNumberFormat="1" applyFont="1" applyFill="1" applyBorder="1" applyAlignment="1">
      <alignment horizontal="center" vertical="center"/>
    </xf>
    <xf numFmtId="0" fontId="30" fillId="0" borderId="11" xfId="0" applyFont="1" applyFill="1" applyBorder="1" applyAlignment="1">
      <alignment wrapText="1"/>
    </xf>
    <xf numFmtId="0" fontId="30" fillId="0" borderId="7" xfId="0" applyFont="1" applyFill="1" applyBorder="1" applyAlignment="1">
      <alignment horizontal="center" vertical="center" wrapText="1"/>
    </xf>
    <xf numFmtId="0" fontId="15" fillId="0" borderId="1" xfId="0" applyFont="1" applyFill="1" applyBorder="1" applyAlignment="1">
      <alignment horizontal="center" vertical="center" wrapText="1"/>
    </xf>
    <xf numFmtId="0" fontId="30" fillId="0" borderId="1" xfId="0" applyFont="1" applyFill="1" applyBorder="1" applyAlignment="1">
      <alignment wrapText="1"/>
    </xf>
    <xf numFmtId="0" fontId="30" fillId="0" borderId="12" xfId="0" applyFont="1" applyFill="1" applyBorder="1" applyAlignment="1">
      <alignment wrapText="1"/>
    </xf>
    <xf numFmtId="0" fontId="26" fillId="0" borderId="11" xfId="0" applyFont="1" applyFill="1" applyBorder="1" applyAlignment="1">
      <alignment horizontal="left" wrapText="1"/>
    </xf>
    <xf numFmtId="0" fontId="26" fillId="0" borderId="7" xfId="0" applyFont="1" applyFill="1" applyBorder="1" applyAlignment="1">
      <alignment horizontal="center" vertical="center" wrapText="1"/>
    </xf>
    <xf numFmtId="165" fontId="26" fillId="0" borderId="1" xfId="1" applyFont="1" applyFill="1" applyBorder="1"/>
    <xf numFmtId="165" fontId="26" fillId="0" borderId="12" xfId="1" applyFont="1" applyFill="1" applyBorder="1"/>
    <xf numFmtId="0" fontId="26" fillId="0" borderId="11" xfId="0" applyFont="1" applyFill="1" applyBorder="1" applyAlignment="1">
      <alignment wrapText="1"/>
    </xf>
    <xf numFmtId="166" fontId="26" fillId="0" borderId="7" xfId="0" applyNumberFormat="1" applyFont="1" applyFill="1" applyBorder="1" applyAlignment="1">
      <alignment horizontal="center" vertical="center" wrapText="1"/>
    </xf>
    <xf numFmtId="0" fontId="26" fillId="0" borderId="13" xfId="0" applyFont="1" applyFill="1" applyBorder="1" applyAlignment="1">
      <alignment wrapText="1"/>
    </xf>
    <xf numFmtId="0" fontId="26" fillId="0" borderId="42" xfId="0" applyFont="1" applyFill="1" applyBorder="1" applyAlignment="1">
      <alignment wrapText="1"/>
    </xf>
    <xf numFmtId="165" fontId="30" fillId="0" borderId="14" xfId="1" applyFont="1" applyFill="1" applyBorder="1"/>
    <xf numFmtId="0" fontId="8" fillId="0" borderId="1" xfId="0" applyFont="1" applyFill="1" applyBorder="1" applyAlignment="1">
      <alignment horizontal="center" vertical="center"/>
    </xf>
    <xf numFmtId="0" fontId="8" fillId="0" borderId="1" xfId="0" applyFont="1" applyFill="1" applyBorder="1" applyAlignment="1">
      <alignment wrapText="1"/>
    </xf>
    <xf numFmtId="0" fontId="8" fillId="0" borderId="1" xfId="0" applyFont="1" applyFill="1" applyBorder="1"/>
    <xf numFmtId="0" fontId="8" fillId="0" borderId="1" xfId="0" applyFont="1" applyFill="1" applyBorder="1" applyAlignment="1">
      <alignment horizontal="center" vertical="center" wrapText="1"/>
    </xf>
    <xf numFmtId="0" fontId="8" fillId="0" borderId="12" xfId="0" applyFont="1" applyFill="1" applyBorder="1" applyAlignment="1">
      <alignment horizontal="center" vertical="center" wrapText="1"/>
    </xf>
    <xf numFmtId="0" fontId="9" fillId="0" borderId="11" xfId="0" applyFont="1" applyFill="1" applyBorder="1" applyAlignment="1">
      <alignment wrapText="1"/>
    </xf>
    <xf numFmtId="0" fontId="6" fillId="0" borderId="7" xfId="0" applyFont="1" applyFill="1" applyBorder="1" applyAlignment="1">
      <alignment horizontal="center" vertical="center" wrapText="1"/>
    </xf>
    <xf numFmtId="0" fontId="25" fillId="0" borderId="1" xfId="0" applyFont="1" applyFill="1" applyBorder="1" applyAlignment="1">
      <alignment horizontal="center"/>
    </xf>
    <xf numFmtId="165" fontId="25" fillId="0" borderId="1" xfId="1" applyFont="1" applyFill="1" applyBorder="1"/>
    <xf numFmtId="165" fontId="24" fillId="0" borderId="1" xfId="2" applyNumberFormat="1" applyFont="1" applyFill="1" applyBorder="1"/>
    <xf numFmtId="165" fontId="25" fillId="0" borderId="12" xfId="1" applyFont="1" applyFill="1" applyBorder="1"/>
    <xf numFmtId="0" fontId="9" fillId="0" borderId="39" xfId="0" applyFont="1" applyFill="1" applyBorder="1" applyAlignment="1">
      <alignment wrapText="1"/>
    </xf>
    <xf numFmtId="0" fontId="25" fillId="0" borderId="4" xfId="0" applyFont="1" applyFill="1" applyBorder="1" applyAlignment="1">
      <alignment horizontal="center"/>
    </xf>
    <xf numFmtId="165" fontId="25" fillId="0" borderId="4" xfId="1" applyFont="1" applyFill="1" applyBorder="1"/>
    <xf numFmtId="165" fontId="24" fillId="0" borderId="4" xfId="2" applyNumberFormat="1" applyFont="1" applyFill="1" applyBorder="1"/>
    <xf numFmtId="0" fontId="9" fillId="0" borderId="13" xfId="0" applyFont="1" applyFill="1" applyBorder="1"/>
    <xf numFmtId="0" fontId="9" fillId="0" borderId="42" xfId="0" applyFont="1" applyFill="1" applyBorder="1"/>
    <xf numFmtId="0" fontId="13" fillId="0" borderId="14" xfId="0" applyFont="1" applyFill="1" applyBorder="1" applyAlignment="1">
      <alignment horizontal="center"/>
    </xf>
    <xf numFmtId="165" fontId="14" fillId="0" borderId="14" xfId="1" applyFont="1" applyFill="1" applyBorder="1"/>
    <xf numFmtId="165" fontId="14" fillId="0" borderId="15" xfId="1" applyFont="1" applyFill="1" applyBorder="1"/>
    <xf numFmtId="0" fontId="7" fillId="0" borderId="1" xfId="0" applyFont="1" applyFill="1" applyBorder="1" applyAlignment="1">
      <alignment horizontal="center" vertical="center" wrapText="1"/>
    </xf>
    <xf numFmtId="0" fontId="7" fillId="0" borderId="1" xfId="0" applyFont="1" applyFill="1" applyBorder="1" applyAlignment="1">
      <alignment horizontal="center" vertical="center"/>
    </xf>
    <xf numFmtId="0" fontId="7" fillId="0" borderId="12" xfId="0" applyFont="1" applyFill="1" applyBorder="1" applyAlignment="1">
      <alignment horizontal="center" vertical="center" wrapText="1"/>
    </xf>
    <xf numFmtId="0" fontId="6" fillId="0" borderId="11" xfId="0" applyFont="1" applyFill="1" applyBorder="1" applyAlignment="1">
      <alignment wrapText="1"/>
    </xf>
    <xf numFmtId="0" fontId="21" fillId="0" borderId="1" xfId="0" applyFont="1" applyFill="1" applyBorder="1" applyAlignment="1">
      <alignment horizontal="center" vertical="center"/>
    </xf>
    <xf numFmtId="165" fontId="21" fillId="0" borderId="1" xfId="1" applyFont="1" applyFill="1" applyBorder="1"/>
    <xf numFmtId="165" fontId="21" fillId="0" borderId="12" xfId="1" applyFont="1" applyFill="1" applyBorder="1"/>
    <xf numFmtId="0" fontId="6" fillId="0" borderId="39" xfId="0" applyFont="1" applyFill="1" applyBorder="1" applyAlignment="1">
      <alignment wrapText="1"/>
    </xf>
    <xf numFmtId="0" fontId="21" fillId="0" borderId="4" xfId="0" applyFont="1" applyFill="1" applyBorder="1" applyAlignment="1">
      <alignment horizontal="center" vertical="center"/>
    </xf>
    <xf numFmtId="165" fontId="21" fillId="0" borderId="4" xfId="1" applyFont="1" applyFill="1" applyBorder="1"/>
    <xf numFmtId="165" fontId="7" fillId="0" borderId="14" xfId="1" applyFont="1" applyFill="1" applyBorder="1"/>
    <xf numFmtId="165" fontId="8" fillId="0" borderId="1" xfId="0" applyNumberFormat="1" applyFont="1" applyFill="1" applyBorder="1"/>
    <xf numFmtId="165" fontId="7" fillId="0" borderId="15" xfId="1" applyFont="1" applyFill="1" applyBorder="1"/>
    <xf numFmtId="0" fontId="0" fillId="4" borderId="1" xfId="0" applyFill="1" applyBorder="1" applyAlignment="1">
      <alignment horizontal="center" wrapText="1"/>
    </xf>
    <xf numFmtId="169" fontId="2" fillId="4" borderId="1" xfId="0" applyNumberFormat="1" applyFont="1" applyFill="1" applyBorder="1"/>
    <xf numFmtId="0" fontId="6" fillId="0" borderId="49" xfId="0" applyFont="1" applyFill="1" applyBorder="1" applyAlignment="1">
      <alignment horizontal="center" wrapText="1"/>
    </xf>
    <xf numFmtId="0" fontId="6" fillId="0" borderId="7" xfId="0" applyFont="1" applyFill="1" applyBorder="1" applyAlignment="1">
      <alignment horizontal="center" wrapText="1"/>
    </xf>
    <xf numFmtId="0" fontId="6" fillId="0" borderId="1" xfId="0" applyFont="1" applyFill="1" applyBorder="1" applyAlignment="1">
      <alignment wrapText="1"/>
    </xf>
    <xf numFmtId="0" fontId="6" fillId="0" borderId="1" xfId="0" applyFont="1" applyFill="1" applyBorder="1"/>
    <xf numFmtId="0" fontId="6" fillId="0" borderId="7" xfId="0" applyFont="1" applyFill="1" applyBorder="1" applyAlignment="1">
      <alignment wrapText="1"/>
    </xf>
    <xf numFmtId="171" fontId="6" fillId="0" borderId="1" xfId="0" applyNumberFormat="1" applyFont="1" applyFill="1" applyBorder="1"/>
    <xf numFmtId="171" fontId="21" fillId="0" borderId="1" xfId="1" applyNumberFormat="1" applyFont="1" applyFill="1" applyBorder="1"/>
    <xf numFmtId="171" fontId="21" fillId="0" borderId="1" xfId="0" applyNumberFormat="1" applyFont="1" applyFill="1" applyBorder="1"/>
    <xf numFmtId="0" fontId="6" fillId="0" borderId="13" xfId="0" applyFont="1" applyFill="1" applyBorder="1"/>
    <xf numFmtId="0" fontId="6" fillId="0" borderId="42" xfId="0" applyFont="1" applyFill="1" applyBorder="1"/>
    <xf numFmtId="0" fontId="7" fillId="0" borderId="14" xfId="0" applyFont="1" applyFill="1" applyBorder="1" applyAlignment="1">
      <alignment horizontal="center" vertical="center"/>
    </xf>
    <xf numFmtId="166" fontId="21" fillId="0" borderId="1" xfId="1" applyNumberFormat="1" applyFont="1" applyFill="1" applyBorder="1"/>
    <xf numFmtId="172" fontId="6" fillId="0" borderId="26" xfId="0" applyNumberFormat="1" applyFont="1" applyFill="1" applyBorder="1"/>
    <xf numFmtId="166" fontId="7" fillId="0" borderId="26" xfId="0" applyNumberFormat="1" applyFont="1" applyFill="1" applyBorder="1"/>
    <xf numFmtId="166" fontId="18" fillId="0" borderId="26" xfId="0" applyNumberFormat="1" applyFont="1" applyFill="1" applyBorder="1"/>
    <xf numFmtId="164" fontId="2" fillId="0" borderId="1" xfId="0" applyNumberFormat="1" applyFont="1" applyBorder="1"/>
    <xf numFmtId="166" fontId="6" fillId="0" borderId="4" xfId="3" applyFont="1" applyFill="1" applyBorder="1" applyAlignment="1">
      <alignment wrapText="1"/>
    </xf>
    <xf numFmtId="166" fontId="6" fillId="0" borderId="4" xfId="3" applyFont="1" applyFill="1" applyBorder="1"/>
    <xf numFmtId="166" fontId="6" fillId="0" borderId="4" xfId="0" applyNumberFormat="1" applyFont="1" applyFill="1" applyBorder="1" applyAlignment="1">
      <alignment wrapText="1"/>
    </xf>
    <xf numFmtId="166" fontId="2" fillId="0" borderId="1" xfId="0" applyNumberFormat="1" applyFont="1" applyBorder="1" applyAlignment="1">
      <alignment horizontal="center" vertical="center"/>
    </xf>
    <xf numFmtId="165" fontId="7" fillId="0" borderId="50" xfId="0" applyNumberFormat="1" applyFont="1" applyBorder="1" applyAlignment="1">
      <alignment horizontal="center"/>
    </xf>
    <xf numFmtId="166" fontId="2" fillId="0" borderId="1" xfId="3" applyFont="1" applyBorder="1" applyAlignment="1">
      <alignment horizontal="center" vertical="center"/>
    </xf>
    <xf numFmtId="0" fontId="2" fillId="0" borderId="1" xfId="0" applyFont="1" applyFill="1" applyBorder="1" applyAlignment="1">
      <alignment horizontal="center" vertical="center" wrapText="1"/>
    </xf>
    <xf numFmtId="0" fontId="21" fillId="0" borderId="1" xfId="0" applyFont="1" applyFill="1" applyBorder="1" applyAlignment="1">
      <alignment horizontal="center" vertical="center" wrapText="1"/>
    </xf>
    <xf numFmtId="165" fontId="21" fillId="0" borderId="1" xfId="1" applyFont="1" applyFill="1" applyBorder="1" applyAlignment="1">
      <alignment horizontal="center" vertical="center"/>
    </xf>
    <xf numFmtId="165" fontId="21" fillId="0" borderId="1" xfId="1" applyFont="1" applyFill="1" applyBorder="1" applyAlignment="1">
      <alignment horizontal="center" vertical="center" wrapText="1"/>
    </xf>
    <xf numFmtId="165" fontId="7" fillId="0" borderId="1" xfId="1" applyFont="1" applyFill="1" applyBorder="1"/>
    <xf numFmtId="165" fontId="18" fillId="0" borderId="1" xfId="1" applyFont="1" applyFill="1" applyBorder="1"/>
    <xf numFmtId="0" fontId="32" fillId="0" borderId="22" xfId="0" applyFont="1" applyBorder="1" applyAlignment="1">
      <alignment horizontal="center" vertical="center" wrapText="1"/>
    </xf>
    <xf numFmtId="0" fontId="7" fillId="0" borderId="53" xfId="0" applyFont="1" applyBorder="1" applyAlignment="1">
      <alignment horizontal="center" vertical="center" wrapText="1"/>
    </xf>
    <xf numFmtId="43" fontId="0" fillId="2" borderId="50" xfId="0" applyNumberFormat="1" applyFill="1" applyBorder="1" applyAlignment="1">
      <alignment vertical="center"/>
    </xf>
    <xf numFmtId="0" fontId="0" fillId="0" borderId="1" xfId="0" applyFill="1" applyBorder="1"/>
    <xf numFmtId="0" fontId="35" fillId="0" borderId="1" xfId="0" applyFont="1" applyFill="1" applyBorder="1" applyAlignment="1">
      <alignment horizontal="center" vertical="center"/>
    </xf>
    <xf numFmtId="0" fontId="32" fillId="0" borderId="1" xfId="0" applyFont="1" applyFill="1" applyBorder="1" applyAlignment="1">
      <alignment horizontal="center" vertical="center"/>
    </xf>
    <xf numFmtId="166" fontId="0" fillId="0" borderId="1" xfId="3" applyFont="1" applyFill="1" applyBorder="1" applyAlignment="1">
      <alignment horizontal="center" vertical="center"/>
    </xf>
    <xf numFmtId="166" fontId="0" fillId="0" borderId="1" xfId="3" applyFont="1" applyFill="1" applyBorder="1" applyAlignment="1">
      <alignment vertical="center"/>
    </xf>
    <xf numFmtId="0" fontId="19" fillId="0" borderId="51" xfId="0" applyFont="1" applyFill="1" applyBorder="1" applyAlignment="1">
      <alignment horizontal="center" vertical="center" wrapText="1"/>
    </xf>
    <xf numFmtId="0" fontId="19" fillId="0" borderId="3" xfId="0" applyFont="1" applyFill="1" applyBorder="1" applyAlignment="1">
      <alignment horizontal="center" vertical="center"/>
    </xf>
    <xf numFmtId="0" fontId="19" fillId="0" borderId="3" xfId="0" applyFont="1" applyFill="1" applyBorder="1" applyAlignment="1">
      <alignment horizontal="center" vertical="center" wrapText="1"/>
    </xf>
    <xf numFmtId="0" fontId="19" fillId="0" borderId="11" xfId="0" applyFont="1" applyFill="1" applyBorder="1" applyAlignment="1">
      <alignment horizontal="center" vertical="center" wrapText="1"/>
    </xf>
    <xf numFmtId="0" fontId="19" fillId="0" borderId="9" xfId="0" applyFont="1" applyFill="1" applyBorder="1" applyAlignment="1">
      <alignment horizontal="center" vertical="center"/>
    </xf>
    <xf numFmtId="0" fontId="19" fillId="0" borderId="9" xfId="0" applyFont="1" applyFill="1" applyBorder="1" applyAlignment="1">
      <alignment horizontal="center" vertical="center" wrapText="1"/>
    </xf>
    <xf numFmtId="0" fontId="19" fillId="0" borderId="10" xfId="0" applyFont="1" applyFill="1" applyBorder="1" applyAlignment="1">
      <alignment horizontal="center" vertical="center"/>
    </xf>
    <xf numFmtId="0" fontId="19" fillId="0" borderId="1" xfId="0" applyFont="1" applyFill="1" applyBorder="1" applyAlignment="1">
      <alignment horizontal="center" vertical="center" wrapText="1"/>
    </xf>
    <xf numFmtId="165" fontId="19" fillId="0" borderId="7" xfId="1" applyFont="1" applyFill="1" applyBorder="1" applyAlignment="1">
      <alignment horizontal="center" vertical="center"/>
    </xf>
    <xf numFmtId="165" fontId="19" fillId="0" borderId="1" xfId="1" applyFont="1" applyFill="1" applyBorder="1" applyAlignment="1">
      <alignment horizontal="center" vertical="center"/>
    </xf>
    <xf numFmtId="165" fontId="19" fillId="0" borderId="1" xfId="1" applyFont="1" applyFill="1" applyBorder="1" applyAlignment="1">
      <alignment horizontal="center" vertical="center" wrapText="1"/>
    </xf>
    <xf numFmtId="165" fontId="19" fillId="0" borderId="34" xfId="1" applyFont="1" applyFill="1" applyBorder="1" applyAlignment="1">
      <alignment horizontal="center" vertical="center"/>
    </xf>
    <xf numFmtId="165" fontId="19" fillId="0" borderId="17" xfId="1" applyFont="1" applyFill="1" applyBorder="1" applyAlignment="1">
      <alignment horizontal="center" vertical="center"/>
    </xf>
    <xf numFmtId="165" fontId="19" fillId="0" borderId="15" xfId="1" applyFont="1" applyFill="1" applyBorder="1" applyAlignment="1">
      <alignment horizontal="center" vertical="center"/>
    </xf>
    <xf numFmtId="165" fontId="0" fillId="0" borderId="1" xfId="0" applyNumberFormat="1" applyFill="1" applyBorder="1" applyAlignment="1">
      <alignment horizontal="center" vertical="center"/>
    </xf>
    <xf numFmtId="165" fontId="2" fillId="0" borderId="1" xfId="0" applyNumberFormat="1" applyFont="1" applyFill="1" applyBorder="1" applyAlignment="1">
      <alignment horizontal="center" vertical="center"/>
    </xf>
    <xf numFmtId="165" fontId="0" fillId="0" borderId="43" xfId="0" applyNumberFormat="1" applyFill="1" applyBorder="1" applyAlignment="1">
      <alignment horizontal="center" vertical="center"/>
    </xf>
    <xf numFmtId="165" fontId="0" fillId="0" borderId="4" xfId="0" applyNumberFormat="1" applyFill="1" applyBorder="1" applyAlignment="1">
      <alignment horizontal="center" vertical="center"/>
    </xf>
    <xf numFmtId="165" fontId="0" fillId="0" borderId="5" xfId="0" applyNumberFormat="1" applyFill="1" applyBorder="1" applyAlignment="1">
      <alignment horizontal="center" vertical="center"/>
    </xf>
    <xf numFmtId="165" fontId="2" fillId="0" borderId="38" xfId="0" applyNumberFormat="1" applyFont="1" applyFill="1" applyBorder="1" applyAlignment="1">
      <alignment horizontal="center" vertical="center"/>
    </xf>
    <xf numFmtId="166" fontId="21" fillId="0" borderId="1" xfId="3" applyNumberFormat="1" applyFont="1" applyFill="1" applyBorder="1"/>
    <xf numFmtId="173" fontId="0" fillId="2" borderId="0" xfId="0" applyNumberFormat="1" applyFill="1"/>
    <xf numFmtId="173" fontId="0" fillId="0" borderId="0" xfId="0" applyNumberFormat="1" applyAlignment="1">
      <alignment horizontal="center" vertical="center"/>
    </xf>
    <xf numFmtId="173" fontId="0" fillId="2" borderId="0" xfId="0" applyNumberFormat="1" applyFill="1" applyAlignment="1">
      <alignment horizontal="center" vertical="center"/>
    </xf>
    <xf numFmtId="44" fontId="45" fillId="0" borderId="0" xfId="0" applyNumberFormat="1" applyFont="1"/>
    <xf numFmtId="44" fontId="9" fillId="0" borderId="0" xfId="0" applyNumberFormat="1" applyFont="1"/>
    <xf numFmtId="44" fontId="0" fillId="2" borderId="0" xfId="0" applyNumberFormat="1" applyFill="1"/>
    <xf numFmtId="44" fontId="45" fillId="2" borderId="0" xfId="0" applyNumberFormat="1" applyFont="1" applyFill="1"/>
    <xf numFmtId="165" fontId="9" fillId="2" borderId="1" xfId="0" applyNumberFormat="1" applyFont="1" applyFill="1" applyBorder="1"/>
    <xf numFmtId="165" fontId="8" fillId="2" borderId="14" xfId="0" applyNumberFormat="1" applyFont="1" applyFill="1" applyBorder="1"/>
    <xf numFmtId="165" fontId="9" fillId="2" borderId="12" xfId="0" applyNumberFormat="1" applyFont="1" applyFill="1" applyBorder="1"/>
    <xf numFmtId="165" fontId="45" fillId="0" borderId="0" xfId="1" applyNumberFormat="1" applyFont="1"/>
    <xf numFmtId="4" fontId="35" fillId="0" borderId="0" xfId="0" applyNumberFormat="1" applyFont="1"/>
    <xf numFmtId="0" fontId="33" fillId="0" borderId="24" xfId="0" applyFont="1" applyBorder="1" applyAlignment="1">
      <alignment horizontal="center" wrapText="1"/>
    </xf>
    <xf numFmtId="0" fontId="33" fillId="0" borderId="34" xfId="0" applyFont="1" applyBorder="1" applyAlignment="1">
      <alignment horizontal="center" wrapText="1"/>
    </xf>
    <xf numFmtId="0" fontId="33" fillId="0" borderId="42" xfId="0" applyFont="1" applyBorder="1" applyAlignment="1">
      <alignment horizontal="center" wrapText="1"/>
    </xf>
    <xf numFmtId="0" fontId="33" fillId="0" borderId="8" xfId="0" applyFont="1" applyBorder="1" applyAlignment="1">
      <alignment horizontal="center"/>
    </xf>
    <xf numFmtId="0" fontId="33" fillId="0" borderId="49" xfId="0" applyFont="1" applyBorder="1" applyAlignment="1">
      <alignment horizontal="center"/>
    </xf>
    <xf numFmtId="0" fontId="33" fillId="0" borderId="9" xfId="0" applyFont="1" applyBorder="1" applyAlignment="1">
      <alignment horizontal="center"/>
    </xf>
    <xf numFmtId="0" fontId="33" fillId="0" borderId="10" xfId="0" applyFont="1" applyBorder="1" applyAlignment="1">
      <alignment horizontal="center"/>
    </xf>
    <xf numFmtId="0" fontId="33" fillId="0" borderId="32" xfId="0" applyFont="1" applyBorder="1" applyAlignment="1">
      <alignment horizontal="center" vertical="center" wrapText="1"/>
    </xf>
    <xf numFmtId="0" fontId="33" fillId="0" borderId="11" xfId="0" applyFont="1" applyBorder="1" applyAlignment="1">
      <alignment horizontal="center" vertical="center" wrapText="1"/>
    </xf>
    <xf numFmtId="0" fontId="33" fillId="0" borderId="31" xfId="0" applyFont="1" applyBorder="1" applyAlignment="1">
      <alignment horizontal="center" vertical="center" wrapText="1"/>
    </xf>
    <xf numFmtId="0" fontId="33" fillId="0" borderId="2" xfId="0" applyFont="1" applyBorder="1" applyAlignment="1">
      <alignment horizontal="center" vertical="center" wrapText="1"/>
    </xf>
    <xf numFmtId="0" fontId="33" fillId="2" borderId="5" xfId="0" applyFont="1" applyFill="1" applyBorder="1" applyAlignment="1">
      <alignment horizontal="center" vertical="center" wrapText="1"/>
    </xf>
    <xf numFmtId="0" fontId="33" fillId="2" borderId="3" xfId="0" applyFont="1" applyFill="1" applyBorder="1" applyAlignment="1">
      <alignment horizontal="center" vertical="center" wrapText="1"/>
    </xf>
    <xf numFmtId="0" fontId="33" fillId="2" borderId="20" xfId="0" applyFont="1" applyFill="1" applyBorder="1" applyAlignment="1">
      <alignment horizontal="center" vertical="center" wrapText="1"/>
    </xf>
    <xf numFmtId="0" fontId="33" fillId="2" borderId="33" xfId="0" applyFont="1" applyFill="1" applyBorder="1" applyAlignment="1">
      <alignment horizontal="center" vertical="center" wrapText="1"/>
    </xf>
    <xf numFmtId="0" fontId="33" fillId="3" borderId="4" xfId="0" applyFont="1" applyFill="1" applyBorder="1" applyAlignment="1">
      <alignment horizontal="center" vertical="center" wrapText="1"/>
    </xf>
    <xf numFmtId="0" fontId="33" fillId="3" borderId="3" xfId="0" applyFont="1" applyFill="1" applyBorder="1" applyAlignment="1">
      <alignment horizontal="center" vertical="center" wrapText="1"/>
    </xf>
    <xf numFmtId="166" fontId="10" fillId="2" borderId="20" xfId="3" applyFont="1" applyFill="1" applyBorder="1" applyAlignment="1">
      <alignment horizontal="center" vertical="center" wrapText="1"/>
    </xf>
    <xf numFmtId="166" fontId="10" fillId="2" borderId="33" xfId="3" applyFont="1" applyFill="1" applyBorder="1" applyAlignment="1">
      <alignment horizontal="center" vertical="center" wrapText="1"/>
    </xf>
    <xf numFmtId="0" fontId="10" fillId="0" borderId="8" xfId="0" applyFont="1" applyBorder="1" applyAlignment="1">
      <alignment horizontal="center"/>
    </xf>
    <xf numFmtId="0" fontId="10" fillId="0" borderId="49" xfId="0" applyFont="1" applyBorder="1" applyAlignment="1">
      <alignment horizontal="center"/>
    </xf>
    <xf numFmtId="0" fontId="10" fillId="0" borderId="9" xfId="0" applyFont="1" applyBorder="1" applyAlignment="1">
      <alignment horizontal="center"/>
    </xf>
    <xf numFmtId="0" fontId="10" fillId="0" borderId="10" xfId="0" applyFont="1" applyBorder="1" applyAlignment="1">
      <alignment horizontal="center"/>
    </xf>
    <xf numFmtId="0" fontId="10" fillId="0" borderId="32" xfId="0" applyFont="1" applyBorder="1" applyAlignment="1">
      <alignment horizontal="center" vertical="center" wrapText="1"/>
    </xf>
    <xf numFmtId="0" fontId="10" fillId="0" borderId="11" xfId="0" applyFont="1" applyBorder="1" applyAlignment="1">
      <alignment horizontal="center" vertical="center" wrapText="1"/>
    </xf>
    <xf numFmtId="0" fontId="10" fillId="3" borderId="4" xfId="0" applyFont="1" applyFill="1" applyBorder="1" applyAlignment="1">
      <alignment horizontal="center" vertical="center" wrapText="1"/>
    </xf>
    <xf numFmtId="0" fontId="10" fillId="3" borderId="3" xfId="0" applyFont="1" applyFill="1" applyBorder="1" applyAlignment="1">
      <alignment horizontal="center" vertical="center" wrapText="1"/>
    </xf>
    <xf numFmtId="0" fontId="10" fillId="0" borderId="31" xfId="0" applyFont="1" applyBorder="1" applyAlignment="1">
      <alignment horizontal="center" vertical="center" wrapText="1"/>
    </xf>
    <xf numFmtId="0" fontId="10" fillId="0" borderId="2" xfId="0" applyFont="1" applyBorder="1" applyAlignment="1">
      <alignment horizontal="center" vertical="center" wrapText="1"/>
    </xf>
    <xf numFmtId="0" fontId="10" fillId="2" borderId="5" xfId="0" applyFont="1" applyFill="1" applyBorder="1" applyAlignment="1">
      <alignment horizontal="center" vertical="center" wrapText="1"/>
    </xf>
    <xf numFmtId="0" fontId="10" fillId="2" borderId="3" xfId="0" applyFont="1" applyFill="1" applyBorder="1" applyAlignment="1">
      <alignment horizontal="center" vertical="center" wrapText="1"/>
    </xf>
    <xf numFmtId="0" fontId="10" fillId="2" borderId="20" xfId="0" applyFont="1" applyFill="1" applyBorder="1" applyAlignment="1">
      <alignment horizontal="center" vertical="center" wrapText="1"/>
    </xf>
    <xf numFmtId="0" fontId="10" fillId="2" borderId="33" xfId="0" applyFont="1" applyFill="1" applyBorder="1" applyAlignment="1">
      <alignment horizontal="center" vertical="center" wrapText="1"/>
    </xf>
    <xf numFmtId="0" fontId="15" fillId="0" borderId="26" xfId="0" applyFont="1" applyFill="1" applyBorder="1" applyAlignment="1">
      <alignment horizontal="center" vertical="center" wrapText="1"/>
    </xf>
    <xf numFmtId="0" fontId="15" fillId="0" borderId="36" xfId="0" applyFont="1" applyFill="1" applyBorder="1" applyAlignment="1">
      <alignment horizontal="center" vertical="center" wrapText="1"/>
    </xf>
    <xf numFmtId="0" fontId="5" fillId="0" borderId="1" xfId="0" applyFont="1" applyBorder="1" applyAlignment="1">
      <alignment horizontal="center" vertical="center" wrapText="1"/>
    </xf>
    <xf numFmtId="0" fontId="39" fillId="0" borderId="1" xfId="0" applyFont="1" applyFill="1" applyBorder="1" applyAlignment="1">
      <alignment horizontal="center" wrapText="1"/>
    </xf>
    <xf numFmtId="0" fontId="5" fillId="0" borderId="2" xfId="0" applyFont="1" applyBorder="1" applyAlignment="1">
      <alignment horizontal="center" vertical="center" wrapText="1"/>
    </xf>
    <xf numFmtId="0" fontId="5" fillId="0" borderId="7" xfId="0" applyFont="1" applyBorder="1" applyAlignment="1">
      <alignment horizontal="center" vertical="center" wrapText="1"/>
    </xf>
    <xf numFmtId="0" fontId="12" fillId="0" borderId="2" xfId="0" applyFont="1" applyBorder="1" applyAlignment="1">
      <alignment horizontal="center" wrapText="1"/>
    </xf>
    <xf numFmtId="0" fontId="12" fillId="0" borderId="6" xfId="0" applyFont="1" applyBorder="1" applyAlignment="1">
      <alignment horizontal="center" wrapText="1"/>
    </xf>
    <xf numFmtId="0" fontId="39" fillId="0" borderId="2" xfId="0" applyFont="1" applyFill="1" applyBorder="1" applyAlignment="1">
      <alignment horizontal="left" wrapText="1"/>
    </xf>
    <xf numFmtId="0" fontId="39" fillId="0" borderId="6" xfId="0" applyFont="1" applyFill="1" applyBorder="1" applyAlignment="1">
      <alignment horizontal="left" wrapText="1"/>
    </xf>
    <xf numFmtId="0" fontId="39" fillId="0" borderId="7" xfId="0" applyFont="1" applyFill="1" applyBorder="1" applyAlignment="1">
      <alignment horizontal="left" wrapText="1"/>
    </xf>
    <xf numFmtId="166" fontId="26" fillId="0" borderId="54" xfId="3" applyFont="1" applyFill="1" applyBorder="1" applyAlignment="1">
      <alignment horizontal="center" vertical="center" wrapText="1"/>
    </xf>
    <xf numFmtId="166" fontId="26" fillId="0" borderId="55" xfId="3" applyFont="1" applyFill="1" applyBorder="1" applyAlignment="1">
      <alignment horizontal="center" vertical="center" wrapText="1"/>
    </xf>
    <xf numFmtId="0" fontId="26" fillId="0" borderId="1" xfId="0" applyFont="1" applyFill="1" applyBorder="1" applyAlignment="1">
      <alignment horizontal="center"/>
    </xf>
    <xf numFmtId="0" fontId="31" fillId="0" borderId="48" xfId="0" applyFont="1" applyFill="1" applyBorder="1" applyAlignment="1">
      <alignment horizontal="center" vertical="center" wrapText="1"/>
    </xf>
    <xf numFmtId="0" fontId="31" fillId="0" borderId="55" xfId="0" applyFont="1" applyFill="1" applyBorder="1" applyAlignment="1">
      <alignment horizontal="center" vertical="center" wrapText="1"/>
    </xf>
    <xf numFmtId="0" fontId="15" fillId="0" borderId="25" xfId="0" applyFont="1" applyFill="1" applyBorder="1" applyAlignment="1">
      <alignment horizontal="center" vertical="center"/>
    </xf>
    <xf numFmtId="0" fontId="15" fillId="0" borderId="36" xfId="0" applyFont="1" applyFill="1" applyBorder="1" applyAlignment="1">
      <alignment horizontal="center" vertical="center"/>
    </xf>
    <xf numFmtId="0" fontId="30" fillId="0" borderId="25" xfId="0" applyFont="1" applyFill="1" applyBorder="1" applyAlignment="1">
      <alignment horizontal="center" vertical="center" wrapText="1"/>
    </xf>
    <xf numFmtId="0" fontId="30" fillId="0" borderId="36" xfId="0" applyFont="1" applyFill="1" applyBorder="1" applyAlignment="1">
      <alignment horizontal="center" vertical="center" wrapText="1"/>
    </xf>
    <xf numFmtId="0" fontId="37" fillId="0" borderId="54" xfId="0" applyFont="1" applyFill="1" applyBorder="1" applyAlignment="1">
      <alignment horizontal="center" vertical="center" wrapText="1"/>
    </xf>
    <xf numFmtId="0" fontId="37" fillId="0" borderId="55" xfId="0" applyFont="1" applyFill="1" applyBorder="1" applyAlignment="1">
      <alignment horizontal="center" vertical="center" wrapText="1"/>
    </xf>
    <xf numFmtId="0" fontId="44" fillId="0" borderId="54" xfId="0" applyFont="1" applyFill="1" applyBorder="1" applyAlignment="1">
      <alignment horizontal="center" vertical="center" wrapText="1"/>
    </xf>
    <xf numFmtId="0" fontId="44" fillId="0" borderId="55" xfId="0" applyFont="1" applyFill="1" applyBorder="1" applyAlignment="1">
      <alignment horizontal="center" vertical="center" wrapText="1"/>
    </xf>
    <xf numFmtId="166" fontId="26" fillId="0" borderId="48" xfId="3" applyFont="1" applyFill="1" applyBorder="1" applyAlignment="1">
      <alignment horizontal="center" vertical="center" wrapText="1"/>
    </xf>
    <xf numFmtId="166" fontId="26" fillId="0" borderId="48" xfId="3" applyFont="1" applyFill="1" applyBorder="1" applyAlignment="1">
      <alignment horizontal="center" vertical="center"/>
    </xf>
    <xf numFmtId="166" fontId="26" fillId="0" borderId="54" xfId="3" applyFont="1" applyFill="1" applyBorder="1" applyAlignment="1">
      <alignment horizontal="center" vertical="center"/>
    </xf>
    <xf numFmtId="166" fontId="26" fillId="0" borderId="55" xfId="3" applyFont="1" applyFill="1" applyBorder="1" applyAlignment="1">
      <alignment horizontal="center" vertical="center"/>
    </xf>
    <xf numFmtId="166" fontId="37" fillId="0" borderId="48" xfId="3" applyFont="1" applyFill="1" applyBorder="1" applyAlignment="1">
      <alignment horizontal="center" vertical="center" wrapText="1"/>
    </xf>
    <xf numFmtId="166" fontId="37" fillId="0" borderId="54" xfId="3" applyFont="1" applyFill="1" applyBorder="1" applyAlignment="1">
      <alignment horizontal="center" vertical="center" wrapText="1"/>
    </xf>
    <xf numFmtId="166" fontId="37" fillId="0" borderId="55" xfId="3" applyFont="1" applyFill="1" applyBorder="1" applyAlignment="1">
      <alignment horizontal="center" vertical="center" wrapText="1"/>
    </xf>
    <xf numFmtId="166" fontId="37" fillId="0" borderId="48" xfId="3" applyFont="1" applyFill="1" applyBorder="1" applyAlignment="1">
      <alignment horizontal="center" vertical="center"/>
    </xf>
    <xf numFmtId="166" fontId="37" fillId="0" borderId="54" xfId="3" applyFont="1" applyFill="1" applyBorder="1" applyAlignment="1">
      <alignment horizontal="center" vertical="center"/>
    </xf>
    <xf numFmtId="166" fontId="37" fillId="0" borderId="55" xfId="3" applyFont="1" applyFill="1" applyBorder="1" applyAlignment="1">
      <alignment horizontal="center" vertical="center"/>
    </xf>
    <xf numFmtId="0" fontId="42" fillId="0" borderId="0" xfId="0" applyFont="1" applyAlignment="1">
      <alignment horizontal="center"/>
    </xf>
    <xf numFmtId="0" fontId="38" fillId="0" borderId="1" xfId="0" applyFont="1" applyFill="1" applyBorder="1" applyAlignment="1">
      <alignment horizontal="center" vertical="center" wrapText="1"/>
    </xf>
    <xf numFmtId="0" fontId="17" fillId="0" borderId="23" xfId="0" applyFont="1" applyFill="1" applyBorder="1" applyAlignment="1">
      <alignment horizontal="center" wrapText="1"/>
    </xf>
    <xf numFmtId="0" fontId="17" fillId="0" borderId="27" xfId="0" applyFont="1" applyFill="1" applyBorder="1" applyAlignment="1">
      <alignment horizontal="center" wrapText="1"/>
    </xf>
    <xf numFmtId="0" fontId="17" fillId="0" borderId="28" xfId="0" applyFont="1" applyFill="1" applyBorder="1" applyAlignment="1">
      <alignment horizontal="center" wrapText="1"/>
    </xf>
    <xf numFmtId="0" fontId="8" fillId="0" borderId="25" xfId="0" applyFont="1" applyBorder="1" applyAlignment="1">
      <alignment horizontal="center" vertical="center"/>
    </xf>
    <xf numFmtId="0" fontId="8" fillId="0" borderId="26" xfId="0" applyFont="1" applyBorder="1" applyAlignment="1">
      <alignment horizontal="center" vertical="center"/>
    </xf>
    <xf numFmtId="0" fontId="8" fillId="0" borderId="36" xfId="0" applyFont="1" applyBorder="1" applyAlignment="1">
      <alignment horizontal="center" vertical="center"/>
    </xf>
    <xf numFmtId="0" fontId="19" fillId="0" borderId="13" xfId="0" applyFont="1" applyFill="1" applyBorder="1" applyAlignment="1">
      <alignment horizontal="left" wrapText="1"/>
    </xf>
    <xf numFmtId="0" fontId="19" fillId="0" borderId="34" xfId="0" applyFont="1" applyFill="1" applyBorder="1" applyAlignment="1">
      <alignment horizontal="left" wrapText="1"/>
    </xf>
    <xf numFmtId="0" fontId="19" fillId="0" borderId="17" xfId="0" applyFont="1" applyFill="1" applyBorder="1" applyAlignment="1">
      <alignment horizontal="left" wrapText="1"/>
    </xf>
    <xf numFmtId="0" fontId="8" fillId="0" borderId="8" xfId="0" applyFont="1" applyFill="1" applyBorder="1" applyAlignment="1">
      <alignment horizontal="center" vertical="center"/>
    </xf>
    <xf numFmtId="0" fontId="8" fillId="0" borderId="11" xfId="0" applyFont="1" applyFill="1" applyBorder="1" applyAlignment="1">
      <alignment horizontal="center" vertical="center"/>
    </xf>
    <xf numFmtId="0" fontId="8" fillId="0" borderId="16" xfId="0" applyFont="1" applyFill="1" applyBorder="1" applyAlignment="1">
      <alignment horizontal="center" vertical="center"/>
    </xf>
    <xf numFmtId="0" fontId="8" fillId="0" borderId="2" xfId="0" applyFont="1" applyFill="1" applyBorder="1" applyAlignment="1">
      <alignment horizontal="center" vertical="center"/>
    </xf>
    <xf numFmtId="0" fontId="8" fillId="0" borderId="41" xfId="0" applyFont="1" applyFill="1" applyBorder="1" applyAlignment="1">
      <alignment horizontal="center" vertical="center"/>
    </xf>
    <xf numFmtId="0" fontId="8" fillId="0" borderId="3" xfId="0" applyFont="1" applyFill="1" applyBorder="1" applyAlignment="1">
      <alignment horizontal="center" vertical="center"/>
    </xf>
    <xf numFmtId="0" fontId="2" fillId="0" borderId="2" xfId="0" applyFont="1" applyFill="1" applyBorder="1" applyAlignment="1">
      <alignment horizontal="center" wrapText="1"/>
    </xf>
    <xf numFmtId="0" fontId="2" fillId="0" borderId="6" xfId="0" applyFont="1" applyFill="1" applyBorder="1" applyAlignment="1">
      <alignment horizontal="center" wrapText="1"/>
    </xf>
    <xf numFmtId="0" fontId="2" fillId="0" borderId="7" xfId="0" applyFont="1" applyFill="1" applyBorder="1" applyAlignment="1">
      <alignment horizontal="center" wrapText="1"/>
    </xf>
    <xf numFmtId="0" fontId="2" fillId="0" borderId="1" xfId="0" applyFont="1" applyFill="1" applyBorder="1" applyAlignment="1">
      <alignment horizontal="center" wrapText="1"/>
    </xf>
    <xf numFmtId="0" fontId="2" fillId="0" borderId="8" xfId="0" applyFont="1" applyBorder="1" applyAlignment="1">
      <alignment horizontal="center" wrapText="1"/>
    </xf>
    <xf numFmtId="0" fontId="2" fillId="0" borderId="49" xfId="0" applyFont="1" applyBorder="1" applyAlignment="1">
      <alignment horizontal="center" wrapText="1"/>
    </xf>
    <xf numFmtId="0" fontId="2" fillId="0" borderId="9" xfId="0" applyFont="1" applyBorder="1" applyAlignment="1">
      <alignment horizontal="center" wrapText="1"/>
    </xf>
    <xf numFmtId="0" fontId="2" fillId="0" borderId="10" xfId="0" applyFont="1" applyBorder="1" applyAlignment="1">
      <alignment horizontal="center" wrapText="1"/>
    </xf>
    <xf numFmtId="0" fontId="30" fillId="0" borderId="8" xfId="0" applyFont="1" applyBorder="1" applyAlignment="1">
      <alignment horizontal="center" wrapText="1"/>
    </xf>
    <xf numFmtId="0" fontId="30" fillId="0" borderId="49" xfId="0" applyFont="1" applyBorder="1" applyAlignment="1">
      <alignment horizontal="center" wrapText="1"/>
    </xf>
    <xf numFmtId="0" fontId="30" fillId="0" borderId="9" xfId="0" applyFont="1" applyBorder="1" applyAlignment="1">
      <alignment horizontal="center" wrapText="1"/>
    </xf>
    <xf numFmtId="0" fontId="30" fillId="0" borderId="10" xfId="0" applyFont="1" applyBorder="1" applyAlignment="1">
      <alignment horizontal="center" wrapText="1"/>
    </xf>
    <xf numFmtId="0" fontId="7" fillId="0" borderId="9" xfId="0" applyFont="1" applyFill="1" applyBorder="1" applyAlignment="1">
      <alignment horizontal="center" vertical="center" wrapText="1"/>
    </xf>
    <xf numFmtId="0" fontId="7" fillId="0" borderId="10" xfId="0" applyFont="1" applyFill="1" applyBorder="1" applyAlignment="1">
      <alignment horizontal="center" vertical="center" wrapText="1"/>
    </xf>
    <xf numFmtId="0" fontId="8" fillId="0" borderId="9" xfId="0" applyFont="1" applyFill="1" applyBorder="1" applyAlignment="1">
      <alignment horizontal="center" wrapText="1"/>
    </xf>
    <xf numFmtId="0" fontId="8" fillId="0" borderId="10" xfId="0" applyFont="1" applyFill="1" applyBorder="1" applyAlignment="1">
      <alignment horizontal="center" wrapText="1"/>
    </xf>
    <xf numFmtId="0" fontId="17" fillId="0" borderId="2" xfId="0" applyFont="1" applyFill="1" applyBorder="1" applyAlignment="1">
      <alignment horizontal="center" wrapText="1"/>
    </xf>
    <xf numFmtId="0" fontId="17" fillId="0" borderId="6" xfId="0" applyFont="1" applyFill="1" applyBorder="1" applyAlignment="1">
      <alignment horizontal="center" wrapText="1"/>
    </xf>
    <xf numFmtId="0" fontId="17" fillId="0" borderId="7" xfId="0" applyFont="1" applyFill="1" applyBorder="1" applyAlignment="1">
      <alignment horizontal="center" wrapText="1"/>
    </xf>
    <xf numFmtId="0" fontId="17" fillId="0" borderId="2" xfId="0" applyFont="1" applyFill="1" applyBorder="1" applyAlignment="1">
      <alignment horizontal="center" vertical="center" wrapText="1"/>
    </xf>
    <xf numFmtId="0" fontId="17" fillId="0" borderId="6" xfId="0" applyFont="1" applyFill="1" applyBorder="1" applyAlignment="1">
      <alignment horizontal="center" vertical="center" wrapText="1"/>
    </xf>
    <xf numFmtId="0" fontId="17" fillId="0" borderId="7" xfId="0" applyFont="1" applyFill="1" applyBorder="1" applyAlignment="1">
      <alignment horizontal="center" vertical="center" wrapText="1"/>
    </xf>
    <xf numFmtId="0" fontId="8" fillId="0" borderId="9" xfId="0" applyFont="1" applyFill="1" applyBorder="1" applyAlignment="1">
      <alignment horizontal="center" vertical="center" wrapText="1"/>
    </xf>
    <xf numFmtId="0" fontId="2" fillId="4" borderId="2" xfId="0" applyFont="1" applyFill="1" applyBorder="1" applyAlignment="1">
      <alignment horizontal="center"/>
    </xf>
    <xf numFmtId="0" fontId="2" fillId="4" borderId="6" xfId="0" applyFont="1" applyFill="1" applyBorder="1" applyAlignment="1">
      <alignment horizontal="center"/>
    </xf>
    <xf numFmtId="0" fontId="2" fillId="4" borderId="7" xfId="0" applyFont="1" applyFill="1" applyBorder="1" applyAlignment="1">
      <alignment horizontal="center"/>
    </xf>
    <xf numFmtId="0" fontId="7" fillId="0" borderId="24" xfId="0" applyFont="1" applyFill="1" applyBorder="1" applyAlignment="1">
      <alignment horizontal="left"/>
    </xf>
    <xf numFmtId="0" fontId="7" fillId="0" borderId="34" xfId="0" applyFont="1" applyFill="1" applyBorder="1" applyAlignment="1">
      <alignment horizontal="left"/>
    </xf>
    <xf numFmtId="0" fontId="7" fillId="0" borderId="42" xfId="0" applyFont="1" applyFill="1" applyBorder="1" applyAlignment="1">
      <alignment horizontal="left"/>
    </xf>
    <xf numFmtId="0" fontId="7" fillId="0" borderId="41" xfId="0" applyFont="1" applyFill="1" applyBorder="1" applyAlignment="1">
      <alignment horizontal="center" vertical="center" wrapText="1"/>
    </xf>
    <xf numFmtId="0" fontId="7" fillId="0" borderId="3" xfId="0" applyFont="1" applyFill="1" applyBorder="1" applyAlignment="1">
      <alignment horizontal="center" vertical="center" wrapText="1"/>
    </xf>
    <xf numFmtId="0" fontId="8" fillId="0" borderId="8" xfId="0" applyFont="1" applyFill="1" applyBorder="1" applyAlignment="1">
      <alignment horizontal="center" vertical="center" wrapText="1"/>
    </xf>
    <xf numFmtId="0" fontId="8" fillId="0" borderId="11" xfId="0" applyFont="1" applyFill="1" applyBorder="1" applyAlignment="1">
      <alignment horizontal="center" vertical="center" wrapText="1"/>
    </xf>
    <xf numFmtId="0" fontId="8" fillId="0" borderId="9" xfId="0" applyFont="1" applyFill="1" applyBorder="1" applyAlignment="1">
      <alignment horizontal="center" vertical="center"/>
    </xf>
    <xf numFmtId="0" fontId="8" fillId="0" borderId="1" xfId="0" applyFont="1" applyFill="1" applyBorder="1" applyAlignment="1">
      <alignment horizontal="center" vertical="center"/>
    </xf>
    <xf numFmtId="0" fontId="7" fillId="0" borderId="8" xfId="0" applyFont="1" applyFill="1" applyBorder="1" applyAlignment="1">
      <alignment horizontal="center" vertical="center" wrapText="1"/>
    </xf>
    <xf numFmtId="0" fontId="7" fillId="0" borderId="11" xfId="0" applyFont="1" applyFill="1" applyBorder="1" applyAlignment="1">
      <alignment horizontal="center" vertical="center" wrapText="1"/>
    </xf>
    <xf numFmtId="0" fontId="7" fillId="0" borderId="9" xfId="0" applyFont="1" applyFill="1" applyBorder="1" applyAlignment="1">
      <alignment horizontal="center" vertical="center"/>
    </xf>
    <xf numFmtId="0" fontId="7" fillId="0" borderId="1" xfId="0" applyFont="1" applyFill="1" applyBorder="1" applyAlignment="1">
      <alignment horizontal="center" vertical="center"/>
    </xf>
    <xf numFmtId="0" fontId="6" fillId="0" borderId="16" xfId="0" applyFont="1" applyBorder="1" applyAlignment="1">
      <alignment horizontal="center" wrapText="1"/>
    </xf>
    <xf numFmtId="0" fontId="6" fillId="0" borderId="27" xfId="0" applyFont="1" applyBorder="1" applyAlignment="1">
      <alignment horizontal="center" wrapText="1"/>
    </xf>
    <xf numFmtId="0" fontId="6" fillId="0" borderId="28" xfId="0" applyFont="1" applyBorder="1" applyAlignment="1">
      <alignment horizontal="center" wrapText="1"/>
    </xf>
    <xf numFmtId="0" fontId="6" fillId="0" borderId="8" xfId="0" applyFont="1" applyBorder="1" applyAlignment="1">
      <alignment horizontal="center" wrapText="1"/>
    </xf>
    <xf numFmtId="0" fontId="6" fillId="0" borderId="11" xfId="0" applyFont="1" applyBorder="1" applyAlignment="1">
      <alignment horizontal="center" wrapText="1"/>
    </xf>
    <xf numFmtId="0" fontId="6" fillId="0" borderId="9" xfId="0" applyFont="1" applyBorder="1" applyAlignment="1">
      <alignment horizontal="center" vertical="center"/>
    </xf>
    <xf numFmtId="0" fontId="6" fillId="0" borderId="1" xfId="0" applyFont="1" applyBorder="1" applyAlignment="1">
      <alignment horizontal="center" vertical="center"/>
    </xf>
    <xf numFmtId="0" fontId="15" fillId="0" borderId="2" xfId="0" applyFont="1" applyFill="1" applyBorder="1" applyAlignment="1">
      <alignment horizontal="center" wrapText="1"/>
    </xf>
    <xf numFmtId="0" fontId="15" fillId="0" borderId="6" xfId="0" applyFont="1" applyFill="1" applyBorder="1" applyAlignment="1">
      <alignment horizontal="center" wrapText="1"/>
    </xf>
    <xf numFmtId="0" fontId="15" fillId="0" borderId="7" xfId="0" applyFont="1" applyFill="1" applyBorder="1" applyAlignment="1">
      <alignment horizontal="center" wrapText="1"/>
    </xf>
    <xf numFmtId="0" fontId="6" fillId="0" borderId="9" xfId="0" applyFont="1" applyBorder="1" applyAlignment="1">
      <alignment horizontal="center" wrapText="1"/>
    </xf>
    <xf numFmtId="0" fontId="6" fillId="0" borderId="10" xfId="0" applyFont="1" applyBorder="1" applyAlignment="1">
      <alignment horizontal="center" wrapText="1"/>
    </xf>
    <xf numFmtId="0" fontId="6" fillId="0" borderId="8" xfId="0" applyFont="1" applyFill="1" applyBorder="1" applyAlignment="1">
      <alignment horizontal="center" wrapText="1"/>
    </xf>
    <xf numFmtId="0" fontId="6" fillId="0" borderId="11" xfId="0" applyFont="1" applyFill="1" applyBorder="1" applyAlignment="1">
      <alignment horizontal="center" wrapText="1"/>
    </xf>
    <xf numFmtId="0" fontId="6" fillId="0" borderId="9" xfId="0" applyFont="1" applyFill="1" applyBorder="1" applyAlignment="1">
      <alignment horizontal="center" vertical="center" wrapText="1"/>
    </xf>
    <xf numFmtId="0" fontId="6" fillId="0" borderId="1" xfId="0" applyFont="1" applyFill="1" applyBorder="1" applyAlignment="1">
      <alignment horizontal="center" vertical="center" wrapText="1"/>
    </xf>
    <xf numFmtId="171" fontId="7" fillId="0" borderId="17" xfId="0" applyNumberFormat="1" applyFont="1" applyFill="1" applyBorder="1" applyAlignment="1">
      <alignment horizontal="center"/>
    </xf>
    <xf numFmtId="171" fontId="7" fillId="0" borderId="34" xfId="0" applyNumberFormat="1" applyFont="1" applyFill="1" applyBorder="1" applyAlignment="1">
      <alignment horizontal="center"/>
    </xf>
    <xf numFmtId="171" fontId="7" fillId="0" borderId="35" xfId="0" applyNumberFormat="1" applyFont="1" applyFill="1" applyBorder="1" applyAlignment="1">
      <alignment horizontal="center"/>
    </xf>
    <xf numFmtId="171" fontId="7" fillId="0" borderId="24" xfId="0" applyNumberFormat="1" applyFont="1" applyFill="1" applyBorder="1" applyAlignment="1">
      <alignment horizontal="center"/>
    </xf>
    <xf numFmtId="0" fontId="6" fillId="0" borderId="25" xfId="0" applyFont="1" applyBorder="1" applyAlignment="1">
      <alignment horizontal="center"/>
    </xf>
    <xf numFmtId="0" fontId="6" fillId="0" borderId="26" xfId="0" applyFont="1" applyBorder="1" applyAlignment="1">
      <alignment horizontal="center"/>
    </xf>
    <xf numFmtId="172" fontId="6" fillId="0" borderId="29" xfId="0" applyNumberFormat="1" applyFont="1" applyBorder="1" applyAlignment="1">
      <alignment horizontal="center"/>
    </xf>
    <xf numFmtId="172" fontId="6" fillId="0" borderId="30" xfId="0" applyNumberFormat="1" applyFont="1" applyBorder="1" applyAlignment="1">
      <alignment horizontal="center"/>
    </xf>
    <xf numFmtId="171" fontId="7" fillId="0" borderId="21" xfId="0" applyNumberFormat="1" applyFont="1" applyBorder="1" applyAlignment="1">
      <alignment horizontal="center"/>
    </xf>
    <xf numFmtId="171" fontId="7" fillId="0" borderId="22" xfId="0" applyNumberFormat="1" applyFont="1" applyBorder="1" applyAlignment="1">
      <alignment horizontal="center"/>
    </xf>
    <xf numFmtId="0" fontId="6" fillId="0" borderId="41" xfId="0" applyFont="1" applyBorder="1" applyAlignment="1">
      <alignment horizontal="center" wrapText="1"/>
    </xf>
    <xf numFmtId="0" fontId="6" fillId="0" borderId="3" xfId="0" applyFont="1" applyBorder="1" applyAlignment="1">
      <alignment horizontal="center" wrapText="1"/>
    </xf>
    <xf numFmtId="0" fontId="2" fillId="0" borderId="2" xfId="0" applyFont="1" applyBorder="1" applyAlignment="1">
      <alignment horizontal="left"/>
    </xf>
    <xf numFmtId="0" fontId="2" fillId="0" borderId="7" xfId="0" applyFont="1" applyBorder="1" applyAlignment="1">
      <alignment horizontal="left"/>
    </xf>
    <xf numFmtId="165" fontId="6" fillId="0" borderId="25" xfId="0" applyNumberFormat="1" applyFont="1" applyBorder="1" applyAlignment="1">
      <alignment horizontal="center"/>
    </xf>
    <xf numFmtId="165" fontId="6" fillId="0" borderId="26" xfId="0" applyNumberFormat="1" applyFont="1" applyBorder="1" applyAlignment="1">
      <alignment horizontal="center"/>
    </xf>
    <xf numFmtId="165" fontId="2" fillId="0" borderId="25" xfId="0" applyNumberFormat="1" applyFont="1" applyBorder="1" applyAlignment="1">
      <alignment horizontal="center"/>
    </xf>
    <xf numFmtId="165" fontId="2" fillId="0" borderId="26" xfId="0" applyNumberFormat="1" applyFont="1" applyBorder="1" applyAlignment="1">
      <alignment horizontal="center"/>
    </xf>
    <xf numFmtId="0" fontId="7" fillId="0" borderId="9" xfId="0" applyFont="1" applyBorder="1" applyAlignment="1">
      <alignment horizontal="center" vertical="center"/>
    </xf>
    <xf numFmtId="0" fontId="7" fillId="0" borderId="1" xfId="0" applyFont="1" applyBorder="1" applyAlignment="1">
      <alignment horizontal="center" vertical="center"/>
    </xf>
    <xf numFmtId="0" fontId="7" fillId="0" borderId="8" xfId="0" applyFont="1" applyBorder="1" applyAlignment="1">
      <alignment horizontal="center" vertical="center"/>
    </xf>
    <xf numFmtId="0" fontId="7" fillId="0" borderId="11" xfId="0" applyFont="1" applyBorder="1" applyAlignment="1">
      <alignment horizontal="center" vertical="center"/>
    </xf>
    <xf numFmtId="0" fontId="15" fillId="0" borderId="16" xfId="0" applyFont="1" applyBorder="1" applyAlignment="1">
      <alignment horizontal="center" wrapText="1"/>
    </xf>
    <xf numFmtId="0" fontId="15" fillId="0" borderId="27" xfId="0" applyFont="1" applyBorder="1" applyAlignment="1">
      <alignment horizontal="center" wrapText="1"/>
    </xf>
    <xf numFmtId="0" fontId="15" fillId="0" borderId="49" xfId="0" applyFont="1" applyBorder="1" applyAlignment="1">
      <alignment horizontal="center" wrapText="1"/>
    </xf>
    <xf numFmtId="0" fontId="7" fillId="0" borderId="41" xfId="0" applyFont="1" applyBorder="1" applyAlignment="1">
      <alignment horizontal="center" vertical="center"/>
    </xf>
    <xf numFmtId="0" fontId="7" fillId="0" borderId="3" xfId="0" applyFont="1" applyBorder="1" applyAlignment="1">
      <alignment horizontal="center" vertical="center"/>
    </xf>
    <xf numFmtId="0" fontId="7" fillId="0" borderId="1" xfId="0" applyFont="1" applyBorder="1" applyAlignment="1">
      <alignment horizontal="center" wrapText="1"/>
    </xf>
    <xf numFmtId="165" fontId="7" fillId="0" borderId="25" xfId="0" applyNumberFormat="1" applyFont="1" applyBorder="1" applyAlignment="1">
      <alignment horizontal="center" wrapText="1"/>
    </xf>
    <xf numFmtId="165" fontId="7" fillId="0" borderId="26" xfId="0" applyNumberFormat="1" applyFont="1" applyBorder="1" applyAlignment="1">
      <alignment horizontal="center" wrapText="1"/>
    </xf>
    <xf numFmtId="165" fontId="7" fillId="0" borderId="50" xfId="0" applyNumberFormat="1" applyFont="1" applyBorder="1" applyAlignment="1">
      <alignment horizontal="center" wrapText="1"/>
    </xf>
    <xf numFmtId="0" fontId="34" fillId="0" borderId="0" xfId="0" applyFont="1" applyAlignment="1">
      <alignment horizontal="center" vertical="center"/>
    </xf>
    <xf numFmtId="0" fontId="7" fillId="0" borderId="1" xfId="0" applyFont="1" applyBorder="1" applyAlignment="1">
      <alignment horizontal="center"/>
    </xf>
    <xf numFmtId="0" fontId="7" fillId="0" borderId="4" xfId="0" applyFont="1" applyBorder="1" applyAlignment="1">
      <alignment horizontal="center"/>
    </xf>
    <xf numFmtId="0" fontId="7" fillId="0" borderId="1" xfId="0" applyFont="1" applyFill="1" applyBorder="1" applyAlignment="1">
      <alignment horizontal="center" vertical="center" wrapText="1"/>
    </xf>
    <xf numFmtId="0" fontId="18" fillId="0" borderId="1" xfId="0" applyFont="1" applyFill="1" applyBorder="1" applyAlignment="1">
      <alignment horizontal="center" vertical="center" wrapText="1"/>
    </xf>
    <xf numFmtId="0" fontId="31" fillId="0" borderId="1" xfId="0" applyFont="1" applyFill="1" applyBorder="1" applyAlignment="1">
      <alignment horizontal="center" vertical="center" wrapText="1"/>
    </xf>
    <xf numFmtId="0" fontId="7" fillId="0" borderId="26" xfId="0" applyFont="1" applyBorder="1" applyAlignment="1">
      <alignment horizontal="center" vertical="center"/>
    </xf>
    <xf numFmtId="0" fontId="7" fillId="0" borderId="36" xfId="0" applyFont="1" applyBorder="1" applyAlignment="1">
      <alignment horizontal="center" vertical="center"/>
    </xf>
    <xf numFmtId="0" fontId="35" fillId="0" borderId="48" xfId="0" applyFont="1" applyBorder="1" applyAlignment="1">
      <alignment horizontal="center" vertical="center" wrapText="1"/>
    </xf>
    <xf numFmtId="0" fontId="35" fillId="0" borderId="55" xfId="0" applyFont="1" applyBorder="1" applyAlignment="1">
      <alignment horizontal="center" vertical="center" wrapText="1"/>
    </xf>
    <xf numFmtId="0" fontId="35" fillId="0" borderId="58" xfId="0" applyFont="1" applyBorder="1" applyAlignment="1">
      <alignment horizontal="center" vertical="center"/>
    </xf>
    <xf numFmtId="0" fontId="35" fillId="0" borderId="21" xfId="0" applyFont="1" applyBorder="1" applyAlignment="1">
      <alignment horizontal="center" vertical="center"/>
    </xf>
    <xf numFmtId="0" fontId="19" fillId="0" borderId="1" xfId="0" applyFont="1" applyFill="1" applyBorder="1" applyAlignment="1">
      <alignment horizontal="center" vertical="center"/>
    </xf>
    <xf numFmtId="0" fontId="2" fillId="0" borderId="2" xfId="0" applyFont="1" applyBorder="1" applyAlignment="1">
      <alignment horizontal="center" vertical="center"/>
    </xf>
    <xf numFmtId="0" fontId="2" fillId="0" borderId="7" xfId="0" applyFont="1" applyBorder="1" applyAlignment="1">
      <alignment horizontal="center" vertical="center"/>
    </xf>
    <xf numFmtId="0" fontId="20" fillId="0" borderId="44" xfId="0" applyFont="1" applyBorder="1" applyAlignment="1">
      <alignment horizontal="center" vertical="center" wrapText="1"/>
    </xf>
    <xf numFmtId="0" fontId="20" fillId="0" borderId="19" xfId="0" applyFont="1" applyBorder="1" applyAlignment="1">
      <alignment horizontal="center" vertical="center" wrapText="1"/>
    </xf>
    <xf numFmtId="0" fontId="20" fillId="0" borderId="43" xfId="0" applyFont="1" applyBorder="1" applyAlignment="1">
      <alignment horizontal="center" vertical="center" wrapText="1"/>
    </xf>
    <xf numFmtId="0" fontId="20" fillId="0" borderId="7" xfId="0" applyFont="1" applyFill="1" applyBorder="1" applyAlignment="1">
      <alignment horizontal="center" vertical="center" wrapText="1"/>
    </xf>
    <xf numFmtId="0" fontId="20" fillId="0" borderId="1" xfId="0" applyFont="1" applyFill="1" applyBorder="1" applyAlignment="1">
      <alignment horizontal="center" vertical="center" wrapText="1"/>
    </xf>
    <xf numFmtId="0" fontId="20" fillId="0" borderId="43" xfId="0" applyFont="1" applyFill="1" applyBorder="1" applyAlignment="1">
      <alignment horizontal="center" vertical="center" wrapText="1"/>
    </xf>
    <xf numFmtId="0" fontId="20" fillId="0" borderId="41" xfId="0" applyFont="1" applyFill="1" applyBorder="1" applyAlignment="1">
      <alignment horizontal="center" vertical="center" wrapText="1"/>
    </xf>
    <xf numFmtId="0" fontId="2" fillId="0" borderId="1" xfId="0" applyFont="1" applyBorder="1" applyAlignment="1">
      <alignment horizontal="center" wrapText="1"/>
    </xf>
  </cellXfs>
  <cellStyles count="4">
    <cellStyle name="Millares" xfId="3" builtinId="3"/>
    <cellStyle name="Moneda" xfId="1" builtinId="4"/>
    <cellStyle name="Moneda [0]" xfId="2" builtinId="7"/>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0.v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3" Type="http://schemas.openxmlformats.org/officeDocument/2006/relationships/comments" Target="../comments11.xml"/><Relationship Id="rId2" Type="http://schemas.openxmlformats.org/officeDocument/2006/relationships/vmlDrawing" Target="../drawings/vmlDrawing11.vml"/><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N11"/>
  <sheetViews>
    <sheetView view="pageBreakPreview" zoomScale="110" zoomScaleNormal="120" zoomScaleSheetLayoutView="110" workbookViewId="0">
      <selection activeCell="I4" sqref="I4"/>
    </sheetView>
  </sheetViews>
  <sheetFormatPr baseColWidth="10" defaultRowHeight="14.4"/>
  <cols>
    <col min="1" max="1" width="25" customWidth="1"/>
    <col min="2" max="2" width="9.44140625" customWidth="1"/>
    <col min="3" max="3" width="11.44140625" customWidth="1"/>
    <col min="4" max="4" width="17.5546875" customWidth="1"/>
    <col min="5" max="5" width="14.5546875" customWidth="1"/>
    <col min="6" max="6" width="14" customWidth="1"/>
    <col min="7" max="7" width="15.6640625" style="24" customWidth="1"/>
    <col min="8" max="8" width="18.33203125" style="24" customWidth="1"/>
    <col min="9" max="9" width="23.6640625" style="24" customWidth="1"/>
    <col min="10" max="11" width="16" style="76" customWidth="1"/>
    <col min="12" max="12" width="13.109375" style="76" bestFit="1" customWidth="1"/>
    <col min="13" max="13" width="14.88671875" style="76" customWidth="1"/>
    <col min="14" max="14" width="15.109375" style="76" bestFit="1" customWidth="1"/>
  </cols>
  <sheetData>
    <row r="1" spans="1:14">
      <c r="A1" s="423" t="s">
        <v>112</v>
      </c>
      <c r="B1" s="424"/>
      <c r="C1" s="425"/>
      <c r="D1" s="425"/>
      <c r="E1" s="425"/>
      <c r="F1" s="425"/>
      <c r="G1" s="425"/>
      <c r="H1" s="425"/>
      <c r="I1" s="426"/>
      <c r="J1" s="142"/>
      <c r="K1" s="142"/>
    </row>
    <row r="2" spans="1:14" s="158" customFormat="1" ht="41.25" customHeight="1">
      <c r="A2" s="427" t="s">
        <v>151</v>
      </c>
      <c r="B2" s="435" t="s">
        <v>166</v>
      </c>
      <c r="C2" s="429" t="s">
        <v>0</v>
      </c>
      <c r="D2" s="258" t="s">
        <v>154</v>
      </c>
      <c r="E2" s="258" t="s">
        <v>210</v>
      </c>
      <c r="F2" s="258" t="s">
        <v>209</v>
      </c>
      <c r="G2" s="431" t="s">
        <v>6</v>
      </c>
      <c r="H2" s="431" t="s">
        <v>7</v>
      </c>
      <c r="I2" s="433" t="s">
        <v>162</v>
      </c>
      <c r="J2" s="156"/>
      <c r="K2" s="156"/>
      <c r="L2" s="157"/>
      <c r="M2" s="157"/>
      <c r="N2" s="157"/>
    </row>
    <row r="3" spans="1:14" s="158" customFormat="1" ht="47.25" customHeight="1">
      <c r="A3" s="428"/>
      <c r="B3" s="436"/>
      <c r="C3" s="430"/>
      <c r="D3" s="259" t="s">
        <v>5</v>
      </c>
      <c r="E3" s="259" t="s">
        <v>5</v>
      </c>
      <c r="F3" s="259" t="s">
        <v>5</v>
      </c>
      <c r="G3" s="432"/>
      <c r="H3" s="432"/>
      <c r="I3" s="434"/>
      <c r="J3" s="156"/>
      <c r="K3" s="156"/>
      <c r="L3" s="157"/>
      <c r="M3" s="157"/>
      <c r="N3" s="157"/>
    </row>
    <row r="4" spans="1:14" ht="66.599999999999994">
      <c r="A4" s="239" t="s">
        <v>1</v>
      </c>
      <c r="B4" s="240" t="s">
        <v>167</v>
      </c>
      <c r="C4" s="245">
        <v>1500</v>
      </c>
      <c r="D4" s="260">
        <v>3800</v>
      </c>
      <c r="E4" s="260">
        <v>4300</v>
      </c>
      <c r="F4" s="260">
        <v>3600</v>
      </c>
      <c r="G4" s="241">
        <f>ROUND((D4+E4+F4)/3,2)</f>
        <v>3900</v>
      </c>
      <c r="H4" s="241">
        <f>ROUND((G4*C4)*4,2)</f>
        <v>23400000</v>
      </c>
      <c r="I4" s="242">
        <f>ROUND((H4*6),2)</f>
        <v>140400000</v>
      </c>
      <c r="J4" s="142"/>
      <c r="K4" s="142"/>
      <c r="M4" s="76">
        <f>+H4/30</f>
        <v>780000</v>
      </c>
    </row>
    <row r="5" spans="1:14" ht="53.4">
      <c r="A5" s="239" t="s">
        <v>2</v>
      </c>
      <c r="B5" s="240" t="s">
        <v>167</v>
      </c>
      <c r="C5" s="245">
        <v>1500</v>
      </c>
      <c r="D5" s="260">
        <v>3800</v>
      </c>
      <c r="E5" s="260">
        <v>4300</v>
      </c>
      <c r="F5" s="260">
        <v>3600</v>
      </c>
      <c r="G5" s="241">
        <f>ROUND((D5+E5+F5)/3,2)</f>
        <v>3900</v>
      </c>
      <c r="H5" s="241">
        <f t="shared" ref="H5" si="0">ROUND((G5*C5)*4,2)</f>
        <v>23400000</v>
      </c>
      <c r="I5" s="242">
        <f>ROUND((H5*6),2)</f>
        <v>140400000</v>
      </c>
      <c r="J5" s="142"/>
      <c r="K5" s="142"/>
      <c r="M5" s="76">
        <f>+M4*16</f>
        <v>12480000</v>
      </c>
    </row>
    <row r="6" spans="1:14" ht="22.5" customHeight="1">
      <c r="A6" s="239" t="s">
        <v>3</v>
      </c>
      <c r="B6" s="240" t="s">
        <v>167</v>
      </c>
      <c r="C6" s="245">
        <v>1500</v>
      </c>
      <c r="D6" s="261">
        <v>2100</v>
      </c>
      <c r="E6" s="261">
        <v>3350</v>
      </c>
      <c r="F6" s="261">
        <v>2050</v>
      </c>
      <c r="G6" s="241">
        <f>ROUND((D6+E6+F6)/3,2)</f>
        <v>2500</v>
      </c>
      <c r="H6" s="241">
        <f>ROUND((G6*C6)*4,2)</f>
        <v>15000000</v>
      </c>
      <c r="I6" s="242">
        <f>ROUND((H6*6),2)</f>
        <v>90000000</v>
      </c>
      <c r="J6" s="142"/>
      <c r="K6" s="142"/>
    </row>
    <row r="7" spans="1:14" ht="22.5" customHeight="1" thickBot="1">
      <c r="A7" s="420" t="s">
        <v>4</v>
      </c>
      <c r="B7" s="421"/>
      <c r="C7" s="421"/>
      <c r="D7" s="421"/>
      <c r="E7" s="421"/>
      <c r="F7" s="422"/>
      <c r="G7" s="243">
        <f>G6+G5+G4</f>
        <v>10300</v>
      </c>
      <c r="H7" s="243">
        <f>H6+H5+H4</f>
        <v>61800000</v>
      </c>
      <c r="I7" s="244">
        <f>SUM(I4:I6)</f>
        <v>370800000</v>
      </c>
      <c r="J7" s="143"/>
      <c r="K7" s="143"/>
    </row>
    <row r="8" spans="1:14">
      <c r="C8" s="1"/>
      <c r="M8" s="76">
        <v>210</v>
      </c>
    </row>
    <row r="9" spans="1:14">
      <c r="C9" s="1"/>
      <c r="D9" s="1"/>
      <c r="E9" s="1"/>
      <c r="F9" s="7"/>
      <c r="G9" s="83"/>
      <c r="H9" s="83"/>
      <c r="M9" s="76">
        <v>16</v>
      </c>
    </row>
    <row r="10" spans="1:14">
      <c r="C10">
        <f>35*30</f>
        <v>1050</v>
      </c>
      <c r="H10" s="83"/>
    </row>
    <row r="11" spans="1:14">
      <c r="C11" s="1"/>
      <c r="D11" s="9"/>
      <c r="E11" s="9"/>
      <c r="H11" s="140"/>
      <c r="M11" s="76">
        <f>+M8+M9</f>
        <v>226</v>
      </c>
    </row>
  </sheetData>
  <mergeCells count="8">
    <mergeCell ref="A7:F7"/>
    <mergeCell ref="A1:I1"/>
    <mergeCell ref="A2:A3"/>
    <mergeCell ref="C2:C3"/>
    <mergeCell ref="G2:G3"/>
    <mergeCell ref="H2:H3"/>
    <mergeCell ref="I2:I3"/>
    <mergeCell ref="B2:B3"/>
  </mergeCells>
  <pageMargins left="0.7" right="0.7" top="0.75" bottom="0.75" header="0.3" footer="0.3"/>
  <pageSetup scale="62"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00B050"/>
  </sheetPr>
  <dimension ref="A1:P12"/>
  <sheetViews>
    <sheetView zoomScale="120" zoomScaleNormal="120" workbookViewId="0">
      <selection activeCell="L5" sqref="L5"/>
    </sheetView>
  </sheetViews>
  <sheetFormatPr baseColWidth="10" defaultRowHeight="14.4"/>
  <cols>
    <col min="1" max="1" width="14.5546875" customWidth="1"/>
    <col min="2" max="3" width="9.44140625" customWidth="1"/>
    <col min="4" max="4" width="15.44140625" customWidth="1"/>
    <col min="5" max="5" width="11.5546875" customWidth="1"/>
    <col min="6" max="6" width="14" customWidth="1"/>
    <col min="7" max="7" width="14.5546875" style="24" customWidth="1"/>
    <col min="8" max="8" width="15.88671875" style="24" customWidth="1"/>
    <col min="9" max="9" width="16.44140625" style="24" hidden="1" customWidth="1"/>
    <col min="10" max="11" width="16" style="76" hidden="1" customWidth="1"/>
    <col min="12" max="13" width="16" style="76" customWidth="1"/>
    <col min="14" max="14" width="13.109375" style="76" bestFit="1" customWidth="1"/>
    <col min="15" max="15" width="14.88671875" style="76" customWidth="1"/>
    <col min="16" max="16" width="15.109375" style="76" bestFit="1" customWidth="1"/>
  </cols>
  <sheetData>
    <row r="1" spans="1:16" ht="15" thickBot="1"/>
    <row r="2" spans="1:16">
      <c r="A2" s="439" t="s">
        <v>112</v>
      </c>
      <c r="B2" s="440"/>
      <c r="C2" s="441"/>
      <c r="D2" s="441"/>
      <c r="E2" s="441"/>
      <c r="F2" s="441"/>
      <c r="G2" s="441"/>
      <c r="H2" s="441"/>
      <c r="I2" s="442"/>
      <c r="J2" s="141"/>
      <c r="K2" s="141"/>
      <c r="L2" s="142"/>
      <c r="M2" s="142"/>
    </row>
    <row r="3" spans="1:16" s="158" customFormat="1" ht="41.25" customHeight="1">
      <c r="A3" s="443" t="s">
        <v>151</v>
      </c>
      <c r="B3" s="445" t="s">
        <v>166</v>
      </c>
      <c r="C3" s="447" t="s">
        <v>28</v>
      </c>
      <c r="D3" s="155"/>
      <c r="E3" s="155"/>
      <c r="F3" s="155"/>
      <c r="G3" s="449" t="s">
        <v>6</v>
      </c>
      <c r="H3" s="449" t="s">
        <v>168</v>
      </c>
      <c r="I3" s="451" t="s">
        <v>162</v>
      </c>
      <c r="J3" s="437" t="s">
        <v>161</v>
      </c>
      <c r="K3" s="437" t="s">
        <v>165</v>
      </c>
      <c r="L3" s="156"/>
      <c r="M3" s="156"/>
      <c r="N3" s="157"/>
      <c r="O3" s="157"/>
      <c r="P3" s="157"/>
    </row>
    <row r="4" spans="1:16" s="158" customFormat="1" ht="47.25" customHeight="1">
      <c r="A4" s="444"/>
      <c r="B4" s="446"/>
      <c r="C4" s="448"/>
      <c r="D4" s="159" t="s">
        <v>5</v>
      </c>
      <c r="E4" s="159" t="s">
        <v>5</v>
      </c>
      <c r="F4" s="159" t="s">
        <v>5</v>
      </c>
      <c r="G4" s="450"/>
      <c r="H4" s="450"/>
      <c r="I4" s="452"/>
      <c r="J4" s="438"/>
      <c r="K4" s="438"/>
      <c r="L4" s="156"/>
      <c r="M4" s="156"/>
      <c r="N4" s="157"/>
      <c r="O4" s="157"/>
      <c r="P4" s="157"/>
    </row>
    <row r="5" spans="1:16" ht="96.6">
      <c r="A5" s="39" t="s">
        <v>1</v>
      </c>
      <c r="B5" s="160" t="s">
        <v>167</v>
      </c>
      <c r="C5" s="65">
        <v>1</v>
      </c>
      <c r="D5" s="93"/>
      <c r="E5" s="93"/>
      <c r="F5" s="93"/>
      <c r="G5" s="96"/>
      <c r="H5" s="96"/>
      <c r="I5" s="97">
        <f>H5*6</f>
        <v>0</v>
      </c>
      <c r="J5" s="145">
        <f>+(H5/30)*16</f>
        <v>0</v>
      </c>
      <c r="K5" s="145">
        <f>+I5+J5</f>
        <v>0</v>
      </c>
      <c r="L5" s="142"/>
      <c r="M5" s="142"/>
    </row>
    <row r="6" spans="1:16" ht="82.8">
      <c r="A6" s="39" t="s">
        <v>2</v>
      </c>
      <c r="B6" s="160" t="s">
        <v>167</v>
      </c>
      <c r="C6" s="65">
        <v>1</v>
      </c>
      <c r="D6" s="93"/>
      <c r="E6" s="93"/>
      <c r="F6" s="93"/>
      <c r="G6" s="96"/>
      <c r="H6" s="96"/>
      <c r="I6" s="97">
        <f t="shared" ref="I6:I7" si="0">H6*6</f>
        <v>0</v>
      </c>
      <c r="J6" s="145">
        <f t="shared" ref="J6:J7" si="1">+(H6/30)*16</f>
        <v>0</v>
      </c>
      <c r="K6" s="145">
        <f t="shared" ref="K6:K7" si="2">+I6+J6</f>
        <v>0</v>
      </c>
      <c r="L6" s="142"/>
      <c r="M6" s="142"/>
    </row>
    <row r="7" spans="1:16" ht="22.5" customHeight="1">
      <c r="A7" s="39" t="s">
        <v>3</v>
      </c>
      <c r="B7" s="160" t="s">
        <v>167</v>
      </c>
      <c r="C7" s="65">
        <v>1</v>
      </c>
      <c r="D7" s="94"/>
      <c r="E7" s="94"/>
      <c r="F7" s="94"/>
      <c r="G7" s="96"/>
      <c r="H7" s="96"/>
      <c r="I7" s="97">
        <f t="shared" si="0"/>
        <v>0</v>
      </c>
      <c r="J7" s="145">
        <f t="shared" si="1"/>
        <v>0</v>
      </c>
      <c r="K7" s="145">
        <f t="shared" si="2"/>
        <v>0</v>
      </c>
      <c r="L7" s="142"/>
      <c r="M7" s="142"/>
    </row>
    <row r="8" spans="1:16" ht="22.5" customHeight="1" thickBot="1">
      <c r="A8" s="40" t="s">
        <v>4</v>
      </c>
      <c r="B8" s="154"/>
      <c r="C8" s="64"/>
      <c r="D8" s="95"/>
      <c r="E8" s="95"/>
      <c r="F8" s="95"/>
      <c r="G8" s="95"/>
      <c r="H8" s="95"/>
      <c r="I8" s="144">
        <f>SUM(I5:I7)</f>
        <v>0</v>
      </c>
      <c r="J8" s="144">
        <f>SUM(J5:J7)</f>
        <v>0</v>
      </c>
      <c r="K8" s="144">
        <f>SUM(K5:K7)</f>
        <v>0</v>
      </c>
      <c r="L8" s="143"/>
      <c r="M8" s="143"/>
    </row>
    <row r="9" spans="1:16">
      <c r="C9" s="1"/>
    </row>
    <row r="10" spans="1:16">
      <c r="C10" s="1"/>
      <c r="D10" s="1"/>
      <c r="E10" s="1"/>
      <c r="F10" s="7"/>
      <c r="G10" s="83"/>
      <c r="H10" s="83"/>
    </row>
    <row r="11" spans="1:16">
      <c r="H11" s="83"/>
    </row>
    <row r="12" spans="1:16">
      <c r="C12" s="1"/>
      <c r="D12" s="9"/>
      <c r="E12" s="9"/>
      <c r="H12" s="140"/>
    </row>
  </sheetData>
  <mergeCells count="9">
    <mergeCell ref="J3:J4"/>
    <mergeCell ref="K3:K4"/>
    <mergeCell ref="A2:I2"/>
    <mergeCell ref="A3:A4"/>
    <mergeCell ref="B3:B4"/>
    <mergeCell ref="C3:C4"/>
    <mergeCell ref="G3:G4"/>
    <mergeCell ref="H3:H4"/>
    <mergeCell ref="I3:I4"/>
  </mergeCells>
  <pageMargins left="0.7" right="0.7" top="0.75" bottom="0.75" header="0.3" footer="0.3"/>
  <pageSetup orientation="portrait"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92D050"/>
  </sheetPr>
  <dimension ref="A2:K42"/>
  <sheetViews>
    <sheetView topLeftCell="B28" zoomScale="130" zoomScaleNormal="130" workbookViewId="0">
      <selection activeCell="K40" sqref="K40"/>
    </sheetView>
  </sheetViews>
  <sheetFormatPr baseColWidth="10" defaultRowHeight="14.4"/>
  <cols>
    <col min="1" max="1" width="30.109375" customWidth="1"/>
    <col min="2" max="2" width="16" style="162" customWidth="1"/>
    <col min="3" max="3" width="15.88671875" style="162" customWidth="1"/>
    <col min="4" max="4" width="15" customWidth="1"/>
    <col min="5" max="5" width="15.6640625" customWidth="1"/>
    <col min="6" max="6" width="11.5546875" customWidth="1"/>
    <col min="7" max="7" width="13.21875" style="24" customWidth="1"/>
    <col min="8" max="8" width="14.77734375" customWidth="1"/>
    <col min="9" max="10" width="14.5546875" bestFit="1" customWidth="1"/>
    <col min="11" max="11" width="17.5546875" customWidth="1"/>
  </cols>
  <sheetData>
    <row r="2" spans="1:7">
      <c r="A2" s="3" t="s">
        <v>8</v>
      </c>
      <c r="B2" s="161"/>
      <c r="C2" s="161"/>
    </row>
    <row r="4" spans="1:7">
      <c r="A4" s="3" t="s">
        <v>9</v>
      </c>
      <c r="B4" s="161"/>
      <c r="C4" s="161"/>
    </row>
    <row r="5" spans="1:7">
      <c r="A5" s="3"/>
      <c r="B5" s="161"/>
      <c r="C5" s="161"/>
    </row>
    <row r="6" spans="1:7" ht="16.5" customHeight="1">
      <c r="A6" s="456" t="s">
        <v>10</v>
      </c>
      <c r="B6" s="456" t="s">
        <v>170</v>
      </c>
      <c r="C6" s="456"/>
      <c r="D6" s="456"/>
      <c r="E6" s="456"/>
      <c r="F6" s="456"/>
      <c r="G6" s="456"/>
    </row>
    <row r="7" spans="1:7" s="158" customFormat="1" ht="20.399999999999999">
      <c r="A7" s="456"/>
      <c r="B7" s="262" t="s">
        <v>169</v>
      </c>
      <c r="C7" s="262" t="s">
        <v>28</v>
      </c>
      <c r="D7" s="262" t="s">
        <v>154</v>
      </c>
      <c r="E7" s="262" t="s">
        <v>210</v>
      </c>
      <c r="F7" s="262" t="s">
        <v>209</v>
      </c>
      <c r="G7" s="262" t="s">
        <v>11</v>
      </c>
    </row>
    <row r="8" spans="1:7" ht="67.8" customHeight="1">
      <c r="A8" s="263" t="s">
        <v>41</v>
      </c>
      <c r="B8" s="264" t="s">
        <v>166</v>
      </c>
      <c r="C8" s="264">
        <v>1</v>
      </c>
      <c r="D8" s="265">
        <v>14200</v>
      </c>
      <c r="E8" s="265">
        <v>18500</v>
      </c>
      <c r="F8" s="265">
        <v>14100</v>
      </c>
      <c r="G8" s="265">
        <f>ROUND((D8+E8+F8)/3,2)</f>
        <v>15600</v>
      </c>
    </row>
    <row r="9" spans="1:7" ht="73.8" customHeight="1">
      <c r="A9" s="263" t="s">
        <v>216</v>
      </c>
      <c r="B9" s="264" t="s">
        <v>166</v>
      </c>
      <c r="C9" s="264">
        <v>1</v>
      </c>
      <c r="D9" s="265">
        <v>21800</v>
      </c>
      <c r="E9" s="265">
        <v>25000</v>
      </c>
      <c r="F9" s="265">
        <v>21500</v>
      </c>
      <c r="G9" s="265">
        <f>ROUND((D9+E9+F9)/3,2)</f>
        <v>22766.67</v>
      </c>
    </row>
    <row r="10" spans="1:7" ht="76.8" customHeight="1">
      <c r="A10" s="263" t="s">
        <v>143</v>
      </c>
      <c r="B10" s="264" t="s">
        <v>166</v>
      </c>
      <c r="C10" s="264">
        <v>1</v>
      </c>
      <c r="D10" s="265">
        <v>17500</v>
      </c>
      <c r="E10" s="265">
        <v>21500</v>
      </c>
      <c r="F10" s="265">
        <v>17200</v>
      </c>
      <c r="G10" s="265">
        <f t="shared" ref="G10" si="0">ROUND((D10+E10+F10)/3,2)</f>
        <v>18733.330000000002</v>
      </c>
    </row>
    <row r="11" spans="1:7">
      <c r="A11" s="461" t="s">
        <v>4</v>
      </c>
      <c r="B11" s="462"/>
      <c r="C11" s="463"/>
      <c r="D11" s="266">
        <f>SUM(D8:D10)</f>
        <v>53500</v>
      </c>
      <c r="E11" s="266">
        <f>SUM(E8:E10)</f>
        <v>65000</v>
      </c>
      <c r="F11" s="266">
        <f>SUM(F8:F10)</f>
        <v>52800</v>
      </c>
      <c r="G11" s="266">
        <f>ROUND((G10+G9+G8),2)</f>
        <v>57100</v>
      </c>
    </row>
    <row r="13" spans="1:7">
      <c r="D13" s="1"/>
      <c r="E13" s="1"/>
      <c r="F13" s="1"/>
      <c r="G13" s="408"/>
    </row>
    <row r="14" spans="1:7">
      <c r="E14" s="3"/>
    </row>
    <row r="15" spans="1:7" ht="68.25" customHeight="1">
      <c r="A15" s="455" t="s">
        <v>10</v>
      </c>
      <c r="B15" s="457" t="s">
        <v>152</v>
      </c>
      <c r="C15" s="458"/>
      <c r="D15" s="84"/>
      <c r="E15" s="24"/>
      <c r="G15"/>
    </row>
    <row r="16" spans="1:7" ht="21.6">
      <c r="A16" s="455"/>
      <c r="B16" s="26" t="s">
        <v>142</v>
      </c>
      <c r="C16" s="87" t="s">
        <v>231</v>
      </c>
      <c r="D16" s="84"/>
      <c r="E16" s="24"/>
      <c r="G16"/>
    </row>
    <row r="17" spans="1:11" ht="62.4">
      <c r="A17" s="36" t="s">
        <v>12</v>
      </c>
      <c r="B17" s="98">
        <f>ROUND((G8*150),2)</f>
        <v>2340000</v>
      </c>
      <c r="C17" s="98">
        <f>ROUND((B17*156),2)</f>
        <v>365040000</v>
      </c>
      <c r="D17" s="85"/>
      <c r="E17" s="58"/>
      <c r="G17"/>
    </row>
    <row r="18" spans="1:11" ht="108" customHeight="1">
      <c r="A18" s="36" t="s">
        <v>147</v>
      </c>
      <c r="B18" s="98">
        <f>ROUND((G9*150),2)</f>
        <v>3415000.5</v>
      </c>
      <c r="C18" s="98">
        <f t="shared" ref="C18:C19" si="1">ROUND((B18*156),2)</f>
        <v>532740078</v>
      </c>
      <c r="D18" s="85"/>
      <c r="E18" s="414"/>
      <c r="G18"/>
    </row>
    <row r="19" spans="1:11" ht="90.75" customHeight="1">
      <c r="A19" s="36" t="s">
        <v>143</v>
      </c>
      <c r="B19" s="98">
        <f>ROUND((G10*150),2)</f>
        <v>2809999.5</v>
      </c>
      <c r="C19" s="98">
        <f t="shared" si="1"/>
        <v>438359922</v>
      </c>
      <c r="D19" s="85"/>
      <c r="E19" s="58"/>
      <c r="G19"/>
    </row>
    <row r="20" spans="1:11">
      <c r="A20" s="41" t="s">
        <v>13</v>
      </c>
      <c r="B20" s="99">
        <f>SUM(B17:B19)</f>
        <v>8565000</v>
      </c>
      <c r="C20" s="100">
        <f>ROUND((C19+C18+C17),2)</f>
        <v>1336140000</v>
      </c>
      <c r="D20" s="86"/>
      <c r="E20" s="59"/>
      <c r="G20"/>
    </row>
    <row r="21" spans="1:11">
      <c r="A21" s="10"/>
      <c r="B21" s="163"/>
      <c r="C21" s="163"/>
      <c r="D21" s="11"/>
      <c r="E21" s="11"/>
      <c r="F21" s="11"/>
      <c r="G21" s="59"/>
    </row>
    <row r="22" spans="1:11">
      <c r="A22" s="10"/>
      <c r="B22" s="163"/>
      <c r="C22" s="163"/>
      <c r="D22" s="11"/>
      <c r="E22" s="11"/>
      <c r="F22" s="11"/>
      <c r="G22" s="59"/>
    </row>
    <row r="23" spans="1:11">
      <c r="F23" s="1"/>
      <c r="G23" s="60"/>
    </row>
    <row r="24" spans="1:11" ht="45" customHeight="1">
      <c r="A24" s="459" t="s">
        <v>232</v>
      </c>
      <c r="B24" s="460"/>
      <c r="C24" s="460"/>
      <c r="D24" s="460"/>
      <c r="E24" s="460"/>
      <c r="F24" s="88"/>
    </row>
    <row r="25" spans="1:11">
      <c r="A25" s="42" t="s">
        <v>16</v>
      </c>
      <c r="B25" s="164"/>
      <c r="C25" s="164"/>
      <c r="D25" s="42" t="s">
        <v>17</v>
      </c>
      <c r="E25" s="42" t="s">
        <v>233</v>
      </c>
      <c r="F25" s="88"/>
    </row>
    <row r="26" spans="1:11" ht="92.4">
      <c r="A26" s="43" t="s">
        <v>15</v>
      </c>
      <c r="B26" s="165"/>
      <c r="C26" s="165"/>
      <c r="D26" s="66">
        <f>B20</f>
        <v>8565000</v>
      </c>
      <c r="E26" s="66">
        <f>C20</f>
        <v>1336140000</v>
      </c>
      <c r="F26" s="89"/>
      <c r="G26" s="60"/>
    </row>
    <row r="28" spans="1:11">
      <c r="D28" s="76"/>
    </row>
    <row r="31" spans="1:11" ht="15" thickBot="1"/>
    <row r="32" spans="1:11" ht="26.25" customHeight="1" thickBot="1">
      <c r="A32" s="466" t="s">
        <v>204</v>
      </c>
      <c r="B32" s="466"/>
      <c r="C32" s="466"/>
      <c r="D32" s="453" t="s">
        <v>154</v>
      </c>
      <c r="E32" s="454"/>
      <c r="F32" s="469" t="s">
        <v>210</v>
      </c>
      <c r="G32" s="470"/>
      <c r="H32" s="471" t="s">
        <v>209</v>
      </c>
      <c r="I32" s="472"/>
      <c r="J32" s="467" t="s">
        <v>211</v>
      </c>
      <c r="K32" s="467" t="s">
        <v>220</v>
      </c>
    </row>
    <row r="33" spans="1:11" ht="27" thickBot="1">
      <c r="A33" s="268" t="s">
        <v>27</v>
      </c>
      <c r="B33" s="268" t="s">
        <v>166</v>
      </c>
      <c r="C33" s="268" t="s">
        <v>28</v>
      </c>
      <c r="D33" s="269" t="s">
        <v>212</v>
      </c>
      <c r="E33" s="269" t="s">
        <v>213</v>
      </c>
      <c r="F33" s="269" t="s">
        <v>212</v>
      </c>
      <c r="G33" s="269" t="s">
        <v>213</v>
      </c>
      <c r="H33" s="269" t="s">
        <v>212</v>
      </c>
      <c r="I33" s="269" t="s">
        <v>213</v>
      </c>
      <c r="J33" s="468"/>
      <c r="K33" s="468"/>
    </row>
    <row r="34" spans="1:11" ht="64.5" customHeight="1">
      <c r="A34" s="475" t="s">
        <v>205</v>
      </c>
      <c r="B34" s="473" t="s">
        <v>167</v>
      </c>
      <c r="C34" s="473">
        <v>520</v>
      </c>
      <c r="D34" s="481">
        <v>7500</v>
      </c>
      <c r="E34" s="484">
        <f>ROUND((+C34*D34),2)</f>
        <v>3900000</v>
      </c>
      <c r="F34" s="477">
        <v>8500</v>
      </c>
      <c r="G34" s="478">
        <f>ROUND((+F34*C34),2)</f>
        <v>4420000</v>
      </c>
      <c r="H34" s="477">
        <v>7550</v>
      </c>
      <c r="I34" s="477">
        <f>ROUND((+C34*H34),2)</f>
        <v>3926000</v>
      </c>
      <c r="J34" s="464">
        <f>ROUND((E34+G34+I34)/3,2)</f>
        <v>4082000</v>
      </c>
      <c r="K34" s="464">
        <f>ROUND((+J34*6),2)</f>
        <v>24492000</v>
      </c>
    </row>
    <row r="35" spans="1:11">
      <c r="A35" s="475"/>
      <c r="B35" s="473"/>
      <c r="C35" s="473"/>
      <c r="D35" s="482"/>
      <c r="E35" s="485"/>
      <c r="F35" s="464"/>
      <c r="G35" s="479"/>
      <c r="H35" s="464"/>
      <c r="I35" s="464"/>
      <c r="J35" s="464"/>
      <c r="K35" s="464"/>
    </row>
    <row r="36" spans="1:11">
      <c r="A36" s="475"/>
      <c r="B36" s="473"/>
      <c r="C36" s="473"/>
      <c r="D36" s="482"/>
      <c r="E36" s="485"/>
      <c r="F36" s="464"/>
      <c r="G36" s="479"/>
      <c r="H36" s="464"/>
      <c r="I36" s="464"/>
      <c r="J36" s="464"/>
      <c r="K36" s="464"/>
    </row>
    <row r="37" spans="1:11">
      <c r="A37" s="475"/>
      <c r="B37" s="473"/>
      <c r="C37" s="473"/>
      <c r="D37" s="482"/>
      <c r="E37" s="485"/>
      <c r="F37" s="464"/>
      <c r="G37" s="479"/>
      <c r="H37" s="464"/>
      <c r="I37" s="464"/>
      <c r="J37" s="464"/>
      <c r="K37" s="464"/>
    </row>
    <row r="38" spans="1:11">
      <c r="A38" s="475"/>
      <c r="B38" s="473"/>
      <c r="C38" s="473"/>
      <c r="D38" s="482"/>
      <c r="E38" s="485"/>
      <c r="F38" s="464"/>
      <c r="G38" s="479"/>
      <c r="H38" s="464"/>
      <c r="I38" s="464"/>
      <c r="J38" s="464"/>
      <c r="K38" s="464"/>
    </row>
    <row r="39" spans="1:11" ht="2.4" customHeight="1" thickBot="1">
      <c r="A39" s="476"/>
      <c r="B39" s="474"/>
      <c r="C39" s="474"/>
      <c r="D39" s="483"/>
      <c r="E39" s="486"/>
      <c r="F39" s="465"/>
      <c r="G39" s="480"/>
      <c r="H39" s="465"/>
      <c r="I39" s="465"/>
      <c r="J39" s="465"/>
      <c r="K39" s="465"/>
    </row>
    <row r="42" spans="1:11">
      <c r="E42" s="224"/>
    </row>
  </sheetData>
  <mergeCells count="23">
    <mergeCell ref="J34:J39"/>
    <mergeCell ref="A32:C32"/>
    <mergeCell ref="J32:J33"/>
    <mergeCell ref="K32:K33"/>
    <mergeCell ref="F32:G32"/>
    <mergeCell ref="H32:I32"/>
    <mergeCell ref="K34:K39"/>
    <mergeCell ref="B34:B39"/>
    <mergeCell ref="A34:A39"/>
    <mergeCell ref="C34:C39"/>
    <mergeCell ref="F34:F39"/>
    <mergeCell ref="H34:H39"/>
    <mergeCell ref="G34:G39"/>
    <mergeCell ref="D34:D39"/>
    <mergeCell ref="E34:E39"/>
    <mergeCell ref="I34:I39"/>
    <mergeCell ref="D32:E32"/>
    <mergeCell ref="A15:A16"/>
    <mergeCell ref="A6:A7"/>
    <mergeCell ref="B15:C15"/>
    <mergeCell ref="A24:E24"/>
    <mergeCell ref="B6:G6"/>
    <mergeCell ref="A11:C11"/>
  </mergeCells>
  <pageMargins left="0.7" right="0.7" top="0.75" bottom="0.75" header="0.3" footer="0.3"/>
  <pageSetup paperSize="9" orientation="portrait"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9" tint="0.59999389629810485"/>
  </sheetPr>
  <dimension ref="A2:M19"/>
  <sheetViews>
    <sheetView topLeftCell="B1" zoomScale="86" zoomScaleNormal="86" workbookViewId="0">
      <selection activeCell="K5" sqref="K5"/>
    </sheetView>
  </sheetViews>
  <sheetFormatPr baseColWidth="10" defaultRowHeight="14.4"/>
  <cols>
    <col min="1" max="1" width="0" hidden="1" customWidth="1"/>
    <col min="2" max="2" width="22.109375" customWidth="1"/>
    <col min="3" max="3" width="10.88671875" style="162" customWidth="1"/>
    <col min="4" max="4" width="10.5546875" style="162" customWidth="1"/>
    <col min="5" max="5" width="30.6640625" customWidth="1"/>
    <col min="6" max="6" width="17.6640625" style="76" customWidth="1"/>
    <col min="7" max="7" width="15.5546875" customWidth="1"/>
    <col min="8" max="8" width="15.5546875" bestFit="1" customWidth="1"/>
    <col min="9" max="9" width="16.88671875" style="24" bestFit="1" customWidth="1"/>
    <col min="10" max="10" width="16.88671875" style="24" customWidth="1"/>
    <col min="11" max="11" width="17.6640625" style="24" customWidth="1"/>
    <col min="13" max="13" width="15.109375" bestFit="1" customWidth="1"/>
  </cols>
  <sheetData>
    <row r="2" spans="1:13">
      <c r="A2" s="487" t="s">
        <v>18</v>
      </c>
      <c r="B2" s="487"/>
      <c r="C2" s="487"/>
      <c r="D2" s="487"/>
      <c r="E2" s="487"/>
      <c r="F2" s="487"/>
      <c r="G2" s="487"/>
      <c r="H2" s="487"/>
      <c r="I2" s="246"/>
      <c r="J2" s="246"/>
      <c r="K2" s="247"/>
    </row>
    <row r="3" spans="1:13" s="161" customFormat="1" ht="30.6">
      <c r="A3" s="270"/>
      <c r="B3" s="271" t="s">
        <v>20</v>
      </c>
      <c r="C3" s="271" t="s">
        <v>169</v>
      </c>
      <c r="D3" s="271" t="s">
        <v>19</v>
      </c>
      <c r="E3" s="272" t="s">
        <v>21</v>
      </c>
      <c r="F3" s="258" t="s">
        <v>154</v>
      </c>
      <c r="G3" s="258" t="s">
        <v>210</v>
      </c>
      <c r="H3" s="258" t="s">
        <v>209</v>
      </c>
      <c r="I3" s="271" t="s">
        <v>26</v>
      </c>
      <c r="J3" s="271" t="s">
        <v>214</v>
      </c>
      <c r="K3" s="271" t="s">
        <v>221</v>
      </c>
    </row>
    <row r="4" spans="1:13" s="162" customFormat="1" ht="117.6" customHeight="1">
      <c r="A4" s="273"/>
      <c r="B4" s="274" t="s">
        <v>22</v>
      </c>
      <c r="C4" s="274" t="s">
        <v>167</v>
      </c>
      <c r="D4" s="275">
        <v>4</v>
      </c>
      <c r="E4" s="274" t="s">
        <v>25</v>
      </c>
      <c r="F4" s="276">
        <f>ROUND((8880000/4),2)</f>
        <v>2220000</v>
      </c>
      <c r="G4" s="265">
        <f>ROUND((9600000/4),2)</f>
        <v>2400000</v>
      </c>
      <c r="H4" s="265">
        <f>ROUND((8820000/4),)</f>
        <v>2205000</v>
      </c>
      <c r="I4" s="265">
        <f>ROUND((F4+G4+H4)/3,2)</f>
        <v>2275000</v>
      </c>
      <c r="J4" s="265">
        <f>ROUND((+I4*D4),2)</f>
        <v>9100000</v>
      </c>
      <c r="K4" s="265">
        <f>ROUND((J4*6),2)</f>
        <v>54600000</v>
      </c>
      <c r="M4" s="167"/>
    </row>
    <row r="5" spans="1:13" s="162" customFormat="1" ht="71.400000000000006">
      <c r="A5" s="273"/>
      <c r="B5" s="274" t="s">
        <v>23</v>
      </c>
      <c r="C5" s="274" t="s">
        <v>167</v>
      </c>
      <c r="D5" s="275">
        <v>4</v>
      </c>
      <c r="E5" s="274" t="s">
        <v>24</v>
      </c>
      <c r="F5" s="276">
        <f>ROUND((8560000/4),2)</f>
        <v>2140000</v>
      </c>
      <c r="G5" s="265">
        <f>ROUND((9400000/4),2)</f>
        <v>2350000</v>
      </c>
      <c r="H5" s="265">
        <f>ROUND((8400000/4),2)</f>
        <v>2100000</v>
      </c>
      <c r="I5" s="265">
        <f>ROUND((F5+G5+H5)/3,2)</f>
        <v>2196666.67</v>
      </c>
      <c r="J5" s="265">
        <f>ROUND((+I5*D5),2)</f>
        <v>8786666.6799999997</v>
      </c>
      <c r="K5" s="265">
        <f>ROUND((J5*6),2)</f>
        <v>52720000.079999998</v>
      </c>
      <c r="M5" s="167"/>
    </row>
    <row r="6" spans="1:13" s="162" customFormat="1">
      <c r="A6" s="488" t="s">
        <v>171</v>
      </c>
      <c r="B6" s="488"/>
      <c r="C6" s="488"/>
      <c r="D6" s="488"/>
      <c r="E6" s="488"/>
      <c r="F6" s="277">
        <f>F5+F4</f>
        <v>4360000</v>
      </c>
      <c r="G6" s="278">
        <f>G5+G4</f>
        <v>4750000</v>
      </c>
      <c r="H6" s="278">
        <f>H5+H4</f>
        <v>4305000</v>
      </c>
      <c r="I6" s="278">
        <f>I5+I4</f>
        <v>4471666.67</v>
      </c>
      <c r="J6" s="278">
        <f>SUM(J4:J5)</f>
        <v>17886666.68</v>
      </c>
      <c r="K6" s="278">
        <f>SUM(K4:K5)</f>
        <v>107320000.08</v>
      </c>
    </row>
    <row r="7" spans="1:13" s="162" customFormat="1">
      <c r="F7" s="167"/>
      <c r="G7" s="168"/>
      <c r="H7" s="168"/>
      <c r="I7" s="169"/>
      <c r="J7" s="169"/>
      <c r="K7" s="169"/>
    </row>
    <row r="8" spans="1:13" s="162" customFormat="1">
      <c r="F8" s="167"/>
      <c r="G8" s="170"/>
      <c r="H8" s="170"/>
      <c r="I8" s="171"/>
      <c r="J8" s="171"/>
      <c r="K8" s="169"/>
    </row>
    <row r="9" spans="1:13" s="162" customFormat="1">
      <c r="F9" s="167"/>
      <c r="H9" s="409"/>
      <c r="I9" s="169"/>
      <c r="J9" s="410"/>
      <c r="K9" s="169"/>
    </row>
    <row r="10" spans="1:13" s="162" customFormat="1">
      <c r="F10" s="167"/>
      <c r="I10" s="410"/>
      <c r="J10" s="410">
        <f>I10*4*6</f>
        <v>0</v>
      </c>
      <c r="K10" s="169"/>
    </row>
    <row r="11" spans="1:13" s="162" customFormat="1">
      <c r="F11" s="167"/>
      <c r="G11" s="167"/>
      <c r="I11" s="169"/>
      <c r="J11" s="169"/>
      <c r="K11" s="169"/>
    </row>
    <row r="12" spans="1:13" s="162" customFormat="1">
      <c r="F12" s="167"/>
      <c r="G12" s="167"/>
      <c r="I12" s="169"/>
      <c r="J12" s="169"/>
      <c r="K12" s="169"/>
    </row>
    <row r="13" spans="1:13" s="162" customFormat="1">
      <c r="F13" s="167"/>
      <c r="I13" s="169"/>
      <c r="J13" s="169"/>
      <c r="K13" s="169"/>
    </row>
    <row r="14" spans="1:13" s="162" customFormat="1">
      <c r="F14" s="167"/>
      <c r="I14" s="169"/>
      <c r="J14" s="169"/>
      <c r="K14" s="169"/>
    </row>
    <row r="15" spans="1:13" s="162" customFormat="1">
      <c r="F15" s="167"/>
      <c r="I15" s="169"/>
      <c r="J15" s="169"/>
      <c r="K15" s="169"/>
    </row>
    <row r="16" spans="1:13" s="162" customFormat="1">
      <c r="F16" s="167"/>
      <c r="I16" s="169"/>
      <c r="J16" s="169"/>
      <c r="K16" s="169"/>
    </row>
    <row r="17" spans="6:11" s="162" customFormat="1">
      <c r="F17" s="167"/>
      <c r="I17" s="169"/>
      <c r="J17" s="169"/>
      <c r="K17" s="169"/>
    </row>
    <row r="18" spans="6:11" s="162" customFormat="1">
      <c r="F18" s="167"/>
      <c r="I18" s="169"/>
      <c r="J18" s="169"/>
      <c r="K18" s="169"/>
    </row>
    <row r="19" spans="6:11" s="162" customFormat="1">
      <c r="F19" s="167"/>
      <c r="I19" s="169"/>
      <c r="J19" s="169"/>
      <c r="K19" s="169"/>
    </row>
  </sheetData>
  <mergeCells count="2">
    <mergeCell ref="A2:H2"/>
    <mergeCell ref="A6:E6"/>
  </mergeCells>
  <pageMargins left="0.7" right="0.7" top="0.75" bottom="0.75" header="0.3" footer="0.3"/>
  <pageSetup orientation="portrait" r:id="rId1"/>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92D050"/>
  </sheetPr>
  <dimension ref="A2:P13"/>
  <sheetViews>
    <sheetView topLeftCell="B3" zoomScale="110" zoomScaleNormal="110" workbookViewId="0">
      <selection activeCell="F5" sqref="F5"/>
    </sheetView>
  </sheetViews>
  <sheetFormatPr baseColWidth="10" defaultRowHeight="14.4"/>
  <cols>
    <col min="1" max="1" width="28.44140625" style="24" customWidth="1"/>
    <col min="2" max="2" width="5.88671875" style="24" customWidth="1"/>
    <col min="3" max="3" width="7.5546875" style="80" customWidth="1"/>
    <col min="4" max="4" width="12.88671875" customWidth="1"/>
    <col min="5" max="5" width="12.109375" customWidth="1"/>
    <col min="6" max="6" width="11.109375" customWidth="1"/>
    <col min="7" max="7" width="13.88671875" customWidth="1"/>
    <col min="8" max="8" width="11.5546875" customWidth="1"/>
    <col min="9" max="9" width="11.44140625" customWidth="1"/>
    <col min="10" max="11" width="10.5546875" customWidth="1"/>
    <col min="12" max="13" width="13.44140625" customWidth="1"/>
    <col min="14" max="14" width="12.44140625" customWidth="1"/>
    <col min="15" max="15" width="16.5546875" customWidth="1"/>
    <col min="16" max="16" width="12.88671875" customWidth="1"/>
  </cols>
  <sheetData>
    <row r="2" spans="1:16" ht="15" thickBot="1"/>
    <row r="3" spans="1:16" ht="23.25" customHeight="1" thickBot="1">
      <c r="A3" s="498" t="s">
        <v>27</v>
      </c>
      <c r="B3" s="502" t="s">
        <v>166</v>
      </c>
      <c r="C3" s="500" t="s">
        <v>28</v>
      </c>
      <c r="D3" s="489" t="s">
        <v>154</v>
      </c>
      <c r="E3" s="490"/>
      <c r="F3" s="491"/>
      <c r="G3" s="489" t="s">
        <v>210</v>
      </c>
      <c r="H3" s="490"/>
      <c r="I3" s="491"/>
      <c r="J3" s="489" t="s">
        <v>209</v>
      </c>
      <c r="K3" s="490"/>
      <c r="L3" s="491"/>
      <c r="M3" s="492" t="s">
        <v>34</v>
      </c>
      <c r="N3" s="493"/>
      <c r="O3" s="493"/>
      <c r="P3" s="494"/>
    </row>
    <row r="4" spans="1:16" ht="31.5" customHeight="1">
      <c r="A4" s="499"/>
      <c r="B4" s="503"/>
      <c r="C4" s="501"/>
      <c r="D4" s="279" t="s">
        <v>176</v>
      </c>
      <c r="E4" s="280" t="s">
        <v>177</v>
      </c>
      <c r="F4" s="279" t="s">
        <v>31</v>
      </c>
      <c r="G4" s="279" t="s">
        <v>176</v>
      </c>
      <c r="H4" s="280" t="s">
        <v>177</v>
      </c>
      <c r="I4" s="279" t="s">
        <v>31</v>
      </c>
      <c r="J4" s="279" t="s">
        <v>176</v>
      </c>
      <c r="K4" s="280" t="s">
        <v>177</v>
      </c>
      <c r="L4" s="279" t="s">
        <v>31</v>
      </c>
      <c r="M4" s="172" t="s">
        <v>178</v>
      </c>
      <c r="N4" s="173" t="s">
        <v>179</v>
      </c>
      <c r="O4" s="173" t="s">
        <v>35</v>
      </c>
      <c r="P4" s="146" t="s">
        <v>222</v>
      </c>
    </row>
    <row r="5" spans="1:16" ht="33" customHeight="1">
      <c r="A5" s="281" t="s">
        <v>172</v>
      </c>
      <c r="B5" s="282" t="s">
        <v>167</v>
      </c>
      <c r="C5" s="283">
        <v>1</v>
      </c>
      <c r="D5" s="284">
        <v>1700000</v>
      </c>
      <c r="E5" s="285">
        <f>ROUND((D5*19%),2)</f>
        <v>323000</v>
      </c>
      <c r="F5" s="286">
        <f>ROUND((D5+E5),2)</f>
        <v>2023000</v>
      </c>
      <c r="G5" s="284">
        <v>2080000</v>
      </c>
      <c r="H5" s="285">
        <f>ROUND((G5*19%),2)</f>
        <v>395200</v>
      </c>
      <c r="I5" s="286">
        <f>ROUND((+G5+H5),2)</f>
        <v>2475200</v>
      </c>
      <c r="J5" s="284">
        <v>1800000</v>
      </c>
      <c r="K5" s="287">
        <v>0</v>
      </c>
      <c r="L5" s="288">
        <f>ROUND((J5+K5),2)</f>
        <v>1800000</v>
      </c>
      <c r="M5" s="101">
        <f>ROUND((D5+G5+J5)/3,2)</f>
        <v>1860000</v>
      </c>
      <c r="N5" s="103">
        <f>ROUND((E5+H5+K5)/3,2)</f>
        <v>239400</v>
      </c>
      <c r="O5" s="103">
        <f>ROUND((F5+I5+L5)/3,2)</f>
        <v>2099400</v>
      </c>
      <c r="P5" s="102">
        <f>ROUND((O5*6),2)</f>
        <v>12596400</v>
      </c>
    </row>
    <row r="6" spans="1:16" ht="45" customHeight="1">
      <c r="A6" s="281" t="s">
        <v>173</v>
      </c>
      <c r="B6" s="282" t="s">
        <v>167</v>
      </c>
      <c r="C6" s="283">
        <v>1</v>
      </c>
      <c r="D6" s="284">
        <v>1700000</v>
      </c>
      <c r="E6" s="285">
        <f t="shared" ref="E6:E8" si="0">ROUND((D6*19%),2)</f>
        <v>323000</v>
      </c>
      <c r="F6" s="286">
        <f>ROUND((D6+E6),2)</f>
        <v>2023000</v>
      </c>
      <c r="G6" s="284">
        <v>2080000</v>
      </c>
      <c r="H6" s="285">
        <f t="shared" ref="H6:H8" si="1">ROUND((G6*19%),2)</f>
        <v>395200</v>
      </c>
      <c r="I6" s="286">
        <f t="shared" ref="I6:I8" si="2">ROUND((+G6+H6),2)</f>
        <v>2475200</v>
      </c>
      <c r="J6" s="284">
        <v>1800000</v>
      </c>
      <c r="K6" s="287">
        <v>0</v>
      </c>
      <c r="L6" s="288">
        <f t="shared" ref="L6:L8" si="3">ROUND((J6+K6),2)</f>
        <v>1800000</v>
      </c>
      <c r="M6" s="101">
        <f>ROUND((D6+G6+J6)/3,2)</f>
        <v>1860000</v>
      </c>
      <c r="N6" s="103">
        <f t="shared" ref="N6:N8" si="4">ROUND((E6+H6+K6)/3,2)</f>
        <v>239400</v>
      </c>
      <c r="O6" s="103">
        <f t="shared" ref="O6:O8" si="5">ROUND((F6+I6+L6)/3,2)</f>
        <v>2099400</v>
      </c>
      <c r="P6" s="102">
        <f>ROUND((O6*6),2)</f>
        <v>12596400</v>
      </c>
    </row>
    <row r="7" spans="1:16" ht="41.4" customHeight="1">
      <c r="A7" s="281" t="s">
        <v>174</v>
      </c>
      <c r="B7" s="282" t="s">
        <v>167</v>
      </c>
      <c r="C7" s="283">
        <v>1</v>
      </c>
      <c r="D7" s="284">
        <v>1700000</v>
      </c>
      <c r="E7" s="285">
        <f t="shared" si="0"/>
        <v>323000</v>
      </c>
      <c r="F7" s="286">
        <f t="shared" ref="F7:F8" si="6">ROUND((D7+E7),2)</f>
        <v>2023000</v>
      </c>
      <c r="G7" s="284">
        <v>2080000</v>
      </c>
      <c r="H7" s="285">
        <f t="shared" si="1"/>
        <v>395200</v>
      </c>
      <c r="I7" s="286">
        <f t="shared" si="2"/>
        <v>2475200</v>
      </c>
      <c r="J7" s="284">
        <v>1800000</v>
      </c>
      <c r="K7" s="287">
        <v>0</v>
      </c>
      <c r="L7" s="288">
        <f t="shared" si="3"/>
        <v>1800000</v>
      </c>
      <c r="M7" s="101">
        <f>ROUND((D7+G7+J7)/3,2)</f>
        <v>1860000</v>
      </c>
      <c r="N7" s="103">
        <f t="shared" si="4"/>
        <v>239400</v>
      </c>
      <c r="O7" s="103">
        <f t="shared" si="5"/>
        <v>2099400</v>
      </c>
      <c r="P7" s="102">
        <f>ROUND((O7*6),2)</f>
        <v>12596400</v>
      </c>
    </row>
    <row r="8" spans="1:16" ht="36.6" customHeight="1">
      <c r="A8" s="281" t="s">
        <v>175</v>
      </c>
      <c r="B8" s="282" t="s">
        <v>167</v>
      </c>
      <c r="C8" s="283">
        <v>1</v>
      </c>
      <c r="D8" s="289">
        <v>0</v>
      </c>
      <c r="E8" s="285">
        <f t="shared" si="0"/>
        <v>0</v>
      </c>
      <c r="F8" s="286">
        <f t="shared" si="6"/>
        <v>0</v>
      </c>
      <c r="G8" s="284">
        <v>0</v>
      </c>
      <c r="H8" s="285">
        <f t="shared" si="1"/>
        <v>0</v>
      </c>
      <c r="I8" s="286">
        <f t="shared" si="2"/>
        <v>0</v>
      </c>
      <c r="J8" s="284">
        <v>0</v>
      </c>
      <c r="K8" s="287">
        <f t="shared" ref="K8" si="7">ROUND((J8*19%),2)</f>
        <v>0</v>
      </c>
      <c r="L8" s="288">
        <f t="shared" si="3"/>
        <v>0</v>
      </c>
      <c r="M8" s="101">
        <f>ROUND((D8+G8+J8)/3,2)</f>
        <v>0</v>
      </c>
      <c r="N8" s="103">
        <f t="shared" si="4"/>
        <v>0</v>
      </c>
      <c r="O8" s="103">
        <f t="shared" si="5"/>
        <v>0</v>
      </c>
      <c r="P8" s="102">
        <f>ROUND((O8*6),2)</f>
        <v>0</v>
      </c>
    </row>
    <row r="9" spans="1:16" ht="15" thickBot="1">
      <c r="A9" s="495" t="s">
        <v>13</v>
      </c>
      <c r="B9" s="496"/>
      <c r="C9" s="497"/>
      <c r="D9" s="290">
        <f t="shared" ref="D9:K9" si="8">SUM(D5:D8)</f>
        <v>5100000</v>
      </c>
      <c r="E9" s="291">
        <f t="shared" si="8"/>
        <v>969000</v>
      </c>
      <c r="F9" s="292">
        <f>SUM(F5:F8)</f>
        <v>6069000</v>
      </c>
      <c r="G9" s="284">
        <v>2080000</v>
      </c>
      <c r="H9" s="291">
        <f t="shared" si="8"/>
        <v>1185600</v>
      </c>
      <c r="I9" s="292">
        <f>SUM(I5:I8)</f>
        <v>7425600</v>
      </c>
      <c r="J9" s="293">
        <f t="shared" si="8"/>
        <v>5400000</v>
      </c>
      <c r="K9" s="294">
        <f t="shared" si="8"/>
        <v>0</v>
      </c>
      <c r="L9" s="295">
        <f>SUM(L5:L8)</f>
        <v>5400000</v>
      </c>
      <c r="M9" s="104">
        <f t="shared" ref="M9:N9" si="9">SUM(M5:M8)</f>
        <v>5580000</v>
      </c>
      <c r="N9" s="104">
        <f t="shared" si="9"/>
        <v>718200</v>
      </c>
      <c r="O9" s="104">
        <f>SUM(O5:O8)</f>
        <v>6298200</v>
      </c>
      <c r="P9" s="104">
        <f>SUM(P5:P8)</f>
        <v>37789200</v>
      </c>
    </row>
    <row r="10" spans="1:16">
      <c r="D10" s="52"/>
      <c r="E10" s="52"/>
      <c r="F10" s="52"/>
      <c r="G10" s="52"/>
      <c r="H10" s="52"/>
      <c r="I10" s="52"/>
      <c r="J10" s="52"/>
      <c r="K10" s="52"/>
      <c r="L10" s="52"/>
      <c r="M10" s="52"/>
      <c r="N10" s="53"/>
      <c r="O10" s="52"/>
      <c r="P10" s="52"/>
    </row>
    <row r="11" spans="1:16">
      <c r="M11" s="412"/>
    </row>
    <row r="12" spans="1:16">
      <c r="I12" s="412"/>
      <c r="O12" s="7"/>
      <c r="P12" s="7"/>
    </row>
    <row r="13" spans="1:16">
      <c r="E13" s="411"/>
    </row>
  </sheetData>
  <mergeCells count="8">
    <mergeCell ref="J3:L3"/>
    <mergeCell ref="M3:P3"/>
    <mergeCell ref="A9:C9"/>
    <mergeCell ref="D3:F3"/>
    <mergeCell ref="G3:I3"/>
    <mergeCell ref="A3:A4"/>
    <mergeCell ref="C3:C4"/>
    <mergeCell ref="B3:B4"/>
  </mergeCells>
  <pageMargins left="0.7" right="0.7" top="0.75" bottom="0.75" header="0.3" footer="0.3"/>
  <pageSetup paperSize="9" orientation="portrait" r:id="rId1"/>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2:F21"/>
  <sheetViews>
    <sheetView workbookViewId="0">
      <selection activeCell="A11" sqref="A11"/>
    </sheetView>
  </sheetViews>
  <sheetFormatPr baseColWidth="10" defaultRowHeight="14.4"/>
  <cols>
    <col min="1" max="1" width="29.5546875" customWidth="1"/>
    <col min="3" max="3" width="23.88671875" customWidth="1"/>
    <col min="4" max="4" width="20.88671875" customWidth="1"/>
    <col min="5" max="5" width="20" customWidth="1"/>
    <col min="6" max="6" width="14.88671875" customWidth="1"/>
  </cols>
  <sheetData>
    <row r="2" spans="1:6" ht="34.950000000000003" customHeight="1">
      <c r="A2" s="504" t="s">
        <v>234</v>
      </c>
      <c r="B2" s="505"/>
      <c r="C2" s="506"/>
    </row>
    <row r="3" spans="1:6" ht="58.5" customHeight="1">
      <c r="A3" s="296" t="s">
        <v>36</v>
      </c>
      <c r="B3" s="296" t="s">
        <v>28</v>
      </c>
      <c r="C3" s="297" t="s">
        <v>235</v>
      </c>
    </row>
    <row r="4" spans="1:6" ht="28.8">
      <c r="A4" s="298" t="s">
        <v>37</v>
      </c>
      <c r="B4" s="299">
        <v>150</v>
      </c>
      <c r="C4" s="248">
        <f>+'2.1 ALIMENTACIÓN C.N. '!E26</f>
        <v>1336140000</v>
      </c>
      <c r="D4" s="248"/>
    </row>
    <row r="5" spans="1:6" ht="28.8">
      <c r="A5" s="298" t="s">
        <v>38</v>
      </c>
      <c r="B5" s="299">
        <v>8</v>
      </c>
      <c r="C5" s="248">
        <f>+'2.2 Personal C.N'!K6</f>
        <v>107320000.08</v>
      </c>
    </row>
    <row r="6" spans="1:6">
      <c r="A6" s="298" t="s">
        <v>208</v>
      </c>
      <c r="B6" s="299">
        <v>520</v>
      </c>
      <c r="C6" s="300">
        <v>24492000</v>
      </c>
      <c r="E6">
        <f>(7550+7500+8500)/3</f>
        <v>7850</v>
      </c>
    </row>
    <row r="7" spans="1:6" ht="28.8">
      <c r="A7" s="298" t="s">
        <v>39</v>
      </c>
      <c r="B7" s="299">
        <v>4</v>
      </c>
      <c r="C7" s="300">
        <f>+'2.3 Infraestructura C.N'!P9</f>
        <v>37789200</v>
      </c>
      <c r="E7">
        <f>E6*520*8</f>
        <v>32656000</v>
      </c>
    </row>
    <row r="8" spans="1:6">
      <c r="A8" s="507" t="s">
        <v>13</v>
      </c>
      <c r="B8" s="507"/>
      <c r="C8" s="301">
        <f>SUM(C4:C7)</f>
        <v>1505741200.0799999</v>
      </c>
      <c r="D8" s="8"/>
    </row>
    <row r="9" spans="1:6">
      <c r="C9" s="8"/>
      <c r="D9" s="1"/>
      <c r="E9" s="1"/>
      <c r="F9" s="1"/>
    </row>
    <row r="10" spans="1:6">
      <c r="C10" s="1"/>
      <c r="D10" s="1"/>
      <c r="E10" s="1"/>
    </row>
    <row r="11" spans="1:6">
      <c r="C11" s="78"/>
    </row>
    <row r="12" spans="1:6">
      <c r="C12" s="56"/>
      <c r="D12" s="56"/>
      <c r="E12" s="56"/>
    </row>
    <row r="13" spans="1:6">
      <c r="A13" s="75"/>
      <c r="C13" s="56"/>
      <c r="D13" s="56"/>
      <c r="E13" s="56"/>
    </row>
    <row r="18" spans="4:4">
      <c r="D18" s="150">
        <v>496693944.49000001</v>
      </c>
    </row>
    <row r="20" spans="4:4">
      <c r="D20" s="419">
        <v>2980163666.96</v>
      </c>
    </row>
    <row r="21" spans="4:4">
      <c r="D21" s="150">
        <f>D20-D18</f>
        <v>2483469722.4700003</v>
      </c>
    </row>
  </sheetData>
  <mergeCells count="2">
    <mergeCell ref="A2:C2"/>
    <mergeCell ref="A8:B8"/>
  </mergeCells>
  <pageMargins left="0.7" right="0.7" top="0.75" bottom="0.75" header="0.3" footer="0.3"/>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2:N29"/>
  <sheetViews>
    <sheetView topLeftCell="A25" workbookViewId="0">
      <selection activeCell="I25" sqref="I25"/>
    </sheetView>
  </sheetViews>
  <sheetFormatPr baseColWidth="10" defaultRowHeight="14.4"/>
  <cols>
    <col min="1" max="1" width="35.44140625" style="2" customWidth="1"/>
    <col min="2" max="2" width="9.44140625" style="2" customWidth="1"/>
    <col min="3" max="3" width="11.44140625" style="2" customWidth="1"/>
    <col min="4" max="4" width="14.88671875" style="24" customWidth="1"/>
    <col min="5" max="5" width="15.88671875" style="24" customWidth="1"/>
    <col min="6" max="6" width="17.5546875" style="24" customWidth="1"/>
    <col min="7" max="7" width="14.5546875" style="24" customWidth="1"/>
    <col min="8" max="8" width="18" style="24" customWidth="1"/>
    <col min="9" max="9" width="16.5546875" style="83" customWidth="1"/>
    <col min="10" max="10" width="16.88671875" style="76" bestFit="1" customWidth="1"/>
    <col min="11" max="11" width="13" bestFit="1" customWidth="1"/>
    <col min="14" max="14" width="12.5546875" bestFit="1" customWidth="1"/>
  </cols>
  <sheetData>
    <row r="2" spans="1:14" ht="27" customHeight="1" thickBot="1"/>
    <row r="3" spans="1:14" ht="37.5" customHeight="1">
      <c r="A3" s="508" t="s">
        <v>180</v>
      </c>
      <c r="B3" s="509"/>
      <c r="C3" s="509"/>
      <c r="D3" s="510"/>
      <c r="E3" s="510"/>
      <c r="F3" s="510"/>
      <c r="G3" s="510"/>
      <c r="H3" s="511"/>
    </row>
    <row r="4" spans="1:14" ht="57.6">
      <c r="A4" s="302" t="s">
        <v>40</v>
      </c>
      <c r="B4" s="303" t="s">
        <v>169</v>
      </c>
      <c r="C4" s="303" t="s">
        <v>28</v>
      </c>
      <c r="D4" s="304" t="s">
        <v>154</v>
      </c>
      <c r="E4" s="304" t="s">
        <v>210</v>
      </c>
      <c r="F4" s="304" t="s">
        <v>217</v>
      </c>
      <c r="G4" s="305" t="s">
        <v>181</v>
      </c>
      <c r="H4" s="306" t="s">
        <v>155</v>
      </c>
      <c r="I4" s="147"/>
    </row>
    <row r="5" spans="1:14" ht="86.4">
      <c r="A5" s="307" t="s">
        <v>41</v>
      </c>
      <c r="B5" s="308" t="s">
        <v>167</v>
      </c>
      <c r="C5" s="308">
        <v>1</v>
      </c>
      <c r="D5" s="309">
        <v>14200</v>
      </c>
      <c r="E5" s="309">
        <v>18500</v>
      </c>
      <c r="F5" s="309">
        <v>14100</v>
      </c>
      <c r="G5" s="309">
        <f>ROUND((D5+E5+F5)/3,2)</f>
        <v>15600</v>
      </c>
      <c r="H5" s="310">
        <f>ROUND((G5*30),2)</f>
        <v>468000</v>
      </c>
    </row>
    <row r="6" spans="1:14" ht="57.6">
      <c r="A6" s="311" t="s">
        <v>42</v>
      </c>
      <c r="B6" s="312">
        <f>+'3.1  Alimentación HG. '!J21</f>
        <v>0</v>
      </c>
      <c r="C6" s="308">
        <v>1</v>
      </c>
      <c r="D6" s="309">
        <v>6750</v>
      </c>
      <c r="E6" s="309">
        <v>8500</v>
      </c>
      <c r="F6" s="309">
        <v>6350</v>
      </c>
      <c r="G6" s="309">
        <f>ROUND((D6+E6+F6)/3,2)</f>
        <v>7200</v>
      </c>
      <c r="H6" s="310">
        <f>ROUND((G6*30),2)</f>
        <v>216000</v>
      </c>
    </row>
    <row r="7" spans="1:14" ht="115.2">
      <c r="A7" s="311" t="s">
        <v>148</v>
      </c>
      <c r="B7" s="308" t="s">
        <v>167</v>
      </c>
      <c r="C7" s="308">
        <v>1</v>
      </c>
      <c r="D7" s="309">
        <v>21800</v>
      </c>
      <c r="E7" s="309">
        <v>25000</v>
      </c>
      <c r="F7" s="309">
        <v>21500</v>
      </c>
      <c r="G7" s="309">
        <f t="shared" ref="G7:G9" si="0">ROUND((D7+E7+F7)/3,2)</f>
        <v>22766.67</v>
      </c>
      <c r="H7" s="310">
        <f>ROUND((G7*30),2)</f>
        <v>683000.1</v>
      </c>
    </row>
    <row r="8" spans="1:14" ht="72">
      <c r="A8" s="311" t="s">
        <v>43</v>
      </c>
      <c r="B8" s="308" t="s">
        <v>167</v>
      </c>
      <c r="C8" s="308">
        <v>1</v>
      </c>
      <c r="D8" s="309">
        <v>6750</v>
      </c>
      <c r="E8" s="309">
        <v>8500</v>
      </c>
      <c r="F8" s="309">
        <v>6350</v>
      </c>
      <c r="G8" s="309">
        <f t="shared" si="0"/>
        <v>7200</v>
      </c>
      <c r="H8" s="310">
        <f t="shared" ref="H8:H9" si="1">ROUND((G8*30),2)</f>
        <v>216000</v>
      </c>
      <c r="J8" s="227"/>
      <c r="K8" s="2"/>
    </row>
    <row r="9" spans="1:14" ht="100.8">
      <c r="A9" s="311" t="s">
        <v>149</v>
      </c>
      <c r="B9" s="308" t="s">
        <v>167</v>
      </c>
      <c r="C9" s="308">
        <v>1</v>
      </c>
      <c r="D9" s="309">
        <v>17500</v>
      </c>
      <c r="E9" s="309">
        <v>21500</v>
      </c>
      <c r="F9" s="309">
        <v>17200</v>
      </c>
      <c r="G9" s="309">
        <f t="shared" si="0"/>
        <v>18733.330000000002</v>
      </c>
      <c r="H9" s="310">
        <f t="shared" si="1"/>
        <v>561999.9</v>
      </c>
    </row>
    <row r="10" spans="1:14" ht="15" thickBot="1">
      <c r="A10" s="313" t="s">
        <v>13</v>
      </c>
      <c r="B10" s="314"/>
      <c r="C10" s="314"/>
      <c r="D10" s="315">
        <f>D9+D8+D7+D6+D5</f>
        <v>67000</v>
      </c>
      <c r="E10" s="315">
        <f>E9+E8+E7+E6+E5</f>
        <v>82000</v>
      </c>
      <c r="F10" s="315">
        <f>F9+F8+F7+F6+F5</f>
        <v>65500</v>
      </c>
      <c r="G10" s="315">
        <f>SUM(G5:G9)</f>
        <v>71500</v>
      </c>
      <c r="H10" s="315">
        <f>H9+H8+H7+H6+H5</f>
        <v>2145000</v>
      </c>
      <c r="I10" s="105"/>
    </row>
    <row r="11" spans="1:14">
      <c r="D11" s="58"/>
      <c r="E11" s="58"/>
      <c r="F11" s="58"/>
      <c r="G11" s="58"/>
      <c r="H11" s="58"/>
      <c r="N11" s="56"/>
    </row>
    <row r="12" spans="1:14">
      <c r="F12" s="60"/>
      <c r="G12" s="60"/>
      <c r="H12" s="60"/>
      <c r="N12" s="56"/>
    </row>
    <row r="13" spans="1:14" ht="15" thickBot="1"/>
    <row r="14" spans="1:14" ht="41.25" customHeight="1">
      <c r="A14" s="508" t="s">
        <v>153</v>
      </c>
      <c r="B14" s="509"/>
      <c r="C14" s="509"/>
      <c r="D14" s="510"/>
      <c r="E14" s="510"/>
      <c r="F14" s="511"/>
    </row>
    <row r="15" spans="1:14" ht="21.6">
      <c r="A15" s="44" t="s">
        <v>40</v>
      </c>
      <c r="B15" s="175"/>
      <c r="C15" s="175"/>
      <c r="D15" s="249" t="s">
        <v>14</v>
      </c>
      <c r="E15" s="249" t="s">
        <v>223</v>
      </c>
      <c r="F15" s="250" t="s">
        <v>224</v>
      </c>
    </row>
    <row r="16" spans="1:14" ht="42">
      <c r="A16" s="45" t="s">
        <v>41</v>
      </c>
      <c r="B16" s="176"/>
      <c r="C16" s="176"/>
      <c r="D16" s="61">
        <f>G5</f>
        <v>15600</v>
      </c>
      <c r="E16" s="415">
        <f>ROUND((+D16*180),2)</f>
        <v>2808000</v>
      </c>
      <c r="F16" s="417">
        <f>ROUND((+E16*40),2)</f>
        <v>112320000</v>
      </c>
      <c r="G16" s="58"/>
      <c r="H16">
        <f>30*8</f>
        <v>240</v>
      </c>
    </row>
    <row r="17" spans="1:11" ht="31.8">
      <c r="A17" s="37" t="s">
        <v>42</v>
      </c>
      <c r="B17" s="177"/>
      <c r="C17" s="177"/>
      <c r="D17" s="61">
        <f>G6</f>
        <v>7200</v>
      </c>
      <c r="E17" s="415">
        <f>ROUND((+D17*180),2)</f>
        <v>1296000</v>
      </c>
      <c r="F17" s="417">
        <f t="shared" ref="F17:F20" si="2">ROUND((+E17*40),2)</f>
        <v>51840000</v>
      </c>
    </row>
    <row r="18" spans="1:11" ht="62.4">
      <c r="A18" s="37" t="s">
        <v>148</v>
      </c>
      <c r="B18" s="177"/>
      <c r="C18" s="177"/>
      <c r="D18" s="415">
        <f>G7</f>
        <v>22766.67</v>
      </c>
      <c r="E18" s="415">
        <f>ROUND((+D18*180),2)</f>
        <v>4098000.6</v>
      </c>
      <c r="F18" s="417">
        <f t="shared" si="2"/>
        <v>163920024</v>
      </c>
      <c r="H18" s="413"/>
    </row>
    <row r="19" spans="1:11" ht="42">
      <c r="A19" s="37" t="s">
        <v>43</v>
      </c>
      <c r="B19" s="177"/>
      <c r="C19" s="177"/>
      <c r="D19" s="61">
        <f>G8</f>
        <v>7200</v>
      </c>
      <c r="E19" s="415">
        <f>ROUND((+D19*180),2)</f>
        <v>1296000</v>
      </c>
      <c r="F19" s="417">
        <f t="shared" si="2"/>
        <v>51840000</v>
      </c>
      <c r="G19" s="62"/>
      <c r="H19" s="62"/>
    </row>
    <row r="20" spans="1:11" ht="52.2">
      <c r="A20" s="37" t="s">
        <v>149</v>
      </c>
      <c r="B20" s="177"/>
      <c r="C20" s="177"/>
      <c r="D20" s="415">
        <f>G9</f>
        <v>18733.330000000002</v>
      </c>
      <c r="E20" s="415">
        <f>ROUND((+D20*180),2)</f>
        <v>3371999.4</v>
      </c>
      <c r="F20" s="417">
        <f t="shared" si="2"/>
        <v>134879976</v>
      </c>
      <c r="G20" s="62"/>
      <c r="H20" s="62"/>
    </row>
    <row r="21" spans="1:11" ht="15" thickBot="1">
      <c r="A21" s="38" t="s">
        <v>13</v>
      </c>
      <c r="B21" s="178"/>
      <c r="C21" s="178"/>
      <c r="D21" s="63">
        <f>SUM(D16:D20)</f>
        <v>71500</v>
      </c>
      <c r="E21" s="416">
        <f>SUM(E16:E20)</f>
        <v>12870000</v>
      </c>
      <c r="F21" s="416">
        <f>SUM(F16:F20)</f>
        <v>514800000</v>
      </c>
      <c r="G21" s="62"/>
    </row>
    <row r="22" spans="1:11" ht="48.75" customHeight="1" thickBot="1">
      <c r="D22" s="58"/>
      <c r="E22" s="58"/>
      <c r="F22" s="58"/>
      <c r="K22" s="9"/>
    </row>
    <row r="23" spans="1:11" s="75" customFormat="1" ht="31.5" customHeight="1">
      <c r="A23" s="512" t="s">
        <v>225</v>
      </c>
      <c r="B23" s="513"/>
      <c r="C23" s="513"/>
      <c r="D23" s="514"/>
      <c r="E23" s="514"/>
      <c r="F23" s="514"/>
      <c r="G23" s="514"/>
      <c r="H23" s="515"/>
      <c r="I23" s="148"/>
      <c r="J23" s="228"/>
    </row>
    <row r="24" spans="1:11" s="75" customFormat="1" ht="43.2">
      <c r="A24" s="106" t="s">
        <v>16</v>
      </c>
      <c r="B24" s="179"/>
      <c r="C24" s="179"/>
      <c r="D24" s="107" t="s">
        <v>44</v>
      </c>
      <c r="E24" s="108" t="s">
        <v>45</v>
      </c>
      <c r="F24" s="108" t="s">
        <v>46</v>
      </c>
      <c r="G24" s="108" t="s">
        <v>47</v>
      </c>
      <c r="H24" s="109" t="s">
        <v>243</v>
      </c>
      <c r="I24" s="148"/>
      <c r="J24" s="228"/>
    </row>
    <row r="25" spans="1:11" s="75" customFormat="1" ht="115.8" thickBot="1">
      <c r="A25" s="110" t="s">
        <v>15</v>
      </c>
      <c r="B25" s="180"/>
      <c r="C25" s="180"/>
      <c r="D25" s="111">
        <v>40</v>
      </c>
      <c r="E25" s="112">
        <f>G10</f>
        <v>71500</v>
      </c>
      <c r="F25" s="112">
        <f>+E25*D25</f>
        <v>2860000</v>
      </c>
      <c r="G25" s="112">
        <f>F25*30</f>
        <v>85800000</v>
      </c>
      <c r="H25" s="113">
        <f>+F25*180</f>
        <v>514800000</v>
      </c>
      <c r="I25" s="148"/>
      <c r="J25" s="228"/>
    </row>
    <row r="29" spans="1:11">
      <c r="F29" s="58"/>
    </row>
  </sheetData>
  <mergeCells count="3">
    <mergeCell ref="A3:H3"/>
    <mergeCell ref="A14:F14"/>
    <mergeCell ref="A23:H23"/>
  </mergeCells>
  <pageMargins left="0.7" right="0.7" top="0.75" bottom="0.75" header="0.3" footer="0.3"/>
  <pageSetup orientation="portrait" r:id="rId1"/>
  <legacy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2:Q66"/>
  <sheetViews>
    <sheetView topLeftCell="A67" zoomScale="120" zoomScaleNormal="120" workbookViewId="0">
      <selection activeCell="M15" sqref="M15"/>
    </sheetView>
  </sheetViews>
  <sheetFormatPr baseColWidth="10" defaultRowHeight="14.4"/>
  <cols>
    <col min="1" max="1" width="27.44140625" customWidth="1"/>
    <col min="2" max="2" width="6.5546875" customWidth="1"/>
    <col min="3" max="3" width="8.6640625" style="80" customWidth="1"/>
    <col min="4" max="4" width="16.6640625" style="80" bestFit="1" customWidth="1"/>
    <col min="5" max="5" width="14.5546875" customWidth="1"/>
    <col min="6" max="6" width="16.6640625" customWidth="1"/>
    <col min="7" max="7" width="20.44140625" customWidth="1"/>
    <col min="8" max="8" width="11.6640625" customWidth="1"/>
    <col min="9" max="9" width="10.6640625" customWidth="1"/>
    <col min="10" max="10" width="11.44140625" customWidth="1"/>
    <col min="11" max="11" width="8.5546875" customWidth="1"/>
    <col min="12" max="12" width="8.44140625" customWidth="1"/>
    <col min="13" max="13" width="11.5546875" customWidth="1"/>
    <col min="14" max="14" width="10.5546875" customWidth="1"/>
    <col min="15" max="15" width="9.88671875" customWidth="1"/>
    <col min="16" max="16" width="10.88671875" customWidth="1"/>
    <col min="17" max="17" width="12" bestFit="1" customWidth="1"/>
    <col min="18" max="18" width="13" bestFit="1" customWidth="1"/>
  </cols>
  <sheetData>
    <row r="2" spans="1:16">
      <c r="A2" s="3" t="s">
        <v>48</v>
      </c>
      <c r="B2" s="3"/>
    </row>
    <row r="3" spans="1:16" ht="15" thickBot="1"/>
    <row r="4" spans="1:16" ht="15" customHeight="1">
      <c r="A4" s="535" t="s">
        <v>49</v>
      </c>
      <c r="B4" s="533" t="s">
        <v>169</v>
      </c>
      <c r="C4" s="537" t="s">
        <v>28</v>
      </c>
      <c r="D4" s="520" t="s">
        <v>154</v>
      </c>
      <c r="E4" s="521"/>
      <c r="F4" s="522"/>
      <c r="G4" s="518" t="s">
        <v>210</v>
      </c>
      <c r="H4" s="518"/>
      <c r="I4" s="518"/>
      <c r="J4" s="518" t="s">
        <v>209</v>
      </c>
      <c r="K4" s="518"/>
      <c r="L4" s="518"/>
      <c r="M4" s="518" t="s">
        <v>34</v>
      </c>
      <c r="N4" s="518"/>
      <c r="O4" s="519"/>
    </row>
    <row r="5" spans="1:16" ht="41.25" customHeight="1">
      <c r="A5" s="536"/>
      <c r="B5" s="534"/>
      <c r="C5" s="538"/>
      <c r="D5" s="317" t="s">
        <v>29</v>
      </c>
      <c r="E5" s="318" t="s">
        <v>30</v>
      </c>
      <c r="F5" s="319" t="s">
        <v>31</v>
      </c>
      <c r="G5" s="319" t="s">
        <v>29</v>
      </c>
      <c r="H5" s="316" t="s">
        <v>30</v>
      </c>
      <c r="I5" s="319" t="s">
        <v>31</v>
      </c>
      <c r="J5" s="319" t="s">
        <v>51</v>
      </c>
      <c r="K5" s="316" t="s">
        <v>30</v>
      </c>
      <c r="L5" s="319" t="s">
        <v>52</v>
      </c>
      <c r="M5" s="319" t="s">
        <v>53</v>
      </c>
      <c r="N5" s="319" t="s">
        <v>32</v>
      </c>
      <c r="O5" s="320" t="s">
        <v>33</v>
      </c>
    </row>
    <row r="6" spans="1:16">
      <c r="A6" s="321" t="s">
        <v>54</v>
      </c>
      <c r="B6" s="322" t="s">
        <v>167</v>
      </c>
      <c r="C6" s="323">
        <v>1</v>
      </c>
      <c r="D6" s="324">
        <v>4000</v>
      </c>
      <c r="E6" s="325">
        <f>ROUND((D6*19%),2)</f>
        <v>760</v>
      </c>
      <c r="F6" s="324">
        <f>ROUND((D6+E6),2)</f>
        <v>4760</v>
      </c>
      <c r="G6" s="325">
        <v>4000</v>
      </c>
      <c r="H6" s="325">
        <f>ROUND((G6*19%),2)</f>
        <v>760</v>
      </c>
      <c r="I6" s="325">
        <f>ROUND((G6+H6),2)</f>
        <v>4760</v>
      </c>
      <c r="J6" s="324">
        <v>4200</v>
      </c>
      <c r="K6" s="324"/>
      <c r="L6" s="324">
        <f>ROUND((J6+K6),2)</f>
        <v>4200</v>
      </c>
      <c r="M6" s="324">
        <f>ROUND((D6+G6+J6)/3,2)</f>
        <v>4066.67</v>
      </c>
      <c r="N6" s="324">
        <f>ROUND((E6+H6+K6)/3,2)</f>
        <v>506.67</v>
      </c>
      <c r="O6" s="326">
        <f>ROUND((F6+I6+L6)/3,2)</f>
        <v>4573.33</v>
      </c>
      <c r="P6" s="411"/>
    </row>
    <row r="7" spans="1:16">
      <c r="A7" s="321" t="s">
        <v>55</v>
      </c>
      <c r="B7" s="322" t="s">
        <v>167</v>
      </c>
      <c r="C7" s="323">
        <v>1</v>
      </c>
      <c r="D7" s="324">
        <v>8200</v>
      </c>
      <c r="E7" s="325">
        <f t="shared" ref="E7:E16" si="0">ROUND((D7*19%),2)</f>
        <v>1558</v>
      </c>
      <c r="F7" s="324">
        <f t="shared" ref="F7:F16" si="1">ROUND((D7+E7),2)</f>
        <v>9758</v>
      </c>
      <c r="G7" s="325">
        <v>9000</v>
      </c>
      <c r="H7" s="325">
        <f t="shared" ref="H7:H16" si="2">ROUND((G7*19%),2)</f>
        <v>1710</v>
      </c>
      <c r="I7" s="325">
        <f t="shared" ref="I7:I16" si="3">ROUND((G7+H7),2)</f>
        <v>10710</v>
      </c>
      <c r="J7" s="324">
        <v>8800</v>
      </c>
      <c r="K7" s="324"/>
      <c r="L7" s="324">
        <f t="shared" ref="L7:L16" si="4">ROUND((J7+K7),2)</f>
        <v>8800</v>
      </c>
      <c r="M7" s="324">
        <f t="shared" ref="M7:M16" si="5">ROUND((D7+G7+J7)/3,2)</f>
        <v>8666.67</v>
      </c>
      <c r="N7" s="324">
        <f t="shared" ref="N7:N16" si="6">ROUND((E7+H7+K7)/3,2)</f>
        <v>1089.33</v>
      </c>
      <c r="O7" s="326">
        <f t="shared" ref="O7:O16" si="7">ROUND((F7+I7+L7)/3,2)</f>
        <v>9756</v>
      </c>
      <c r="P7" s="411"/>
    </row>
    <row r="8" spans="1:16">
      <c r="A8" s="321" t="s">
        <v>56</v>
      </c>
      <c r="B8" s="322" t="s">
        <v>167</v>
      </c>
      <c r="C8" s="323">
        <v>1</v>
      </c>
      <c r="D8" s="324">
        <v>6500</v>
      </c>
      <c r="E8" s="325">
        <f t="shared" si="0"/>
        <v>1235</v>
      </c>
      <c r="F8" s="324">
        <f t="shared" si="1"/>
        <v>7735</v>
      </c>
      <c r="G8" s="325">
        <v>7000</v>
      </c>
      <c r="H8" s="325">
        <f t="shared" si="2"/>
        <v>1330</v>
      </c>
      <c r="I8" s="325">
        <f t="shared" si="3"/>
        <v>8330</v>
      </c>
      <c r="J8" s="324">
        <v>7500</v>
      </c>
      <c r="K8" s="324"/>
      <c r="L8" s="324">
        <f t="shared" si="4"/>
        <v>7500</v>
      </c>
      <c r="M8" s="324">
        <f t="shared" si="5"/>
        <v>7000</v>
      </c>
      <c r="N8" s="324">
        <f t="shared" si="6"/>
        <v>855</v>
      </c>
      <c r="O8" s="326">
        <f t="shared" si="7"/>
        <v>7855</v>
      </c>
      <c r="P8" s="411"/>
    </row>
    <row r="9" spans="1:16">
      <c r="A9" s="321" t="s">
        <v>157</v>
      </c>
      <c r="B9" s="322" t="s">
        <v>167</v>
      </c>
      <c r="C9" s="323">
        <v>1</v>
      </c>
      <c r="D9" s="324">
        <v>23000</v>
      </c>
      <c r="E9" s="325">
        <f t="shared" si="0"/>
        <v>4370</v>
      </c>
      <c r="F9" s="324">
        <f t="shared" si="1"/>
        <v>27370</v>
      </c>
      <c r="G9" s="325">
        <v>29000</v>
      </c>
      <c r="H9" s="325">
        <f t="shared" si="2"/>
        <v>5510</v>
      </c>
      <c r="I9" s="325">
        <f t="shared" si="3"/>
        <v>34510</v>
      </c>
      <c r="J9" s="324">
        <v>26200</v>
      </c>
      <c r="K9" s="324"/>
      <c r="L9" s="324">
        <f t="shared" si="4"/>
        <v>26200</v>
      </c>
      <c r="M9" s="324">
        <f t="shared" si="5"/>
        <v>26066.67</v>
      </c>
      <c r="N9" s="324">
        <f t="shared" si="6"/>
        <v>3293.33</v>
      </c>
      <c r="O9" s="326">
        <f t="shared" si="7"/>
        <v>29360</v>
      </c>
      <c r="P9" s="411"/>
    </row>
    <row r="10" spans="1:16">
      <c r="A10" s="321" t="s">
        <v>57</v>
      </c>
      <c r="B10" s="322" t="s">
        <v>167</v>
      </c>
      <c r="C10" s="323">
        <v>1</v>
      </c>
      <c r="D10" s="324">
        <v>2000</v>
      </c>
      <c r="E10" s="325">
        <f t="shared" si="0"/>
        <v>380</v>
      </c>
      <c r="F10" s="324">
        <f t="shared" si="1"/>
        <v>2380</v>
      </c>
      <c r="G10" s="325">
        <v>2350</v>
      </c>
      <c r="H10" s="325">
        <f t="shared" si="2"/>
        <v>446.5</v>
      </c>
      <c r="I10" s="325">
        <f t="shared" si="3"/>
        <v>2796.5</v>
      </c>
      <c r="J10" s="324">
        <v>2000</v>
      </c>
      <c r="K10" s="324"/>
      <c r="L10" s="324">
        <f t="shared" si="4"/>
        <v>2000</v>
      </c>
      <c r="M10" s="324">
        <f t="shared" si="5"/>
        <v>2116.67</v>
      </c>
      <c r="N10" s="324">
        <f t="shared" si="6"/>
        <v>275.5</v>
      </c>
      <c r="O10" s="326">
        <f t="shared" si="7"/>
        <v>2392.17</v>
      </c>
      <c r="P10" s="411"/>
    </row>
    <row r="11" spans="1:16">
      <c r="A11" s="321" t="s">
        <v>58</v>
      </c>
      <c r="B11" s="322" t="s">
        <v>167</v>
      </c>
      <c r="C11" s="323">
        <v>1</v>
      </c>
      <c r="D11" s="324">
        <v>9000</v>
      </c>
      <c r="E11" s="325">
        <f t="shared" si="0"/>
        <v>1710</v>
      </c>
      <c r="F11" s="324">
        <f t="shared" si="1"/>
        <v>10710</v>
      </c>
      <c r="G11" s="325">
        <v>8000</v>
      </c>
      <c r="H11" s="325">
        <f t="shared" si="2"/>
        <v>1520</v>
      </c>
      <c r="I11" s="325">
        <f t="shared" si="3"/>
        <v>9520</v>
      </c>
      <c r="J11" s="324">
        <v>9000</v>
      </c>
      <c r="K11" s="324"/>
      <c r="L11" s="324">
        <f t="shared" si="4"/>
        <v>9000</v>
      </c>
      <c r="M11" s="324">
        <f t="shared" si="5"/>
        <v>8666.67</v>
      </c>
      <c r="N11" s="324">
        <f t="shared" si="6"/>
        <v>1076.67</v>
      </c>
      <c r="O11" s="326">
        <f t="shared" si="7"/>
        <v>9743.33</v>
      </c>
      <c r="P11" s="411"/>
    </row>
    <row r="12" spans="1:16">
      <c r="A12" s="321" t="s">
        <v>59</v>
      </c>
      <c r="B12" s="322" t="s">
        <v>167</v>
      </c>
      <c r="C12" s="323">
        <v>1</v>
      </c>
      <c r="D12" s="324">
        <v>5000</v>
      </c>
      <c r="E12" s="325">
        <f t="shared" si="0"/>
        <v>950</v>
      </c>
      <c r="F12" s="324">
        <f t="shared" si="1"/>
        <v>5950</v>
      </c>
      <c r="G12" s="325">
        <v>5000</v>
      </c>
      <c r="H12" s="325">
        <f t="shared" si="2"/>
        <v>950</v>
      </c>
      <c r="I12" s="325">
        <f t="shared" si="3"/>
        <v>5950</v>
      </c>
      <c r="J12" s="324">
        <v>5500</v>
      </c>
      <c r="K12" s="324"/>
      <c r="L12" s="324">
        <f t="shared" si="4"/>
        <v>5500</v>
      </c>
      <c r="M12" s="324">
        <f t="shared" si="5"/>
        <v>5166.67</v>
      </c>
      <c r="N12" s="324">
        <f t="shared" si="6"/>
        <v>633.33000000000004</v>
      </c>
      <c r="O12" s="326">
        <f t="shared" si="7"/>
        <v>5800</v>
      </c>
      <c r="P12" s="411"/>
    </row>
    <row r="13" spans="1:16">
      <c r="A13" s="321" t="s">
        <v>60</v>
      </c>
      <c r="B13" s="322" t="s">
        <v>167</v>
      </c>
      <c r="C13" s="323">
        <v>1</v>
      </c>
      <c r="D13" s="324">
        <v>13200</v>
      </c>
      <c r="E13" s="325">
        <f t="shared" si="0"/>
        <v>2508</v>
      </c>
      <c r="F13" s="324">
        <f t="shared" si="1"/>
        <v>15708</v>
      </c>
      <c r="G13" s="325">
        <v>13000</v>
      </c>
      <c r="H13" s="325">
        <f t="shared" si="2"/>
        <v>2470</v>
      </c>
      <c r="I13" s="325">
        <f t="shared" si="3"/>
        <v>15470</v>
      </c>
      <c r="J13" s="324">
        <v>14000</v>
      </c>
      <c r="K13" s="324"/>
      <c r="L13" s="324">
        <f t="shared" si="4"/>
        <v>14000</v>
      </c>
      <c r="M13" s="324">
        <f t="shared" si="5"/>
        <v>13400</v>
      </c>
      <c r="N13" s="324">
        <f t="shared" si="6"/>
        <v>1659.33</v>
      </c>
      <c r="O13" s="326">
        <f t="shared" si="7"/>
        <v>15059.33</v>
      </c>
      <c r="P13" s="411"/>
    </row>
    <row r="14" spans="1:16" ht="21.6">
      <c r="A14" s="321" t="s">
        <v>61</v>
      </c>
      <c r="B14" s="322" t="s">
        <v>167</v>
      </c>
      <c r="C14" s="323">
        <v>1</v>
      </c>
      <c r="D14" s="324">
        <v>7200</v>
      </c>
      <c r="E14" s="325">
        <f t="shared" si="0"/>
        <v>1368</v>
      </c>
      <c r="F14" s="324">
        <f t="shared" si="1"/>
        <v>8568</v>
      </c>
      <c r="G14" s="325">
        <v>7200</v>
      </c>
      <c r="H14" s="325">
        <f t="shared" si="2"/>
        <v>1368</v>
      </c>
      <c r="I14" s="325">
        <f t="shared" si="3"/>
        <v>8568</v>
      </c>
      <c r="J14" s="324">
        <v>8000</v>
      </c>
      <c r="K14" s="324"/>
      <c r="L14" s="324">
        <f t="shared" si="4"/>
        <v>8000</v>
      </c>
      <c r="M14" s="324">
        <f t="shared" si="5"/>
        <v>7466.67</v>
      </c>
      <c r="N14" s="324">
        <f t="shared" si="6"/>
        <v>912</v>
      </c>
      <c r="O14" s="326">
        <f t="shared" si="7"/>
        <v>8378.67</v>
      </c>
      <c r="P14" s="411"/>
    </row>
    <row r="15" spans="1:16">
      <c r="A15" s="327" t="s">
        <v>116</v>
      </c>
      <c r="B15" s="322" t="s">
        <v>167</v>
      </c>
      <c r="C15" s="328">
        <v>2</v>
      </c>
      <c r="D15" s="329">
        <v>7000</v>
      </c>
      <c r="E15" s="325">
        <f t="shared" si="0"/>
        <v>1330</v>
      </c>
      <c r="F15" s="324">
        <f t="shared" si="1"/>
        <v>8330</v>
      </c>
      <c r="G15" s="330">
        <v>9000</v>
      </c>
      <c r="H15" s="325">
        <f t="shared" si="2"/>
        <v>1710</v>
      </c>
      <c r="I15" s="325">
        <f t="shared" si="3"/>
        <v>10710</v>
      </c>
      <c r="J15" s="329">
        <v>9000</v>
      </c>
      <c r="K15" s="324"/>
      <c r="L15" s="324">
        <f t="shared" si="4"/>
        <v>9000</v>
      </c>
      <c r="M15" s="324">
        <f t="shared" si="5"/>
        <v>8333.33</v>
      </c>
      <c r="N15" s="324">
        <f t="shared" si="6"/>
        <v>1013.33</v>
      </c>
      <c r="O15" s="326">
        <f t="shared" si="7"/>
        <v>9346.67</v>
      </c>
      <c r="P15" s="411"/>
    </row>
    <row r="16" spans="1:16">
      <c r="A16" s="327" t="s">
        <v>117</v>
      </c>
      <c r="B16" s="322" t="s">
        <v>167</v>
      </c>
      <c r="C16" s="328">
        <v>1</v>
      </c>
      <c r="D16" s="329">
        <v>7200</v>
      </c>
      <c r="E16" s="325">
        <f t="shared" si="0"/>
        <v>1368</v>
      </c>
      <c r="F16" s="324">
        <f t="shared" si="1"/>
        <v>8568</v>
      </c>
      <c r="G16" s="330">
        <v>6500</v>
      </c>
      <c r="H16" s="325">
        <f t="shared" si="2"/>
        <v>1235</v>
      </c>
      <c r="I16" s="325">
        <f t="shared" si="3"/>
        <v>7735</v>
      </c>
      <c r="J16" s="329">
        <v>7200</v>
      </c>
      <c r="K16" s="324"/>
      <c r="L16" s="324">
        <f t="shared" si="4"/>
        <v>7200</v>
      </c>
      <c r="M16" s="324">
        <f t="shared" si="5"/>
        <v>6966.67</v>
      </c>
      <c r="N16" s="324">
        <f t="shared" si="6"/>
        <v>867.67</v>
      </c>
      <c r="O16" s="326">
        <f t="shared" si="7"/>
        <v>7834.33</v>
      </c>
      <c r="P16" s="411"/>
    </row>
    <row r="17" spans="1:17" ht="15" thickBot="1">
      <c r="A17" s="331"/>
      <c r="B17" s="332"/>
      <c r="C17" s="333" t="s">
        <v>13</v>
      </c>
      <c r="D17" s="334"/>
      <c r="E17" s="334"/>
      <c r="F17" s="334">
        <f>SUM(F6:F16)</f>
        <v>109837</v>
      </c>
      <c r="G17" s="334"/>
      <c r="H17" s="334"/>
      <c r="I17" s="334">
        <f>SUM(I6:I16)</f>
        <v>119059.5</v>
      </c>
      <c r="J17" s="334"/>
      <c r="K17" s="334"/>
      <c r="L17" s="334">
        <f>SUM(L6:L16)</f>
        <v>101400</v>
      </c>
      <c r="M17" s="334"/>
      <c r="N17" s="334"/>
      <c r="O17" s="335">
        <f>SUM(O6:O16)</f>
        <v>110098.83</v>
      </c>
      <c r="P17" s="418"/>
    </row>
    <row r="18" spans="1:17">
      <c r="D18" s="11"/>
      <c r="E18" s="11"/>
      <c r="F18" s="11"/>
      <c r="G18" s="11"/>
      <c r="H18" s="11"/>
      <c r="I18" s="11"/>
      <c r="J18" s="11"/>
      <c r="K18" s="11"/>
      <c r="L18" s="11"/>
      <c r="M18" s="11"/>
      <c r="N18" s="11"/>
      <c r="O18" s="11"/>
      <c r="P18" s="8"/>
    </row>
    <row r="19" spans="1:17" ht="15" thickBot="1">
      <c r="D19" s="8"/>
      <c r="E19" s="8"/>
      <c r="F19" s="8"/>
      <c r="G19" s="8"/>
      <c r="H19" s="8"/>
      <c r="I19" s="8"/>
      <c r="K19" s="11"/>
      <c r="L19" s="11"/>
      <c r="M19" s="11"/>
      <c r="N19" s="11"/>
      <c r="O19" s="9"/>
      <c r="P19" s="9"/>
      <c r="Q19" s="9"/>
    </row>
    <row r="20" spans="1:17" ht="72">
      <c r="A20" s="14" t="s">
        <v>76</v>
      </c>
      <c r="B20" s="181"/>
      <c r="C20" s="153" t="s">
        <v>63</v>
      </c>
      <c r="D20" s="20" t="s">
        <v>33</v>
      </c>
      <c r="E20" s="21" t="s">
        <v>118</v>
      </c>
      <c r="F20" s="8"/>
      <c r="G20" s="8"/>
      <c r="H20" s="8"/>
      <c r="I20" s="8"/>
      <c r="O20" s="9"/>
    </row>
    <row r="21" spans="1:17" ht="43.8" thickBot="1">
      <c r="A21" s="18" t="s">
        <v>126</v>
      </c>
      <c r="B21" s="174"/>
      <c r="C21" s="186">
        <v>23</v>
      </c>
      <c r="D21" s="68">
        <f>O17</f>
        <v>110098.83</v>
      </c>
      <c r="E21" s="79">
        <f>ROUND((D21*C21),2)</f>
        <v>2532273.09</v>
      </c>
      <c r="F21" s="9"/>
      <c r="L21" s="8"/>
      <c r="N21" s="9"/>
    </row>
    <row r="22" spans="1:17" ht="15" thickBot="1">
      <c r="D22"/>
    </row>
    <row r="23" spans="1:17" ht="86.4">
      <c r="A23" s="257" t="s">
        <v>238</v>
      </c>
      <c r="B23" s="181"/>
      <c r="C23" s="153" t="s">
        <v>63</v>
      </c>
      <c r="D23" s="20" t="s">
        <v>33</v>
      </c>
      <c r="E23" s="20" t="s">
        <v>119</v>
      </c>
      <c r="F23" s="21" t="s">
        <v>237</v>
      </c>
    </row>
    <row r="24" spans="1:17" ht="43.8" thickBot="1">
      <c r="A24" s="18" t="s">
        <v>77</v>
      </c>
      <c r="B24" s="174"/>
      <c r="C24" s="186">
        <v>23</v>
      </c>
      <c r="D24" s="68">
        <f>ROUND((O6+O7+O8+O9+O10+O11+O13+O14+O15+O16),2)</f>
        <v>104298.83</v>
      </c>
      <c r="E24" s="139">
        <f>ROUND((D24*C24),2)</f>
        <v>2398873.09</v>
      </c>
      <c r="F24" s="79">
        <f>ROUND((E24*5),2)</f>
        <v>11994365.449999999</v>
      </c>
      <c r="G24" s="9"/>
      <c r="H24" s="9"/>
    </row>
    <row r="25" spans="1:17">
      <c r="D25"/>
    </row>
    <row r="26" spans="1:17" ht="55.2">
      <c r="A26" s="47" t="s">
        <v>78</v>
      </c>
      <c r="B26" s="47"/>
      <c r="C26" s="187" t="s">
        <v>63</v>
      </c>
      <c r="D26" s="47" t="s">
        <v>120</v>
      </c>
    </row>
    <row r="27" spans="1:17" ht="27.6">
      <c r="A27" s="48" t="s">
        <v>62</v>
      </c>
      <c r="B27" s="48"/>
      <c r="C27" s="188">
        <v>23</v>
      </c>
      <c r="D27" s="70">
        <f>ROUND((F24+E21),2)</f>
        <v>14526638.539999999</v>
      </c>
      <c r="E27" s="9"/>
    </row>
    <row r="28" spans="1:17">
      <c r="D28"/>
    </row>
    <row r="29" spans="1:17">
      <c r="D29"/>
    </row>
    <row r="30" spans="1:17">
      <c r="A30" t="s">
        <v>215</v>
      </c>
      <c r="D30"/>
    </row>
    <row r="31" spans="1:17" ht="15" thickBot="1">
      <c r="D31"/>
    </row>
    <row r="32" spans="1:17" s="162" customFormat="1" ht="30" customHeight="1">
      <c r="A32" s="539" t="s">
        <v>89</v>
      </c>
      <c r="B32" s="533" t="s">
        <v>169</v>
      </c>
      <c r="C32" s="541" t="s">
        <v>28</v>
      </c>
      <c r="D32" s="523" t="str">
        <f>+D4</f>
        <v>PROPACHAMAMA</v>
      </c>
      <c r="E32" s="524"/>
      <c r="F32" s="525"/>
      <c r="G32" s="526" t="str">
        <f>+G4</f>
        <v>CAFAMI</v>
      </c>
      <c r="H32" s="526"/>
      <c r="I32" s="526"/>
      <c r="J32" s="526" t="str">
        <f>+J4</f>
        <v>CORPORACION TERNURA</v>
      </c>
      <c r="K32" s="526"/>
      <c r="L32" s="526"/>
      <c r="M32" s="516" t="s">
        <v>182</v>
      </c>
      <c r="N32" s="516"/>
      <c r="O32" s="517"/>
    </row>
    <row r="33" spans="1:16" s="162" customFormat="1" ht="38.4">
      <c r="A33" s="540"/>
      <c r="B33" s="534"/>
      <c r="C33" s="542"/>
      <c r="D33" s="336" t="s">
        <v>29</v>
      </c>
      <c r="E33" s="337" t="s">
        <v>30</v>
      </c>
      <c r="F33" s="336" t="s">
        <v>31</v>
      </c>
      <c r="G33" s="336" t="s">
        <v>50</v>
      </c>
      <c r="H33" s="337" t="s">
        <v>30</v>
      </c>
      <c r="I33" s="336" t="s">
        <v>31</v>
      </c>
      <c r="J33" s="336" t="s">
        <v>51</v>
      </c>
      <c r="K33" s="337" t="s">
        <v>30</v>
      </c>
      <c r="L33" s="336" t="s">
        <v>52</v>
      </c>
      <c r="M33" s="336" t="s">
        <v>53</v>
      </c>
      <c r="N33" s="336" t="s">
        <v>32</v>
      </c>
      <c r="O33" s="338" t="s">
        <v>33</v>
      </c>
    </row>
    <row r="34" spans="1:16">
      <c r="A34" s="339" t="s">
        <v>54</v>
      </c>
      <c r="B34" s="322" t="s">
        <v>167</v>
      </c>
      <c r="C34" s="340">
        <v>1</v>
      </c>
      <c r="D34" s="341">
        <v>4000</v>
      </c>
      <c r="E34" s="341">
        <f>ROUND((D34*19%),2)</f>
        <v>760</v>
      </c>
      <c r="F34" s="341">
        <f>ROUND((D34+E34),2)</f>
        <v>4760</v>
      </c>
      <c r="G34" s="341">
        <v>5000</v>
      </c>
      <c r="H34" s="341">
        <f>ROUND((G34*19%),2)</f>
        <v>950</v>
      </c>
      <c r="I34" s="341">
        <f>ROUND((G34+H34),2)</f>
        <v>5950</v>
      </c>
      <c r="J34" s="341">
        <v>4200</v>
      </c>
      <c r="K34" s="341"/>
      <c r="L34" s="341">
        <f>ROUND((J34+K34),2)</f>
        <v>4200</v>
      </c>
      <c r="M34" s="341">
        <f>ROUND((D34+G34+J34)/3,2)</f>
        <v>4400</v>
      </c>
      <c r="N34" s="341">
        <f>ROUND((E34+H34+K34)/3,2)</f>
        <v>570</v>
      </c>
      <c r="O34" s="342">
        <f>ROUND((F34+I34+L34)/3,2)</f>
        <v>4970</v>
      </c>
    </row>
    <row r="35" spans="1:16">
      <c r="A35" s="339" t="s">
        <v>55</v>
      </c>
      <c r="B35" s="322" t="s">
        <v>167</v>
      </c>
      <c r="C35" s="340">
        <v>1</v>
      </c>
      <c r="D35" s="341">
        <v>8200</v>
      </c>
      <c r="E35" s="341">
        <f t="shared" ref="E35:E44" si="8">ROUND((D35*19%),2)</f>
        <v>1558</v>
      </c>
      <c r="F35" s="341">
        <f t="shared" ref="F35:F44" si="9">ROUND((D35+E35),2)</f>
        <v>9758</v>
      </c>
      <c r="G35" s="341">
        <v>10000</v>
      </c>
      <c r="H35" s="341">
        <f t="shared" ref="H35:H44" si="10">ROUND((G35*19%),2)</f>
        <v>1900</v>
      </c>
      <c r="I35" s="341">
        <f t="shared" ref="I35:I44" si="11">ROUND((G35+H35),2)</f>
        <v>11900</v>
      </c>
      <c r="J35" s="341">
        <v>9000</v>
      </c>
      <c r="K35" s="341"/>
      <c r="L35" s="341">
        <f t="shared" ref="L35:L44" si="12">ROUND((J35+K35),2)</f>
        <v>9000</v>
      </c>
      <c r="M35" s="341">
        <f t="shared" ref="M35:M44" si="13">ROUND((D35+G35+J35)/3,2)</f>
        <v>9066.67</v>
      </c>
      <c r="N35" s="341">
        <f t="shared" ref="N35:N44" si="14">ROUND((E35+H35+K35)/3,2)</f>
        <v>1152.67</v>
      </c>
      <c r="O35" s="342">
        <f t="shared" ref="O35:O44" si="15">ROUND((F35+I35+L35)/3,2)</f>
        <v>10219.33</v>
      </c>
    </row>
    <row r="36" spans="1:16">
      <c r="A36" s="339" t="s">
        <v>56</v>
      </c>
      <c r="B36" s="322" t="s">
        <v>167</v>
      </c>
      <c r="C36" s="340">
        <v>1</v>
      </c>
      <c r="D36" s="341">
        <v>6500</v>
      </c>
      <c r="E36" s="341">
        <f t="shared" si="8"/>
        <v>1235</v>
      </c>
      <c r="F36" s="341">
        <f t="shared" si="9"/>
        <v>7735</v>
      </c>
      <c r="G36" s="341">
        <v>8000</v>
      </c>
      <c r="H36" s="341">
        <f t="shared" si="10"/>
        <v>1520</v>
      </c>
      <c r="I36" s="341">
        <f t="shared" si="11"/>
        <v>9520</v>
      </c>
      <c r="J36" s="341">
        <v>7000</v>
      </c>
      <c r="K36" s="341"/>
      <c r="L36" s="341">
        <f t="shared" si="12"/>
        <v>7000</v>
      </c>
      <c r="M36" s="341">
        <f t="shared" si="13"/>
        <v>7166.67</v>
      </c>
      <c r="N36" s="341">
        <f t="shared" si="14"/>
        <v>918.33</v>
      </c>
      <c r="O36" s="342">
        <f t="shared" si="15"/>
        <v>8085</v>
      </c>
    </row>
    <row r="37" spans="1:16">
      <c r="A37" s="339" t="s">
        <v>157</v>
      </c>
      <c r="B37" s="322" t="s">
        <v>167</v>
      </c>
      <c r="C37" s="340">
        <v>1</v>
      </c>
      <c r="D37" s="341">
        <v>23000</v>
      </c>
      <c r="E37" s="341">
        <f t="shared" si="8"/>
        <v>4370</v>
      </c>
      <c r="F37" s="341">
        <f t="shared" si="9"/>
        <v>27370</v>
      </c>
      <c r="G37" s="341">
        <v>30000</v>
      </c>
      <c r="H37" s="341">
        <f t="shared" si="10"/>
        <v>5700</v>
      </c>
      <c r="I37" s="341">
        <f t="shared" si="11"/>
        <v>35700</v>
      </c>
      <c r="J37" s="341">
        <v>26000</v>
      </c>
      <c r="K37" s="341"/>
      <c r="L37" s="341">
        <f t="shared" si="12"/>
        <v>26000</v>
      </c>
      <c r="M37" s="341">
        <f t="shared" si="13"/>
        <v>26333.33</v>
      </c>
      <c r="N37" s="341">
        <f t="shared" si="14"/>
        <v>3356.67</v>
      </c>
      <c r="O37" s="342">
        <f t="shared" si="15"/>
        <v>29690</v>
      </c>
    </row>
    <row r="38" spans="1:16">
      <c r="A38" s="339" t="s">
        <v>57</v>
      </c>
      <c r="B38" s="322" t="s">
        <v>167</v>
      </c>
      <c r="C38" s="340">
        <v>1</v>
      </c>
      <c r="D38" s="341">
        <v>2000</v>
      </c>
      <c r="E38" s="341">
        <f t="shared" si="8"/>
        <v>380</v>
      </c>
      <c r="F38" s="341">
        <f t="shared" si="9"/>
        <v>2380</v>
      </c>
      <c r="G38" s="341">
        <v>3000</v>
      </c>
      <c r="H38" s="341">
        <f t="shared" si="10"/>
        <v>570</v>
      </c>
      <c r="I38" s="341">
        <f t="shared" si="11"/>
        <v>3570</v>
      </c>
      <c r="J38" s="341">
        <v>2000</v>
      </c>
      <c r="K38" s="341"/>
      <c r="L38" s="341">
        <f t="shared" si="12"/>
        <v>2000</v>
      </c>
      <c r="M38" s="341">
        <f t="shared" si="13"/>
        <v>2333.33</v>
      </c>
      <c r="N38" s="341">
        <f t="shared" si="14"/>
        <v>316.67</v>
      </c>
      <c r="O38" s="342">
        <f t="shared" si="15"/>
        <v>2650</v>
      </c>
    </row>
    <row r="39" spans="1:16">
      <c r="A39" s="339" t="s">
        <v>58</v>
      </c>
      <c r="B39" s="322" t="s">
        <v>167</v>
      </c>
      <c r="C39" s="340">
        <v>1</v>
      </c>
      <c r="D39" s="341">
        <v>9000</v>
      </c>
      <c r="E39" s="341">
        <f t="shared" si="8"/>
        <v>1710</v>
      </c>
      <c r="F39" s="341">
        <f t="shared" si="9"/>
        <v>10710</v>
      </c>
      <c r="G39" s="341">
        <v>10000</v>
      </c>
      <c r="H39" s="341">
        <f t="shared" si="10"/>
        <v>1900</v>
      </c>
      <c r="I39" s="341">
        <f t="shared" si="11"/>
        <v>11900</v>
      </c>
      <c r="J39" s="341">
        <v>10000</v>
      </c>
      <c r="K39" s="341"/>
      <c r="L39" s="341">
        <f t="shared" si="12"/>
        <v>10000</v>
      </c>
      <c r="M39" s="341">
        <f t="shared" si="13"/>
        <v>9666.67</v>
      </c>
      <c r="N39" s="341">
        <f t="shared" si="14"/>
        <v>1203.33</v>
      </c>
      <c r="O39" s="342">
        <f t="shared" si="15"/>
        <v>10870</v>
      </c>
    </row>
    <row r="40" spans="1:16">
      <c r="A40" s="339" t="s">
        <v>60</v>
      </c>
      <c r="B40" s="322" t="s">
        <v>167</v>
      </c>
      <c r="C40" s="340">
        <v>1</v>
      </c>
      <c r="D40" s="341">
        <v>13200</v>
      </c>
      <c r="E40" s="341">
        <f t="shared" si="8"/>
        <v>2508</v>
      </c>
      <c r="F40" s="341">
        <f t="shared" si="9"/>
        <v>15708</v>
      </c>
      <c r="G40" s="341">
        <v>16000</v>
      </c>
      <c r="H40" s="341">
        <f t="shared" si="10"/>
        <v>3040</v>
      </c>
      <c r="I40" s="341">
        <f t="shared" si="11"/>
        <v>19040</v>
      </c>
      <c r="J40" s="341">
        <v>16000</v>
      </c>
      <c r="K40" s="341"/>
      <c r="L40" s="341">
        <f t="shared" si="12"/>
        <v>16000</v>
      </c>
      <c r="M40" s="341">
        <f t="shared" si="13"/>
        <v>15066.67</v>
      </c>
      <c r="N40" s="341">
        <f t="shared" si="14"/>
        <v>1849.33</v>
      </c>
      <c r="O40" s="342">
        <f t="shared" si="15"/>
        <v>16916</v>
      </c>
    </row>
    <row r="41" spans="1:16">
      <c r="A41" s="339" t="s">
        <v>59</v>
      </c>
      <c r="B41" s="322" t="s">
        <v>167</v>
      </c>
      <c r="C41" s="340">
        <v>1</v>
      </c>
      <c r="D41" s="341">
        <v>5000</v>
      </c>
      <c r="E41" s="341">
        <f t="shared" si="8"/>
        <v>950</v>
      </c>
      <c r="F41" s="341">
        <f t="shared" si="9"/>
        <v>5950</v>
      </c>
      <c r="G41" s="341">
        <v>8000</v>
      </c>
      <c r="H41" s="341">
        <f t="shared" si="10"/>
        <v>1520</v>
      </c>
      <c r="I41" s="341">
        <f t="shared" si="11"/>
        <v>9520</v>
      </c>
      <c r="J41" s="341">
        <v>8000</v>
      </c>
      <c r="K41" s="341"/>
      <c r="L41" s="341">
        <f t="shared" si="12"/>
        <v>8000</v>
      </c>
      <c r="M41" s="341">
        <f t="shared" si="13"/>
        <v>7000</v>
      </c>
      <c r="N41" s="341">
        <f t="shared" si="14"/>
        <v>823.33</v>
      </c>
      <c r="O41" s="342">
        <f t="shared" si="15"/>
        <v>7823.33</v>
      </c>
    </row>
    <row r="42" spans="1:16">
      <c r="A42" s="339" t="s">
        <v>64</v>
      </c>
      <c r="B42" s="322" t="s">
        <v>167</v>
      </c>
      <c r="C42" s="340">
        <v>1</v>
      </c>
      <c r="D42" s="341">
        <v>4000</v>
      </c>
      <c r="E42" s="341">
        <f t="shared" si="8"/>
        <v>760</v>
      </c>
      <c r="F42" s="341">
        <f t="shared" si="9"/>
        <v>4760</v>
      </c>
      <c r="G42" s="341">
        <v>4000</v>
      </c>
      <c r="H42" s="341">
        <f t="shared" si="10"/>
        <v>760</v>
      </c>
      <c r="I42" s="341">
        <f t="shared" si="11"/>
        <v>4760</v>
      </c>
      <c r="J42" s="341">
        <v>3000</v>
      </c>
      <c r="K42" s="341"/>
      <c r="L42" s="341">
        <f t="shared" si="12"/>
        <v>3000</v>
      </c>
      <c r="M42" s="341">
        <f t="shared" si="13"/>
        <v>3666.67</v>
      </c>
      <c r="N42" s="341">
        <f t="shared" si="14"/>
        <v>506.67</v>
      </c>
      <c r="O42" s="342">
        <f t="shared" si="15"/>
        <v>4173.33</v>
      </c>
    </row>
    <row r="43" spans="1:16">
      <c r="A43" s="343" t="s">
        <v>116</v>
      </c>
      <c r="B43" s="322" t="s">
        <v>167</v>
      </c>
      <c r="C43" s="344">
        <v>2</v>
      </c>
      <c r="D43" s="345">
        <v>7000</v>
      </c>
      <c r="E43" s="341">
        <f t="shared" si="8"/>
        <v>1330</v>
      </c>
      <c r="F43" s="341">
        <f t="shared" si="9"/>
        <v>8330</v>
      </c>
      <c r="G43" s="345">
        <v>7000</v>
      </c>
      <c r="H43" s="341">
        <f t="shared" si="10"/>
        <v>1330</v>
      </c>
      <c r="I43" s="341">
        <f t="shared" si="11"/>
        <v>8330</v>
      </c>
      <c r="J43" s="345">
        <v>6000</v>
      </c>
      <c r="K43" s="341"/>
      <c r="L43" s="341">
        <f t="shared" si="12"/>
        <v>6000</v>
      </c>
      <c r="M43" s="341">
        <f t="shared" si="13"/>
        <v>6666.67</v>
      </c>
      <c r="N43" s="341">
        <f t="shared" si="14"/>
        <v>886.67</v>
      </c>
      <c r="O43" s="342">
        <f t="shared" si="15"/>
        <v>7553.33</v>
      </c>
    </row>
    <row r="44" spans="1:16">
      <c r="A44" s="343" t="s">
        <v>117</v>
      </c>
      <c r="B44" s="322" t="s">
        <v>167</v>
      </c>
      <c r="C44" s="344">
        <v>1</v>
      </c>
      <c r="D44" s="345">
        <v>7200</v>
      </c>
      <c r="E44" s="341">
        <f t="shared" si="8"/>
        <v>1368</v>
      </c>
      <c r="F44" s="341">
        <f t="shared" si="9"/>
        <v>8568</v>
      </c>
      <c r="G44" s="345">
        <v>8000</v>
      </c>
      <c r="H44" s="341">
        <f t="shared" si="10"/>
        <v>1520</v>
      </c>
      <c r="I44" s="341">
        <f t="shared" si="11"/>
        <v>9520</v>
      </c>
      <c r="J44" s="345">
        <v>8000</v>
      </c>
      <c r="K44" s="341"/>
      <c r="L44" s="341">
        <f t="shared" si="12"/>
        <v>8000</v>
      </c>
      <c r="M44" s="341">
        <f t="shared" si="13"/>
        <v>7733.33</v>
      </c>
      <c r="N44" s="341">
        <f t="shared" si="14"/>
        <v>962.67</v>
      </c>
      <c r="O44" s="342">
        <f t="shared" si="15"/>
        <v>8696</v>
      </c>
    </row>
    <row r="45" spans="1:16" ht="15" thickBot="1">
      <c r="A45" s="530" t="s">
        <v>4</v>
      </c>
      <c r="B45" s="531"/>
      <c r="C45" s="532"/>
      <c r="D45" s="346"/>
      <c r="E45" s="346"/>
      <c r="F45" s="346">
        <f>SUM(F34:F44)</f>
        <v>106029</v>
      </c>
      <c r="G45" s="346"/>
      <c r="H45" s="346"/>
      <c r="I45" s="346">
        <f>SUM(I34:I44)</f>
        <v>129710</v>
      </c>
      <c r="J45" s="346"/>
      <c r="K45" s="346"/>
      <c r="L45" s="347">
        <f>SUM(L34:L44)</f>
        <v>99200</v>
      </c>
      <c r="M45" s="348">
        <f>SUM(M34:M44)</f>
        <v>99100.01</v>
      </c>
      <c r="N45" s="348">
        <f>SUM(N34:N44)</f>
        <v>12546.34</v>
      </c>
      <c r="O45" s="348">
        <f>SUM(O34:O44)</f>
        <v>111646.32</v>
      </c>
      <c r="P45" s="9"/>
    </row>
    <row r="46" spans="1:16">
      <c r="D46"/>
      <c r="L46" s="9"/>
      <c r="M46" s="9"/>
    </row>
    <row r="47" spans="1:16" ht="15" thickBot="1">
      <c r="D47" s="1"/>
      <c r="E47" s="1"/>
      <c r="F47" s="1"/>
      <c r="L47" s="57"/>
      <c r="M47" s="56"/>
    </row>
    <row r="48" spans="1:16" ht="69">
      <c r="A48" s="46" t="s">
        <v>79</v>
      </c>
      <c r="B48" s="183"/>
      <c r="C48" s="189" t="s">
        <v>63</v>
      </c>
      <c r="D48" s="49" t="s">
        <v>33</v>
      </c>
      <c r="E48" s="50" t="s">
        <v>128</v>
      </c>
      <c r="F48" s="8"/>
      <c r="G48" s="1"/>
    </row>
    <row r="49" spans="1:9" ht="28.2" thickBot="1">
      <c r="A49" s="51" t="s">
        <v>127</v>
      </c>
      <c r="B49" s="184"/>
      <c r="C49" s="190">
        <v>17</v>
      </c>
      <c r="D49" s="71">
        <f>O45</f>
        <v>111646.32</v>
      </c>
      <c r="E49" s="72">
        <f>ROUND((D49*C49),2)</f>
        <v>1897987.44</v>
      </c>
      <c r="G49" s="1"/>
      <c r="H49" s="1"/>
    </row>
    <row r="50" spans="1:9" ht="15" thickBot="1">
      <c r="D50"/>
      <c r="G50" s="1"/>
    </row>
    <row r="51" spans="1:9" ht="86.4">
      <c r="A51" s="257" t="s">
        <v>239</v>
      </c>
      <c r="B51" s="181"/>
      <c r="C51" s="153" t="s">
        <v>63</v>
      </c>
      <c r="D51" s="20" t="s">
        <v>33</v>
      </c>
      <c r="E51" s="20" t="s">
        <v>156</v>
      </c>
      <c r="F51" s="21" t="s">
        <v>236</v>
      </c>
      <c r="G51" s="1"/>
    </row>
    <row r="52" spans="1:9" ht="43.8" thickBot="1">
      <c r="A52" s="18" t="s">
        <v>81</v>
      </c>
      <c r="B52" s="18"/>
      <c r="C52" s="191">
        <v>17</v>
      </c>
      <c r="D52" s="68">
        <f>ROUND((O34+O35+O36+O37+O38+O39+O40+O42+O43+O44),2)</f>
        <v>103822.99</v>
      </c>
      <c r="E52" s="73">
        <f>ROUND((D52*C52),2)</f>
        <v>1764990.83</v>
      </c>
      <c r="F52" s="79">
        <f>ROUND((E52*5),2)</f>
        <v>8824954.1500000004</v>
      </c>
      <c r="G52" s="1"/>
      <c r="H52" s="1"/>
      <c r="I52" s="9"/>
    </row>
    <row r="53" spans="1:9" ht="15" thickBot="1">
      <c r="D53"/>
      <c r="G53" s="1"/>
    </row>
    <row r="54" spans="1:9" ht="57.6">
      <c r="A54" s="22" t="s">
        <v>65</v>
      </c>
      <c r="B54" s="22"/>
      <c r="C54" s="152" t="s">
        <v>63</v>
      </c>
      <c r="D54" s="15" t="s">
        <v>121</v>
      </c>
      <c r="G54" s="1"/>
    </row>
    <row r="55" spans="1:9" ht="29.4" thickBot="1">
      <c r="A55" s="23" t="s">
        <v>80</v>
      </c>
      <c r="B55" s="23"/>
      <c r="C55" s="191">
        <v>17</v>
      </c>
      <c r="D55" s="69">
        <f>ROUND((F52+E49),2)</f>
        <v>10722941.59</v>
      </c>
      <c r="E55" s="9"/>
      <c r="G55" s="1"/>
    </row>
    <row r="56" spans="1:9">
      <c r="G56" s="19"/>
      <c r="H56" s="1"/>
    </row>
    <row r="57" spans="1:9">
      <c r="G57" s="19"/>
      <c r="H57" s="19"/>
    </row>
    <row r="58" spans="1:9">
      <c r="E58" s="9"/>
    </row>
    <row r="59" spans="1:9" ht="57.6">
      <c r="A59" s="192" t="s">
        <v>89</v>
      </c>
      <c r="B59" s="192" t="s">
        <v>166</v>
      </c>
      <c r="C59" s="349" t="s">
        <v>188</v>
      </c>
      <c r="D59" s="349" t="s">
        <v>189</v>
      </c>
      <c r="E59" s="349" t="s">
        <v>184</v>
      </c>
      <c r="F59" s="192" t="s">
        <v>185</v>
      </c>
      <c r="G59" s="192" t="s">
        <v>186</v>
      </c>
    </row>
    <row r="60" spans="1:9" ht="43.2">
      <c r="A60" s="5" t="str">
        <f>+A21</f>
        <v>Suministro de elementos de aseo para hombres (con cortauñas)</v>
      </c>
      <c r="B60" s="193" t="s">
        <v>167</v>
      </c>
      <c r="C60" s="194">
        <v>1</v>
      </c>
      <c r="D60" s="194">
        <v>23</v>
      </c>
      <c r="E60" s="195">
        <f>+D21</f>
        <v>110098.83</v>
      </c>
      <c r="F60" s="195">
        <f>+C60*D60*E60</f>
        <v>2532273.09</v>
      </c>
      <c r="G60" s="193" t="s">
        <v>187</v>
      </c>
    </row>
    <row r="61" spans="1:9" ht="43.2">
      <c r="A61" s="5" t="str">
        <f>+A24</f>
        <v xml:space="preserve">Suministro de elementos de aseo para hombres  (sin cortauñas) </v>
      </c>
      <c r="B61" s="193" t="s">
        <v>167</v>
      </c>
      <c r="C61" s="194">
        <v>5</v>
      </c>
      <c r="D61" s="194">
        <v>23</v>
      </c>
      <c r="E61" s="195">
        <f>+D24</f>
        <v>104298.83</v>
      </c>
      <c r="F61" s="195">
        <f>+C61*D61*E61</f>
        <v>11994365.450000001</v>
      </c>
      <c r="G61" s="193" t="s">
        <v>190</v>
      </c>
    </row>
    <row r="62" spans="1:9">
      <c r="A62" s="196" t="s">
        <v>191</v>
      </c>
      <c r="B62" s="196"/>
      <c r="C62" s="192">
        <f>+C60+C61</f>
        <v>6</v>
      </c>
      <c r="D62" s="192"/>
      <c r="E62" s="197"/>
      <c r="F62" s="197">
        <f>+F60+F61</f>
        <v>14526638.540000001</v>
      </c>
      <c r="G62" s="197"/>
    </row>
    <row r="63" spans="1:9" ht="43.2">
      <c r="A63" s="5" t="str">
        <f>+A49</f>
        <v>Suministro de elementos de aseo para mujeres (con cortauñas)</v>
      </c>
      <c r="B63" s="193" t="s">
        <v>167</v>
      </c>
      <c r="C63" s="194">
        <v>1</v>
      </c>
      <c r="D63" s="194">
        <v>17</v>
      </c>
      <c r="E63" s="195">
        <f>+D49</f>
        <v>111646.32</v>
      </c>
      <c r="F63" s="195">
        <f>+C63*D63*E63</f>
        <v>1897987.4400000002</v>
      </c>
      <c r="G63" s="193" t="s">
        <v>187</v>
      </c>
    </row>
    <row r="64" spans="1:9" ht="43.2">
      <c r="A64" s="5" t="str">
        <f>+A52</f>
        <v xml:space="preserve">Suministro de elementos de aseo para mujeres  (sin cortauñas) </v>
      </c>
      <c r="B64" s="193" t="s">
        <v>167</v>
      </c>
      <c r="C64" s="194">
        <v>5</v>
      </c>
      <c r="D64" s="194">
        <v>17</v>
      </c>
      <c r="E64" s="195">
        <f>+D52</f>
        <v>103822.99</v>
      </c>
      <c r="F64" s="195">
        <f t="shared" ref="F64" si="16">+C64*D64*E64</f>
        <v>8824954.1500000004</v>
      </c>
      <c r="G64" s="193" t="s">
        <v>190</v>
      </c>
    </row>
    <row r="65" spans="1:7">
      <c r="A65" s="196" t="s">
        <v>192</v>
      </c>
      <c r="B65" s="196"/>
      <c r="C65" s="192">
        <f>+C63+C64</f>
        <v>6</v>
      </c>
      <c r="D65" s="192"/>
      <c r="E65" s="196"/>
      <c r="F65" s="197">
        <f>SUM(F63:F64)</f>
        <v>10722941.59</v>
      </c>
      <c r="G65" s="196"/>
    </row>
    <row r="66" spans="1:7">
      <c r="A66" s="527" t="s">
        <v>4</v>
      </c>
      <c r="B66" s="528"/>
      <c r="C66" s="528"/>
      <c r="D66" s="528"/>
      <c r="E66" s="529"/>
      <c r="F66" s="350">
        <f>+F62+F65</f>
        <v>25249580.130000003</v>
      </c>
      <c r="G66" s="193"/>
    </row>
  </sheetData>
  <mergeCells count="16">
    <mergeCell ref="A66:E66"/>
    <mergeCell ref="A45:C45"/>
    <mergeCell ref="B4:B5"/>
    <mergeCell ref="A4:A5"/>
    <mergeCell ref="C4:C5"/>
    <mergeCell ref="A32:A33"/>
    <mergeCell ref="C32:C33"/>
    <mergeCell ref="B32:B33"/>
    <mergeCell ref="M32:O32"/>
    <mergeCell ref="M4:O4"/>
    <mergeCell ref="D4:F4"/>
    <mergeCell ref="G4:I4"/>
    <mergeCell ref="J4:L4"/>
    <mergeCell ref="D32:F32"/>
    <mergeCell ref="G32:I32"/>
    <mergeCell ref="J32:L32"/>
  </mergeCells>
  <pageMargins left="0.7" right="0.7" top="0.75" bottom="0.75" header="0.3" footer="0.3"/>
  <pageSetup orientation="portrait" r:id="rId1"/>
  <legacyDrawing r:id="rId2"/>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2:T50"/>
  <sheetViews>
    <sheetView topLeftCell="A25" zoomScaleNormal="100" workbookViewId="0">
      <selection activeCell="D37" sqref="D37"/>
    </sheetView>
  </sheetViews>
  <sheetFormatPr baseColWidth="10" defaultRowHeight="14.4"/>
  <cols>
    <col min="1" max="1" width="27" customWidth="1"/>
    <col min="2" max="2" width="6" customWidth="1"/>
    <col min="3" max="3" width="6.5546875" style="162" customWidth="1"/>
    <col min="4" max="4" width="15.5546875" customWidth="1"/>
    <col min="5" max="5" width="18.109375" customWidth="1"/>
    <col min="6" max="6" width="16.109375" customWidth="1"/>
    <col min="7" max="7" width="18" customWidth="1"/>
    <col min="8" max="8" width="12.77734375" customWidth="1"/>
    <col min="9" max="9" width="12.88671875" customWidth="1"/>
    <col min="10" max="10" width="11.44140625" customWidth="1"/>
    <col min="11" max="11" width="8.88671875" customWidth="1"/>
    <col min="12" max="12" width="11.44140625" customWidth="1"/>
    <col min="13" max="13" width="12.5546875" customWidth="1"/>
    <col min="14" max="14" width="12.44140625" customWidth="1"/>
    <col min="15" max="15" width="15.88671875" customWidth="1"/>
    <col min="16" max="17" width="13.5546875" bestFit="1" customWidth="1"/>
  </cols>
  <sheetData>
    <row r="2" spans="1:19">
      <c r="A2" s="3" t="s">
        <v>66</v>
      </c>
      <c r="B2" s="3"/>
    </row>
    <row r="3" spans="1:19" ht="15" thickBot="1"/>
    <row r="4" spans="1:19" ht="26.25" customHeight="1">
      <c r="A4" s="555" t="s">
        <v>85</v>
      </c>
      <c r="B4" s="351"/>
      <c r="C4" s="557" t="s">
        <v>28</v>
      </c>
      <c r="D4" s="520" t="s">
        <v>154</v>
      </c>
      <c r="E4" s="521"/>
      <c r="F4" s="522"/>
      <c r="G4" s="518" t="s">
        <v>210</v>
      </c>
      <c r="H4" s="518"/>
      <c r="I4" s="518"/>
      <c r="J4" s="518" t="s">
        <v>209</v>
      </c>
      <c r="K4" s="518"/>
      <c r="L4" s="518"/>
      <c r="M4" s="543" t="s">
        <v>34</v>
      </c>
      <c r="N4" s="544"/>
      <c r="O4" s="545"/>
    </row>
    <row r="5" spans="1:19" ht="39.6">
      <c r="A5" s="556"/>
      <c r="B5" s="352" t="s">
        <v>169</v>
      </c>
      <c r="C5" s="558"/>
      <c r="D5" s="353" t="s">
        <v>29</v>
      </c>
      <c r="E5" s="354" t="s">
        <v>30</v>
      </c>
      <c r="F5" s="353" t="s">
        <v>83</v>
      </c>
      <c r="G5" s="353" t="s">
        <v>29</v>
      </c>
      <c r="H5" s="354" t="s">
        <v>30</v>
      </c>
      <c r="I5" s="353" t="s">
        <v>82</v>
      </c>
      <c r="J5" s="353" t="s">
        <v>29</v>
      </c>
      <c r="K5" s="354" t="s">
        <v>30</v>
      </c>
      <c r="L5" s="353" t="s">
        <v>83</v>
      </c>
      <c r="M5" s="32" t="s">
        <v>67</v>
      </c>
      <c r="N5" s="32" t="s">
        <v>32</v>
      </c>
      <c r="O5" s="33" t="s">
        <v>84</v>
      </c>
    </row>
    <row r="6" spans="1:19" ht="46.35" customHeight="1">
      <c r="A6" s="339" t="s">
        <v>68</v>
      </c>
      <c r="B6" s="355" t="s">
        <v>167</v>
      </c>
      <c r="C6" s="340">
        <v>1</v>
      </c>
      <c r="D6" s="356">
        <v>220000</v>
      </c>
      <c r="E6" s="357">
        <f>ROUND((D6*19%),2)</f>
        <v>41800</v>
      </c>
      <c r="F6" s="358">
        <f>ROUND((+D6+E6),2)</f>
        <v>261800</v>
      </c>
      <c r="G6" s="357">
        <v>200000</v>
      </c>
      <c r="H6" s="357">
        <f>ROUND((G6*19%),2)</f>
        <v>38000</v>
      </c>
      <c r="I6" s="357">
        <f>ROUND((+G6+H6),2)</f>
        <v>238000</v>
      </c>
      <c r="J6" s="357">
        <v>235000</v>
      </c>
      <c r="K6" s="357"/>
      <c r="L6" s="357">
        <f>ROUND((+J6+K6),2)</f>
        <v>235000</v>
      </c>
      <c r="M6" s="114">
        <f>ROUND((D6+G6+J6)/3,2)</f>
        <v>218333.33</v>
      </c>
      <c r="N6" s="114">
        <f>ROUND((E6+H6+K6)/3,2)</f>
        <v>26600</v>
      </c>
      <c r="O6" s="115">
        <f>ROUND((F6+I6+L6)/3,2)</f>
        <v>244933.33</v>
      </c>
      <c r="P6" s="9"/>
      <c r="Q6" s="77"/>
      <c r="R6" s="9"/>
      <c r="S6" s="9"/>
    </row>
    <row r="7" spans="1:19" ht="36" customHeight="1">
      <c r="A7" s="339" t="s">
        <v>69</v>
      </c>
      <c r="B7" s="355" t="s">
        <v>167</v>
      </c>
      <c r="C7" s="340">
        <v>1</v>
      </c>
      <c r="D7" s="356">
        <v>81000</v>
      </c>
      <c r="E7" s="357">
        <f t="shared" ref="E7:E14" si="0">ROUND((D7*19%),2)</f>
        <v>15390</v>
      </c>
      <c r="F7" s="358">
        <f t="shared" ref="F7:F14" si="1">ROUND((+D7+E7),2)</f>
        <v>96390</v>
      </c>
      <c r="G7" s="357">
        <v>80000</v>
      </c>
      <c r="H7" s="357">
        <f t="shared" ref="H7:H14" si="2">ROUND((G7*19%),2)</f>
        <v>15200</v>
      </c>
      <c r="I7" s="357">
        <f t="shared" ref="I7:I14" si="3">ROUND((+G7+H7),2)</f>
        <v>95200</v>
      </c>
      <c r="J7" s="357">
        <v>82000</v>
      </c>
      <c r="K7" s="357"/>
      <c r="L7" s="357">
        <f t="shared" ref="L7:L14" si="4">ROUND((+J7+K7),2)</f>
        <v>82000</v>
      </c>
      <c r="M7" s="114">
        <f t="shared" ref="M7:M15" si="5">ROUND((D7+G7+J7)/3,2)</f>
        <v>81000</v>
      </c>
      <c r="N7" s="114">
        <f t="shared" ref="N7:N13" si="6">ROUND((E7+H7+K7)/3,2)</f>
        <v>10196.67</v>
      </c>
      <c r="O7" s="115">
        <f t="shared" ref="O7:O14" si="7">ROUND((F7+I7+L7)/3,2)</f>
        <v>91196.67</v>
      </c>
      <c r="Q7" s="77"/>
      <c r="R7" s="9"/>
      <c r="S7" s="9"/>
    </row>
    <row r="8" spans="1:19">
      <c r="A8" s="339" t="s">
        <v>70</v>
      </c>
      <c r="B8" s="355" t="s">
        <v>167</v>
      </c>
      <c r="C8" s="340">
        <v>1</v>
      </c>
      <c r="D8" s="356">
        <v>23000</v>
      </c>
      <c r="E8" s="357">
        <f t="shared" si="0"/>
        <v>4370</v>
      </c>
      <c r="F8" s="358">
        <f t="shared" si="1"/>
        <v>27370</v>
      </c>
      <c r="G8" s="357">
        <v>24000</v>
      </c>
      <c r="H8" s="357">
        <f t="shared" si="2"/>
        <v>4560</v>
      </c>
      <c r="I8" s="357">
        <f t="shared" si="3"/>
        <v>28560</v>
      </c>
      <c r="J8" s="357">
        <v>26000</v>
      </c>
      <c r="K8" s="357"/>
      <c r="L8" s="357">
        <f t="shared" si="4"/>
        <v>26000</v>
      </c>
      <c r="M8" s="114">
        <f t="shared" si="5"/>
        <v>24333.33</v>
      </c>
      <c r="N8" s="114">
        <f t="shared" si="6"/>
        <v>2976.67</v>
      </c>
      <c r="O8" s="115">
        <f t="shared" si="7"/>
        <v>27310</v>
      </c>
      <c r="Q8" s="77"/>
      <c r="R8" s="9"/>
      <c r="S8" s="9"/>
    </row>
    <row r="9" spans="1:19" s="24" customFormat="1">
      <c r="A9" s="339" t="s">
        <v>71</v>
      </c>
      <c r="B9" s="355" t="s">
        <v>167</v>
      </c>
      <c r="C9" s="340">
        <v>3</v>
      </c>
      <c r="D9" s="356">
        <v>40000</v>
      </c>
      <c r="E9" s="357">
        <f t="shared" si="0"/>
        <v>7600</v>
      </c>
      <c r="F9" s="358">
        <f t="shared" si="1"/>
        <v>47600</v>
      </c>
      <c r="G9" s="357">
        <v>38000</v>
      </c>
      <c r="H9" s="357">
        <f t="shared" si="2"/>
        <v>7220</v>
      </c>
      <c r="I9" s="357">
        <f t="shared" si="3"/>
        <v>45220</v>
      </c>
      <c r="J9" s="357">
        <v>41000</v>
      </c>
      <c r="K9" s="357"/>
      <c r="L9" s="357">
        <f t="shared" si="4"/>
        <v>41000</v>
      </c>
      <c r="M9" s="114">
        <f t="shared" si="5"/>
        <v>39666.67</v>
      </c>
      <c r="N9" s="114">
        <f t="shared" si="6"/>
        <v>4940</v>
      </c>
      <c r="O9" s="115">
        <f t="shared" si="7"/>
        <v>44606.67</v>
      </c>
      <c r="Q9" s="77"/>
      <c r="R9" s="9"/>
      <c r="S9" s="9"/>
    </row>
    <row r="10" spans="1:19" s="24" customFormat="1">
      <c r="A10" s="339" t="s">
        <v>72</v>
      </c>
      <c r="B10" s="355" t="s">
        <v>167</v>
      </c>
      <c r="C10" s="340">
        <v>3</v>
      </c>
      <c r="D10" s="356">
        <v>185000</v>
      </c>
      <c r="E10" s="357">
        <f t="shared" si="0"/>
        <v>35150</v>
      </c>
      <c r="F10" s="358">
        <f t="shared" si="1"/>
        <v>220150</v>
      </c>
      <c r="G10" s="357">
        <v>175000</v>
      </c>
      <c r="H10" s="357">
        <f t="shared" si="2"/>
        <v>33250</v>
      </c>
      <c r="I10" s="357">
        <f t="shared" si="3"/>
        <v>208250</v>
      </c>
      <c r="J10" s="357">
        <v>125000</v>
      </c>
      <c r="K10" s="357"/>
      <c r="L10" s="357">
        <f t="shared" si="4"/>
        <v>125000</v>
      </c>
      <c r="M10" s="114">
        <f t="shared" si="5"/>
        <v>161666.67000000001</v>
      </c>
      <c r="N10" s="114">
        <f t="shared" si="6"/>
        <v>22800</v>
      </c>
      <c r="O10" s="115">
        <f t="shared" si="7"/>
        <v>184466.67</v>
      </c>
      <c r="Q10" s="77"/>
      <c r="R10" s="9"/>
      <c r="S10" s="9"/>
    </row>
    <row r="11" spans="1:19" s="24" customFormat="1">
      <c r="A11" s="339" t="s">
        <v>73</v>
      </c>
      <c r="B11" s="355" t="s">
        <v>167</v>
      </c>
      <c r="C11" s="340">
        <v>3</v>
      </c>
      <c r="D11" s="356">
        <v>135000</v>
      </c>
      <c r="E11" s="357">
        <f t="shared" si="0"/>
        <v>25650</v>
      </c>
      <c r="F11" s="358">
        <f t="shared" si="1"/>
        <v>160650</v>
      </c>
      <c r="G11" s="357">
        <v>155000</v>
      </c>
      <c r="H11" s="357">
        <f t="shared" si="2"/>
        <v>29450</v>
      </c>
      <c r="I11" s="357">
        <f t="shared" si="3"/>
        <v>184450</v>
      </c>
      <c r="J11" s="357">
        <v>165000</v>
      </c>
      <c r="K11" s="357"/>
      <c r="L11" s="357">
        <f t="shared" si="4"/>
        <v>165000</v>
      </c>
      <c r="M11" s="114">
        <f t="shared" si="5"/>
        <v>151666.67000000001</v>
      </c>
      <c r="N11" s="114">
        <f t="shared" si="6"/>
        <v>18366.669999999998</v>
      </c>
      <c r="O11" s="115">
        <f t="shared" si="7"/>
        <v>170033.33</v>
      </c>
      <c r="Q11" s="77"/>
      <c r="R11" s="9"/>
      <c r="S11" s="9"/>
    </row>
    <row r="12" spans="1:19">
      <c r="A12" s="339" t="s">
        <v>74</v>
      </c>
      <c r="B12" s="355" t="s">
        <v>167</v>
      </c>
      <c r="C12" s="340">
        <v>1</v>
      </c>
      <c r="D12" s="356">
        <v>90000</v>
      </c>
      <c r="E12" s="357">
        <f t="shared" si="0"/>
        <v>17100</v>
      </c>
      <c r="F12" s="358">
        <f t="shared" si="1"/>
        <v>107100</v>
      </c>
      <c r="G12" s="357">
        <v>105000</v>
      </c>
      <c r="H12" s="357">
        <f t="shared" si="2"/>
        <v>19950</v>
      </c>
      <c r="I12" s="357">
        <f t="shared" si="3"/>
        <v>124950</v>
      </c>
      <c r="J12" s="357">
        <v>130000</v>
      </c>
      <c r="K12" s="357"/>
      <c r="L12" s="357">
        <f t="shared" si="4"/>
        <v>130000</v>
      </c>
      <c r="M12" s="114">
        <f t="shared" si="5"/>
        <v>108333.33</v>
      </c>
      <c r="N12" s="114">
        <f t="shared" si="6"/>
        <v>12350</v>
      </c>
      <c r="O12" s="115">
        <f t="shared" si="7"/>
        <v>120683.33</v>
      </c>
      <c r="Q12" s="77"/>
      <c r="R12" s="9"/>
      <c r="S12" s="9"/>
    </row>
    <row r="13" spans="1:19" ht="30">
      <c r="A13" s="339" t="s">
        <v>158</v>
      </c>
      <c r="B13" s="355" t="s">
        <v>167</v>
      </c>
      <c r="C13" s="340">
        <v>1</v>
      </c>
      <c r="D13" s="356">
        <v>140000</v>
      </c>
      <c r="E13" s="357">
        <f t="shared" si="0"/>
        <v>26600</v>
      </c>
      <c r="F13" s="358">
        <f t="shared" si="1"/>
        <v>166600</v>
      </c>
      <c r="G13" s="357">
        <v>185000</v>
      </c>
      <c r="H13" s="357">
        <f t="shared" si="2"/>
        <v>35150</v>
      </c>
      <c r="I13" s="357">
        <f t="shared" si="3"/>
        <v>220150</v>
      </c>
      <c r="J13" s="357">
        <v>155000</v>
      </c>
      <c r="K13" s="357"/>
      <c r="L13" s="357">
        <f t="shared" si="4"/>
        <v>155000</v>
      </c>
      <c r="M13" s="114">
        <f t="shared" si="5"/>
        <v>160000</v>
      </c>
      <c r="N13" s="114">
        <f t="shared" si="6"/>
        <v>20583.330000000002</v>
      </c>
      <c r="O13" s="115">
        <f t="shared" si="7"/>
        <v>180583.33</v>
      </c>
      <c r="P13" s="24"/>
      <c r="Q13" s="77"/>
      <c r="R13" s="9"/>
      <c r="S13" s="9"/>
    </row>
    <row r="14" spans="1:19">
      <c r="A14" s="339" t="s">
        <v>75</v>
      </c>
      <c r="B14" s="355" t="s">
        <v>167</v>
      </c>
      <c r="C14" s="340">
        <v>1</v>
      </c>
      <c r="D14" s="356">
        <v>70000</v>
      </c>
      <c r="E14" s="357">
        <f t="shared" si="0"/>
        <v>13300</v>
      </c>
      <c r="F14" s="358">
        <f t="shared" si="1"/>
        <v>83300</v>
      </c>
      <c r="G14" s="357">
        <v>77000</v>
      </c>
      <c r="H14" s="357">
        <f t="shared" si="2"/>
        <v>14630</v>
      </c>
      <c r="I14" s="357">
        <f t="shared" si="3"/>
        <v>91630</v>
      </c>
      <c r="J14" s="357">
        <v>75000</v>
      </c>
      <c r="K14" s="357"/>
      <c r="L14" s="357">
        <f t="shared" si="4"/>
        <v>75000</v>
      </c>
      <c r="M14" s="114">
        <f t="shared" si="5"/>
        <v>74000</v>
      </c>
      <c r="N14" s="114">
        <f>ROUND((E14+H14+L14)/3,2)</f>
        <v>34310</v>
      </c>
      <c r="O14" s="115">
        <f t="shared" si="7"/>
        <v>83310</v>
      </c>
      <c r="Q14" s="77"/>
      <c r="R14" s="9"/>
      <c r="S14" s="9"/>
    </row>
    <row r="15" spans="1:19" ht="15" thickBot="1">
      <c r="A15" s="359"/>
      <c r="B15" s="360"/>
      <c r="C15" s="361" t="s">
        <v>13</v>
      </c>
      <c r="D15" s="559">
        <f>SUM(F6:F14)</f>
        <v>1170960</v>
      </c>
      <c r="E15" s="560"/>
      <c r="F15" s="561"/>
      <c r="G15" s="562">
        <f>SUM(I6:I14)</f>
        <v>1236410</v>
      </c>
      <c r="H15" s="560"/>
      <c r="I15" s="561"/>
      <c r="J15" s="562">
        <f>SUM(L6:L14)</f>
        <v>1034000</v>
      </c>
      <c r="K15" s="560"/>
      <c r="L15" s="561"/>
      <c r="M15" s="233">
        <f t="shared" si="5"/>
        <v>1147123.33</v>
      </c>
      <c r="N15" s="116">
        <f>SUM(N6:N14)</f>
        <v>153123.34</v>
      </c>
      <c r="O15" s="117">
        <f>SUM(O6:O14)</f>
        <v>1147123.3299999998</v>
      </c>
      <c r="P15" s="9"/>
    </row>
    <row r="16" spans="1:19" ht="15" thickBot="1">
      <c r="A16" s="31"/>
      <c r="B16" s="31"/>
      <c r="C16" s="198"/>
      <c r="D16" s="118"/>
      <c r="E16" s="118"/>
      <c r="F16" s="119"/>
      <c r="G16" s="118"/>
      <c r="H16" s="118"/>
      <c r="I16" s="118"/>
      <c r="J16" s="567" t="s">
        <v>129</v>
      </c>
      <c r="K16" s="568"/>
      <c r="L16" s="568"/>
      <c r="M16" s="120"/>
      <c r="N16" s="120"/>
      <c r="O16" s="117">
        <f>+O15*17</f>
        <v>19501096.609999996</v>
      </c>
    </row>
    <row r="17" spans="1:20">
      <c r="D17" s="8"/>
      <c r="E17" s="9"/>
      <c r="F17" s="9"/>
    </row>
    <row r="18" spans="1:20">
      <c r="D18" s="8"/>
      <c r="E18" s="9"/>
      <c r="F18" s="9"/>
      <c r="R18">
        <f>11+6</f>
        <v>17</v>
      </c>
    </row>
    <row r="19" spans="1:20">
      <c r="A19" s="3" t="s">
        <v>86</v>
      </c>
      <c r="B19" s="3"/>
      <c r="C19" s="168"/>
      <c r="D19" s="8"/>
      <c r="E19" s="9"/>
      <c r="F19" s="9"/>
      <c r="R19">
        <f>+R18+23</f>
        <v>40</v>
      </c>
    </row>
    <row r="20" spans="1:20" ht="15" thickBot="1">
      <c r="D20" s="8"/>
      <c r="E20" s="8"/>
      <c r="F20" s="8"/>
    </row>
    <row r="21" spans="1:20" ht="30" customHeight="1">
      <c r="A21" s="546" t="s">
        <v>87</v>
      </c>
      <c r="B21" s="569" t="s">
        <v>169</v>
      </c>
      <c r="C21" s="548" t="s">
        <v>28</v>
      </c>
      <c r="D21" s="550" t="str">
        <f>+D4</f>
        <v>PROPACHAMAMA</v>
      </c>
      <c r="E21" s="551"/>
      <c r="F21" s="552"/>
      <c r="G21" s="518" t="str">
        <f>+G4</f>
        <v>CAFAMI</v>
      </c>
      <c r="H21" s="518"/>
      <c r="I21" s="518"/>
      <c r="J21" s="518" t="str">
        <f>+J4</f>
        <v>CORPORACION TERNURA</v>
      </c>
      <c r="K21" s="518"/>
      <c r="L21" s="518"/>
      <c r="M21" s="553" t="s">
        <v>34</v>
      </c>
      <c r="N21" s="553"/>
      <c r="O21" s="554"/>
    </row>
    <row r="22" spans="1:20" ht="39.6">
      <c r="A22" s="547"/>
      <c r="B22" s="570"/>
      <c r="C22" s="549"/>
      <c r="D22" s="353" t="s">
        <v>29</v>
      </c>
      <c r="E22" s="354" t="s">
        <v>30</v>
      </c>
      <c r="F22" s="353" t="s">
        <v>83</v>
      </c>
      <c r="G22" s="353" t="s">
        <v>29</v>
      </c>
      <c r="H22" s="354" t="s">
        <v>30</v>
      </c>
      <c r="I22" s="353" t="s">
        <v>82</v>
      </c>
      <c r="J22" s="353" t="s">
        <v>29</v>
      </c>
      <c r="K22" s="354" t="s">
        <v>30</v>
      </c>
      <c r="L22" s="353" t="s">
        <v>83</v>
      </c>
      <c r="M22" s="32" t="s">
        <v>67</v>
      </c>
      <c r="N22" s="32" t="s">
        <v>32</v>
      </c>
      <c r="O22" s="33" t="s">
        <v>84</v>
      </c>
    </row>
    <row r="23" spans="1:20" ht="39.6">
      <c r="A23" s="29" t="s">
        <v>68</v>
      </c>
      <c r="B23" s="182" t="s">
        <v>167</v>
      </c>
      <c r="C23" s="185">
        <v>1</v>
      </c>
      <c r="D23" s="356">
        <v>225000</v>
      </c>
      <c r="E23" s="362">
        <f>ROUND((D23*19%),2)</f>
        <v>42750</v>
      </c>
      <c r="F23" s="362">
        <f>ROUND((+D23+E23),2)</f>
        <v>267750</v>
      </c>
      <c r="G23" s="362">
        <v>220000</v>
      </c>
      <c r="H23" s="362">
        <f>ROUND((G23*19%),2)</f>
        <v>41800</v>
      </c>
      <c r="I23" s="362">
        <f>ROUND((+G23+H23),2)</f>
        <v>261800</v>
      </c>
      <c r="J23" s="362">
        <v>240000</v>
      </c>
      <c r="K23" s="362"/>
      <c r="L23" s="362">
        <f>ROUND((+J23+K23),2)</f>
        <v>240000</v>
      </c>
      <c r="M23" s="124">
        <f>ROUND((D23+G23+J23)/3,2)</f>
        <v>228333.33</v>
      </c>
      <c r="N23" s="124">
        <f>ROUND((E23+H23+K23)/3,2)</f>
        <v>28183.33</v>
      </c>
      <c r="O23" s="125">
        <f>ROUND((F23+I23+L23)/3,2)</f>
        <v>256516.67</v>
      </c>
      <c r="P23" s="9"/>
      <c r="Q23" s="9"/>
      <c r="R23">
        <f>11+23</f>
        <v>34</v>
      </c>
      <c r="S23">
        <v>6</v>
      </c>
      <c r="T23">
        <f>+R23+S23</f>
        <v>40</v>
      </c>
    </row>
    <row r="24" spans="1:20" ht="30">
      <c r="A24" s="29" t="s">
        <v>88</v>
      </c>
      <c r="B24" s="182" t="s">
        <v>167</v>
      </c>
      <c r="C24" s="185">
        <v>1</v>
      </c>
      <c r="D24" s="356">
        <v>82000</v>
      </c>
      <c r="E24" s="362">
        <f t="shared" ref="E24:E30" si="8">ROUND((D24*19%),2)</f>
        <v>15580</v>
      </c>
      <c r="F24" s="362">
        <f t="shared" ref="F24:F30" si="9">ROUND((+D24+E24),2)</f>
        <v>97580</v>
      </c>
      <c r="G24" s="362">
        <v>79250</v>
      </c>
      <c r="H24" s="362">
        <f t="shared" ref="H24:H30" si="10">ROUND((G24*19%),2)</f>
        <v>15057.5</v>
      </c>
      <c r="I24" s="362">
        <f t="shared" ref="I24:I30" si="11">ROUND((+G24+H24),2)</f>
        <v>94307.5</v>
      </c>
      <c r="J24" s="362">
        <v>78000</v>
      </c>
      <c r="K24" s="362"/>
      <c r="L24" s="362">
        <f t="shared" ref="L24:L30" si="12">ROUND((+J24+K24),2)</f>
        <v>78000</v>
      </c>
      <c r="M24" s="124">
        <f t="shared" ref="M24:M30" si="13">ROUND((D24+G24+J24)/3,2)</f>
        <v>79750</v>
      </c>
      <c r="N24" s="124">
        <f t="shared" ref="N24:N30" si="14">ROUND((E24+H24+K24)/3,2)</f>
        <v>10212.5</v>
      </c>
      <c r="O24" s="125">
        <f t="shared" ref="O24:O30" si="15">ROUND((F24+I24+L24)/3,2)</f>
        <v>89962.5</v>
      </c>
      <c r="Q24" s="9"/>
    </row>
    <row r="25" spans="1:20">
      <c r="A25" s="29" t="s">
        <v>70</v>
      </c>
      <c r="B25" s="182" t="s">
        <v>167</v>
      </c>
      <c r="C25" s="185">
        <v>1</v>
      </c>
      <c r="D25" s="356">
        <v>28000</v>
      </c>
      <c r="E25" s="362">
        <f t="shared" si="8"/>
        <v>5320</v>
      </c>
      <c r="F25" s="362">
        <f t="shared" si="9"/>
        <v>33320</v>
      </c>
      <c r="G25" s="362">
        <v>32000</v>
      </c>
      <c r="H25" s="362">
        <f t="shared" si="10"/>
        <v>6080</v>
      </c>
      <c r="I25" s="362">
        <f t="shared" si="11"/>
        <v>38080</v>
      </c>
      <c r="J25" s="362">
        <v>30000</v>
      </c>
      <c r="K25" s="362"/>
      <c r="L25" s="362">
        <f t="shared" si="12"/>
        <v>30000</v>
      </c>
      <c r="M25" s="124">
        <f t="shared" si="13"/>
        <v>30000</v>
      </c>
      <c r="N25" s="124">
        <f t="shared" si="14"/>
        <v>3800</v>
      </c>
      <c r="O25" s="125">
        <f t="shared" si="15"/>
        <v>33800</v>
      </c>
      <c r="Q25" s="9"/>
    </row>
    <row r="26" spans="1:20">
      <c r="A26" s="29" t="s">
        <v>71</v>
      </c>
      <c r="B26" s="182" t="s">
        <v>167</v>
      </c>
      <c r="C26" s="185">
        <v>3</v>
      </c>
      <c r="D26" s="356">
        <v>38000</v>
      </c>
      <c r="E26" s="362">
        <f t="shared" si="8"/>
        <v>7220</v>
      </c>
      <c r="F26" s="362">
        <f t="shared" si="9"/>
        <v>45220</v>
      </c>
      <c r="G26" s="362">
        <v>38000</v>
      </c>
      <c r="H26" s="362">
        <f t="shared" si="10"/>
        <v>7220</v>
      </c>
      <c r="I26" s="362">
        <f t="shared" si="11"/>
        <v>45220</v>
      </c>
      <c r="J26" s="362">
        <v>40000</v>
      </c>
      <c r="K26" s="362"/>
      <c r="L26" s="362">
        <f t="shared" si="12"/>
        <v>40000</v>
      </c>
      <c r="M26" s="124">
        <f t="shared" si="13"/>
        <v>38666.67</v>
      </c>
      <c r="N26" s="124">
        <f t="shared" si="14"/>
        <v>4813.33</v>
      </c>
      <c r="O26" s="125">
        <f t="shared" si="15"/>
        <v>43480</v>
      </c>
      <c r="Q26" s="9"/>
    </row>
    <row r="27" spans="1:20">
      <c r="A27" s="29" t="s">
        <v>73</v>
      </c>
      <c r="B27" s="182" t="s">
        <v>167</v>
      </c>
      <c r="C27" s="185">
        <v>3</v>
      </c>
      <c r="D27" s="356">
        <v>165000</v>
      </c>
      <c r="E27" s="362">
        <f t="shared" si="8"/>
        <v>31350</v>
      </c>
      <c r="F27" s="362">
        <f t="shared" si="9"/>
        <v>196350</v>
      </c>
      <c r="G27" s="362">
        <v>175000</v>
      </c>
      <c r="H27" s="362">
        <f t="shared" si="10"/>
        <v>33250</v>
      </c>
      <c r="I27" s="362">
        <f t="shared" si="11"/>
        <v>208250</v>
      </c>
      <c r="J27" s="362">
        <v>180000</v>
      </c>
      <c r="K27" s="362"/>
      <c r="L27" s="362">
        <f t="shared" si="12"/>
        <v>180000</v>
      </c>
      <c r="M27" s="124">
        <f t="shared" si="13"/>
        <v>173333.33</v>
      </c>
      <c r="N27" s="124">
        <f t="shared" si="14"/>
        <v>21533.33</v>
      </c>
      <c r="O27" s="125">
        <f t="shared" si="15"/>
        <v>194866.67</v>
      </c>
      <c r="Q27" s="9"/>
    </row>
    <row r="28" spans="1:20">
      <c r="A28" s="29" t="s">
        <v>74</v>
      </c>
      <c r="B28" s="182" t="s">
        <v>167</v>
      </c>
      <c r="C28" s="185">
        <v>1</v>
      </c>
      <c r="D28" s="356">
        <v>90000</v>
      </c>
      <c r="E28" s="362">
        <f t="shared" si="8"/>
        <v>17100</v>
      </c>
      <c r="F28" s="362">
        <f t="shared" si="9"/>
        <v>107100</v>
      </c>
      <c r="G28" s="362">
        <v>105000</v>
      </c>
      <c r="H28" s="362">
        <f t="shared" si="10"/>
        <v>19950</v>
      </c>
      <c r="I28" s="362">
        <f t="shared" si="11"/>
        <v>124950</v>
      </c>
      <c r="J28" s="362">
        <v>110000</v>
      </c>
      <c r="K28" s="362"/>
      <c r="L28" s="362">
        <f t="shared" si="12"/>
        <v>110000</v>
      </c>
      <c r="M28" s="124">
        <f t="shared" si="13"/>
        <v>101666.67</v>
      </c>
      <c r="N28" s="124">
        <f t="shared" si="14"/>
        <v>12350</v>
      </c>
      <c r="O28" s="125">
        <f t="shared" si="15"/>
        <v>114016.67</v>
      </c>
      <c r="Q28" s="9"/>
    </row>
    <row r="29" spans="1:20" ht="30">
      <c r="A29" s="29" t="s">
        <v>158</v>
      </c>
      <c r="B29" s="182" t="s">
        <v>167</v>
      </c>
      <c r="C29" s="185">
        <v>1</v>
      </c>
      <c r="D29" s="356">
        <v>160000</v>
      </c>
      <c r="E29" s="362">
        <f t="shared" si="8"/>
        <v>30400</v>
      </c>
      <c r="F29" s="362">
        <f t="shared" si="9"/>
        <v>190400</v>
      </c>
      <c r="G29" s="407">
        <v>138720.34</v>
      </c>
      <c r="H29" s="362">
        <f t="shared" si="10"/>
        <v>26356.86</v>
      </c>
      <c r="I29" s="362">
        <f t="shared" si="11"/>
        <v>165077.20000000001</v>
      </c>
      <c r="J29" s="362">
        <v>175000</v>
      </c>
      <c r="K29" s="362"/>
      <c r="L29" s="362">
        <f t="shared" si="12"/>
        <v>175000</v>
      </c>
      <c r="M29" s="124">
        <f t="shared" si="13"/>
        <v>157906.78</v>
      </c>
      <c r="N29" s="124">
        <f t="shared" si="14"/>
        <v>18918.95</v>
      </c>
      <c r="O29" s="125">
        <f t="shared" si="15"/>
        <v>176825.73</v>
      </c>
      <c r="Q29" s="9"/>
    </row>
    <row r="30" spans="1:20" ht="15" thickBot="1">
      <c r="A30" s="34" t="s">
        <v>75</v>
      </c>
      <c r="B30" s="182" t="s">
        <v>167</v>
      </c>
      <c r="C30" s="199">
        <v>1</v>
      </c>
      <c r="D30" s="356">
        <v>76000</v>
      </c>
      <c r="E30" s="362">
        <f t="shared" si="8"/>
        <v>14440</v>
      </c>
      <c r="F30" s="362">
        <f t="shared" si="9"/>
        <v>90440</v>
      </c>
      <c r="G30" s="362">
        <v>74000</v>
      </c>
      <c r="H30" s="362">
        <f t="shared" si="10"/>
        <v>14060</v>
      </c>
      <c r="I30" s="362">
        <f t="shared" si="11"/>
        <v>88060</v>
      </c>
      <c r="J30" s="362">
        <v>75000</v>
      </c>
      <c r="K30" s="362"/>
      <c r="L30" s="362">
        <f t="shared" si="12"/>
        <v>75000</v>
      </c>
      <c r="M30" s="124">
        <f t="shared" si="13"/>
        <v>75000</v>
      </c>
      <c r="N30" s="124">
        <f t="shared" si="14"/>
        <v>9500</v>
      </c>
      <c r="O30" s="125">
        <f t="shared" si="15"/>
        <v>84500</v>
      </c>
      <c r="Q30" s="9"/>
    </row>
    <row r="31" spans="1:20" ht="15" thickBot="1">
      <c r="A31" s="563" t="s">
        <v>13</v>
      </c>
      <c r="B31" s="564"/>
      <c r="C31" s="564"/>
      <c r="D31" s="363"/>
      <c r="E31" s="363"/>
      <c r="F31" s="364">
        <f>SUM(F23:F30)</f>
        <v>1028160</v>
      </c>
      <c r="G31" s="363"/>
      <c r="H31" s="363"/>
      <c r="I31" s="364">
        <f>SUM(I23:I30)</f>
        <v>1025744.7</v>
      </c>
      <c r="J31" s="363"/>
      <c r="K31" s="363"/>
      <c r="L31" s="365">
        <f>SUM(L23:L30)</f>
        <v>928000</v>
      </c>
      <c r="M31" s="123">
        <f>SUM(M23:M30)</f>
        <v>884656.78</v>
      </c>
      <c r="N31" s="123">
        <f>SUM(N23:N30)</f>
        <v>109311.44</v>
      </c>
      <c r="O31" s="127">
        <f>SUM(O23:O30)</f>
        <v>993968.24000000011</v>
      </c>
      <c r="P31" s="9"/>
    </row>
    <row r="32" spans="1:20" ht="15" thickBot="1">
      <c r="A32" s="31"/>
      <c r="B32" s="31"/>
      <c r="C32" s="198"/>
      <c r="D32" s="121"/>
      <c r="E32" s="122"/>
      <c r="F32" s="121"/>
      <c r="G32" s="122"/>
      <c r="H32" s="122"/>
      <c r="I32" s="122"/>
      <c r="J32" s="565" t="s">
        <v>122</v>
      </c>
      <c r="K32" s="566"/>
      <c r="L32" s="566"/>
      <c r="M32" s="128"/>
      <c r="N32" s="126"/>
      <c r="O32" s="127">
        <f>ROUND((O31*23),2)</f>
        <v>22861269.52</v>
      </c>
      <c r="P32" s="9"/>
      <c r="Q32" s="9"/>
    </row>
    <row r="33" spans="1:13">
      <c r="D33" s="8"/>
      <c r="E33" s="8"/>
      <c r="F33" s="8"/>
      <c r="I33" s="9"/>
      <c r="J33" s="9"/>
      <c r="L33" s="9"/>
      <c r="M33" s="25"/>
    </row>
    <row r="34" spans="1:13">
      <c r="E34" s="9"/>
      <c r="F34" s="9"/>
      <c r="H34" s="78"/>
      <c r="I34" s="9"/>
      <c r="J34" s="9"/>
      <c r="L34" s="9"/>
      <c r="M34" s="25"/>
    </row>
    <row r="35" spans="1:13">
      <c r="A35" s="204" t="s">
        <v>195</v>
      </c>
      <c r="B35" s="204" t="s">
        <v>166</v>
      </c>
      <c r="C35" s="204" t="s">
        <v>183</v>
      </c>
      <c r="D35" s="204" t="s">
        <v>184</v>
      </c>
      <c r="E35" s="205" t="s">
        <v>185</v>
      </c>
      <c r="F35" s="9"/>
      <c r="I35" s="9"/>
      <c r="J35" s="9"/>
    </row>
    <row r="36" spans="1:13">
      <c r="A36" s="193" t="s">
        <v>193</v>
      </c>
      <c r="B36" s="193" t="s">
        <v>167</v>
      </c>
      <c r="C36" s="200">
        <v>23</v>
      </c>
      <c r="D36" s="201">
        <f>+O31</f>
        <v>993968.24000000011</v>
      </c>
      <c r="E36" s="203">
        <f>+C36*D36</f>
        <v>22861269.520000003</v>
      </c>
    </row>
    <row r="37" spans="1:13">
      <c r="A37" s="193" t="s">
        <v>194</v>
      </c>
      <c r="B37" s="193" t="s">
        <v>167</v>
      </c>
      <c r="C37" s="200">
        <v>17</v>
      </c>
      <c r="D37" s="202">
        <f>+O15</f>
        <v>1147123.3299999998</v>
      </c>
      <c r="E37" s="203">
        <f>+C37*D37</f>
        <v>19501096.609999996</v>
      </c>
    </row>
    <row r="38" spans="1:13">
      <c r="A38" s="571" t="s">
        <v>4</v>
      </c>
      <c r="B38" s="572"/>
      <c r="C38" s="204">
        <f>+C36+C37</f>
        <v>40</v>
      </c>
      <c r="D38" s="4"/>
      <c r="E38" s="366">
        <f>+E36+E37</f>
        <v>42362366.129999995</v>
      </c>
    </row>
    <row r="45" spans="1:13">
      <c r="E45" s="76"/>
      <c r="F45" s="76"/>
      <c r="G45" s="76"/>
    </row>
    <row r="46" spans="1:13">
      <c r="E46" s="76"/>
      <c r="F46" s="76"/>
      <c r="G46" s="76"/>
    </row>
    <row r="47" spans="1:13">
      <c r="G47" s="76"/>
    </row>
    <row r="48" spans="1:13">
      <c r="G48" s="76"/>
    </row>
    <row r="49" spans="7:7">
      <c r="G49" s="76"/>
    </row>
    <row r="50" spans="7:7">
      <c r="G50" s="224"/>
    </row>
  </sheetData>
  <mergeCells count="20">
    <mergeCell ref="A31:C31"/>
    <mergeCell ref="J32:L32"/>
    <mergeCell ref="J16:L16"/>
    <mergeCell ref="B21:B22"/>
    <mergeCell ref="A38:B38"/>
    <mergeCell ref="M4:O4"/>
    <mergeCell ref="A21:A22"/>
    <mergeCell ref="C21:C22"/>
    <mergeCell ref="D21:F21"/>
    <mergeCell ref="G21:I21"/>
    <mergeCell ref="M21:O21"/>
    <mergeCell ref="D4:F4"/>
    <mergeCell ref="G4:I4"/>
    <mergeCell ref="A4:A5"/>
    <mergeCell ref="C4:C5"/>
    <mergeCell ref="J4:L4"/>
    <mergeCell ref="D15:F15"/>
    <mergeCell ref="G15:I15"/>
    <mergeCell ref="J15:L15"/>
    <mergeCell ref="J21:L21"/>
  </mergeCells>
  <pageMargins left="0.7" right="0.7" top="0.75" bottom="0.75" header="0.3" footer="0.3"/>
  <pageSetup orientation="portrait" r:id="rId1"/>
  <legacy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Q16"/>
  <sheetViews>
    <sheetView topLeftCell="E4" zoomScale="115" zoomScaleNormal="115" workbookViewId="0">
      <selection activeCell="A9" sqref="A9"/>
    </sheetView>
  </sheetViews>
  <sheetFormatPr baseColWidth="10" defaultRowHeight="14.4"/>
  <cols>
    <col min="1" max="1" width="21.33203125" customWidth="1"/>
    <col min="2" max="2" width="8.88671875" customWidth="1"/>
    <col min="3" max="3" width="9" customWidth="1"/>
    <col min="4" max="4" width="11.88671875" bestFit="1" customWidth="1"/>
    <col min="5" max="5" width="10.88671875" bestFit="1" customWidth="1"/>
    <col min="6" max="6" width="16.109375" customWidth="1"/>
    <col min="7" max="7" width="11.88671875" bestFit="1" customWidth="1"/>
    <col min="8" max="8" width="9.6640625" bestFit="1" customWidth="1"/>
    <col min="9" max="9" width="15.5546875" customWidth="1"/>
    <col min="10" max="10" width="11.88671875" bestFit="1" customWidth="1"/>
    <col min="11" max="11" width="9.6640625" bestFit="1" customWidth="1"/>
    <col min="12" max="12" width="15.5546875" customWidth="1"/>
    <col min="13" max="13" width="16" customWidth="1"/>
    <col min="14" max="14" width="14.33203125" customWidth="1"/>
    <col min="15" max="15" width="17.6640625" customWidth="1"/>
    <col min="16" max="16" width="16.5546875" customWidth="1"/>
    <col min="17" max="17" width="13.5546875" customWidth="1"/>
  </cols>
  <sheetData>
    <row r="2" spans="1:17">
      <c r="A2" t="s">
        <v>150</v>
      </c>
    </row>
    <row r="5" spans="1:17" ht="15" thickBot="1"/>
    <row r="6" spans="1:17" ht="27" customHeight="1">
      <c r="A6" s="579" t="s">
        <v>89</v>
      </c>
      <c r="B6" s="584" t="s">
        <v>169</v>
      </c>
      <c r="C6" s="577" t="s">
        <v>28</v>
      </c>
      <c r="D6" s="581" t="str">
        <f>+'3.3 DOTACIÓN HG'!D4:F4</f>
        <v>PROPACHAMAMA</v>
      </c>
      <c r="E6" s="582"/>
      <c r="F6" s="583"/>
      <c r="G6" s="518" t="str">
        <f>+'3.3 DOTACIÓN HG'!G4:I4</f>
        <v>CAFAMI</v>
      </c>
      <c r="H6" s="518"/>
      <c r="I6" s="518"/>
      <c r="J6" s="518" t="str">
        <f>+'3.3 DOTACIÓN HG'!J4:L4</f>
        <v>CORPORACION TERNURA</v>
      </c>
      <c r="K6" s="518"/>
      <c r="L6" s="518"/>
      <c r="M6" s="586" t="s">
        <v>197</v>
      </c>
      <c r="N6" s="586"/>
      <c r="O6" s="586"/>
      <c r="P6" s="586"/>
    </row>
    <row r="7" spans="1:17" ht="39.6">
      <c r="A7" s="580"/>
      <c r="B7" s="585"/>
      <c r="C7" s="578"/>
      <c r="D7" s="27" t="s">
        <v>90</v>
      </c>
      <c r="E7" s="28" t="s">
        <v>30</v>
      </c>
      <c r="F7" s="151" t="s">
        <v>91</v>
      </c>
      <c r="G7" s="279" t="s">
        <v>90</v>
      </c>
      <c r="H7" s="280" t="s">
        <v>30</v>
      </c>
      <c r="I7" s="279" t="s">
        <v>91</v>
      </c>
      <c r="J7" s="279" t="s">
        <v>90</v>
      </c>
      <c r="K7" s="280" t="s">
        <v>30</v>
      </c>
      <c r="L7" s="279" t="s">
        <v>91</v>
      </c>
      <c r="M7" s="213" t="s">
        <v>92</v>
      </c>
      <c r="N7" s="213" t="s">
        <v>32</v>
      </c>
      <c r="O7" s="214" t="s">
        <v>93</v>
      </c>
      <c r="P7" s="212" t="s">
        <v>241</v>
      </c>
    </row>
    <row r="8" spans="1:17" ht="36" customHeight="1" thickBot="1">
      <c r="A8" s="131" t="s">
        <v>199</v>
      </c>
      <c r="B8" s="206" t="s">
        <v>198</v>
      </c>
      <c r="C8" s="132">
        <v>40</v>
      </c>
      <c r="D8" s="133">
        <v>30000</v>
      </c>
      <c r="E8" s="129"/>
      <c r="F8" s="134">
        <f>ROUND((+D8+E8),2)</f>
        <v>30000</v>
      </c>
      <c r="G8" s="367">
        <v>35000</v>
      </c>
      <c r="H8" s="368"/>
      <c r="I8" s="369">
        <f>ROUND((+G8+H8),2)</f>
        <v>35000</v>
      </c>
      <c r="J8" s="367">
        <v>31200</v>
      </c>
      <c r="K8" s="368"/>
      <c r="L8" s="369">
        <f>ROUND((+J8+K8),2)</f>
        <v>31200</v>
      </c>
      <c r="M8" s="133">
        <f>+SUM(D8+G8+J8)/3</f>
        <v>32066.666666666668</v>
      </c>
      <c r="N8" s="133">
        <v>0</v>
      </c>
      <c r="O8" s="208">
        <f>+SUM(F8+I8+L8)/3</f>
        <v>32066.666666666668</v>
      </c>
      <c r="P8" s="166">
        <f>ROUND((+O8*C8),2)</f>
        <v>1282666.67</v>
      </c>
      <c r="Q8">
        <f>+O8*40</f>
        <v>1282666.6666666667</v>
      </c>
    </row>
    <row r="9" spans="1:17" ht="26.4" customHeight="1" thickBot="1">
      <c r="A9" s="35" t="s">
        <v>146</v>
      </c>
      <c r="B9" s="207" t="s">
        <v>196</v>
      </c>
      <c r="C9" s="135">
        <v>1</v>
      </c>
      <c r="D9" s="251">
        <v>2150000</v>
      </c>
      <c r="E9" s="129">
        <f>ROUND((D9*19%),2)</f>
        <v>408500</v>
      </c>
      <c r="F9" s="234">
        <f>ROUND((+D9+E9),2)</f>
        <v>2558500</v>
      </c>
      <c r="G9" s="251">
        <v>2300000</v>
      </c>
      <c r="H9" s="251">
        <f>ROUND((G9*19%),2)</f>
        <v>437000</v>
      </c>
      <c r="I9" s="251">
        <f>ROUND((+G9+H9),2)</f>
        <v>2737000</v>
      </c>
      <c r="J9" s="251">
        <v>2250000</v>
      </c>
      <c r="K9" s="251"/>
      <c r="L9" s="251">
        <f>ROUND((+J9+K9),2)</f>
        <v>2250000</v>
      </c>
      <c r="M9" s="129">
        <f>ROUND((D9+G9+J9)/3,2)</f>
        <v>2233333.33</v>
      </c>
      <c r="N9" s="129">
        <f>ROUND((E9+H9+K9)/3,2)</f>
        <v>281833.33</v>
      </c>
      <c r="O9" s="209">
        <f>ROUND((F9+I9+L9)/3,2)</f>
        <v>2515166.67</v>
      </c>
      <c r="P9" s="166">
        <f>ROUND((+O9*C9),2)</f>
        <v>2515166.67</v>
      </c>
    </row>
    <row r="10" spans="1:17" ht="15" thickBot="1">
      <c r="A10" s="136"/>
      <c r="B10" s="136"/>
      <c r="C10" s="137"/>
      <c r="D10" s="138"/>
      <c r="E10" s="138"/>
      <c r="F10" s="138"/>
      <c r="G10" s="252"/>
      <c r="H10" s="252"/>
      <c r="I10" s="252"/>
      <c r="J10" s="587" t="s">
        <v>242</v>
      </c>
      <c r="K10" s="588"/>
      <c r="L10" s="588"/>
      <c r="M10" s="588"/>
      <c r="N10" s="588"/>
      <c r="O10" s="589"/>
      <c r="P10" s="370">
        <f>ROUND((+P8+P9),2)</f>
        <v>3797833.34</v>
      </c>
    </row>
    <row r="11" spans="1:17" ht="15" thickBot="1">
      <c r="A11" s="30"/>
      <c r="B11" s="30"/>
      <c r="C11" s="31"/>
      <c r="D11" s="130"/>
      <c r="E11" s="130"/>
      <c r="F11" s="130"/>
      <c r="G11" s="253"/>
      <c r="H11" s="253"/>
      <c r="I11" s="253"/>
      <c r="J11" s="575" t="s">
        <v>240</v>
      </c>
      <c r="K11" s="576"/>
      <c r="L11" s="576"/>
      <c r="M11" s="576"/>
      <c r="N11" s="576"/>
      <c r="O11" s="371"/>
      <c r="P11" s="372">
        <f>ROUND((+P10*6),2)</f>
        <v>22787000.039999999</v>
      </c>
    </row>
    <row r="12" spans="1:17" ht="15" thickBot="1">
      <c r="A12" s="30"/>
      <c r="B12" s="30"/>
      <c r="C12" s="31"/>
      <c r="D12" s="130"/>
      <c r="E12" s="130"/>
      <c r="F12" s="130"/>
      <c r="G12" s="253"/>
      <c r="H12" s="253"/>
      <c r="I12" s="253"/>
      <c r="J12" s="573"/>
      <c r="K12" s="574"/>
      <c r="L12" s="574"/>
      <c r="M12" s="149"/>
      <c r="N12" s="149"/>
      <c r="O12" s="210"/>
      <c r="P12" s="200"/>
    </row>
    <row r="13" spans="1:17" ht="15" thickBot="1">
      <c r="D13" s="54"/>
      <c r="E13" s="54"/>
      <c r="F13" s="54"/>
      <c r="G13" s="254"/>
      <c r="H13" s="254"/>
      <c r="I13" s="254"/>
      <c r="O13" s="211"/>
      <c r="P13" s="200"/>
    </row>
    <row r="14" spans="1:17">
      <c r="G14" s="255"/>
      <c r="H14" s="255"/>
      <c r="I14" s="255"/>
      <c r="O14" s="9"/>
    </row>
    <row r="15" spans="1:17">
      <c r="F15" s="54"/>
      <c r="G15" s="255"/>
      <c r="H15" s="255"/>
      <c r="I15" s="255"/>
      <c r="N15" s="9"/>
      <c r="O15" s="9"/>
    </row>
    <row r="16" spans="1:17">
      <c r="G16" s="255"/>
      <c r="H16" s="255"/>
      <c r="I16" s="255"/>
    </row>
  </sheetData>
  <mergeCells count="10">
    <mergeCell ref="J12:L12"/>
    <mergeCell ref="J11:N11"/>
    <mergeCell ref="C6:C7"/>
    <mergeCell ref="A6:A7"/>
    <mergeCell ref="D6:F6"/>
    <mergeCell ref="G6:I6"/>
    <mergeCell ref="J6:L6"/>
    <mergeCell ref="B6:B7"/>
    <mergeCell ref="M6:P6"/>
    <mergeCell ref="J10:O10"/>
  </mergeCells>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2:P26"/>
  <sheetViews>
    <sheetView topLeftCell="A15" zoomScaleNormal="100" workbookViewId="0">
      <selection activeCell="J26" sqref="J26"/>
    </sheetView>
  </sheetViews>
  <sheetFormatPr baseColWidth="10" defaultRowHeight="14.4"/>
  <cols>
    <col min="1" max="1" width="14.44140625" style="162" customWidth="1"/>
    <col min="2" max="2" width="8.5546875" style="162" customWidth="1"/>
    <col min="3" max="3" width="10.5546875" customWidth="1"/>
    <col min="4" max="4" width="16.44140625" style="162" customWidth="1"/>
    <col min="5" max="5" width="16.109375" style="24" customWidth="1"/>
    <col min="6" max="6" width="16" style="24" customWidth="1"/>
    <col min="7" max="7" width="18.44140625" style="24" customWidth="1"/>
    <col min="8" max="8" width="16.88671875" style="24" customWidth="1"/>
    <col min="9" max="9" width="19.33203125" style="24" customWidth="1"/>
    <col min="10" max="10" width="16.44140625" style="24" customWidth="1"/>
    <col min="11" max="11" width="17.44140625" customWidth="1"/>
    <col min="12" max="12" width="20.5546875" customWidth="1"/>
    <col min="13" max="13" width="20.109375" customWidth="1"/>
    <col min="16" max="16" width="13.109375" bestFit="1" customWidth="1"/>
  </cols>
  <sheetData>
    <row r="2" spans="1:16" ht="27" customHeight="1">
      <c r="A2" s="591"/>
      <c r="B2" s="591"/>
      <c r="C2" s="591"/>
      <c r="D2" s="591"/>
      <c r="E2" s="591"/>
      <c r="F2" s="591"/>
      <c r="G2" s="591"/>
      <c r="H2" s="591"/>
      <c r="I2" s="591"/>
      <c r="J2" s="591"/>
      <c r="K2" s="592"/>
      <c r="L2" s="592"/>
      <c r="M2" s="592"/>
    </row>
    <row r="3" spans="1:16" s="162" customFormat="1" ht="40.5" customHeight="1">
      <c r="A3" s="593" t="s">
        <v>20</v>
      </c>
      <c r="B3" s="593" t="s">
        <v>169</v>
      </c>
      <c r="C3" s="593" t="s">
        <v>28</v>
      </c>
      <c r="D3" s="542" t="s">
        <v>21</v>
      </c>
      <c r="E3" s="594" t="s">
        <v>154</v>
      </c>
      <c r="F3" s="594"/>
      <c r="G3" s="594" t="s">
        <v>210</v>
      </c>
      <c r="H3" s="594"/>
      <c r="I3" s="594" t="s">
        <v>209</v>
      </c>
      <c r="J3" s="594"/>
      <c r="K3" s="542" t="s">
        <v>115</v>
      </c>
      <c r="L3" s="542"/>
      <c r="M3" s="542"/>
    </row>
    <row r="4" spans="1:16" s="162" customFormat="1" ht="19.2">
      <c r="A4" s="593"/>
      <c r="B4" s="593"/>
      <c r="C4" s="593"/>
      <c r="D4" s="542"/>
      <c r="E4" s="373" t="s">
        <v>113</v>
      </c>
      <c r="F4" s="373" t="s">
        <v>114</v>
      </c>
      <c r="G4" s="373" t="s">
        <v>113</v>
      </c>
      <c r="H4" s="373" t="s">
        <v>114</v>
      </c>
      <c r="I4" s="373" t="s">
        <v>113</v>
      </c>
      <c r="J4" s="373" t="s">
        <v>114</v>
      </c>
      <c r="K4" s="336" t="s">
        <v>201</v>
      </c>
      <c r="L4" s="336" t="s">
        <v>141</v>
      </c>
      <c r="M4" s="336" t="s">
        <v>222</v>
      </c>
    </row>
    <row r="5" spans="1:16" s="162" customFormat="1" ht="236.25" customHeight="1">
      <c r="A5" s="374" t="s">
        <v>94</v>
      </c>
      <c r="B5" s="374" t="s">
        <v>167</v>
      </c>
      <c r="C5" s="340">
        <v>1</v>
      </c>
      <c r="D5" s="374" t="s">
        <v>95</v>
      </c>
      <c r="E5" s="375">
        <v>4650000</v>
      </c>
      <c r="F5" s="375">
        <f>ROUND((+C5*E5),2)</f>
        <v>4650000</v>
      </c>
      <c r="G5" s="376">
        <v>4900000</v>
      </c>
      <c r="H5" s="376">
        <f>ROUND((+G5*C5),2)</f>
        <v>4900000</v>
      </c>
      <c r="I5" s="375">
        <v>4610000</v>
      </c>
      <c r="J5" s="375">
        <f>ROUND((+I5*C5),2)</f>
        <v>4610000</v>
      </c>
      <c r="K5" s="375">
        <f>ROUND((E5+G5+I5)/3,2)</f>
        <v>4720000</v>
      </c>
      <c r="L5" s="375">
        <f>ROUND((F5+H5+J5)/3,2)</f>
        <v>4720000</v>
      </c>
      <c r="M5" s="375">
        <f t="shared" ref="M5:M13" si="0">ROUND((L5*6),2)</f>
        <v>28320000</v>
      </c>
    </row>
    <row r="6" spans="1:16" s="162" customFormat="1" ht="153.6">
      <c r="A6" s="374" t="s">
        <v>96</v>
      </c>
      <c r="B6" s="374" t="s">
        <v>167</v>
      </c>
      <c r="C6" s="340">
        <v>7</v>
      </c>
      <c r="D6" s="374" t="s">
        <v>203</v>
      </c>
      <c r="E6" s="375">
        <v>2500000</v>
      </c>
      <c r="F6" s="375">
        <f t="shared" ref="F6:F13" si="1">ROUND((+C6*E6),2)</f>
        <v>17500000</v>
      </c>
      <c r="G6" s="376">
        <v>2500000</v>
      </c>
      <c r="H6" s="376">
        <f t="shared" ref="H6:H13" si="2">ROUND((+G6*C6),2)</f>
        <v>17500000</v>
      </c>
      <c r="I6" s="375">
        <v>2400000</v>
      </c>
      <c r="J6" s="375">
        <f t="shared" ref="J6:J13" si="3">ROUND((+I6*C6),2)</f>
        <v>16800000</v>
      </c>
      <c r="K6" s="375">
        <f t="shared" ref="K6:K13" si="4">ROUND((E6+G6+I6)/3,2)</f>
        <v>2466666.67</v>
      </c>
      <c r="L6" s="375">
        <f t="shared" ref="L6:L13" si="5">ROUND((F6+H6+J6)/3,2)</f>
        <v>17266666.670000002</v>
      </c>
      <c r="M6" s="375">
        <f t="shared" si="0"/>
        <v>103600000.02</v>
      </c>
      <c r="P6" s="167"/>
    </row>
    <row r="7" spans="1:16" s="162" customFormat="1" ht="144.75" customHeight="1">
      <c r="A7" s="374" t="s">
        <v>159</v>
      </c>
      <c r="B7" s="374" t="s">
        <v>167</v>
      </c>
      <c r="C7" s="340">
        <v>1</v>
      </c>
      <c r="D7" s="374" t="s">
        <v>160</v>
      </c>
      <c r="E7" s="375">
        <v>4650000</v>
      </c>
      <c r="F7" s="375">
        <f t="shared" si="1"/>
        <v>4650000</v>
      </c>
      <c r="G7" s="376">
        <v>4900000</v>
      </c>
      <c r="H7" s="376">
        <f t="shared" si="2"/>
        <v>4900000</v>
      </c>
      <c r="I7" s="375">
        <v>4610000</v>
      </c>
      <c r="J7" s="375">
        <f t="shared" si="3"/>
        <v>4610000</v>
      </c>
      <c r="K7" s="375">
        <f t="shared" si="4"/>
        <v>4720000</v>
      </c>
      <c r="L7" s="375">
        <f t="shared" si="5"/>
        <v>4720000</v>
      </c>
      <c r="M7" s="375">
        <f t="shared" si="0"/>
        <v>28320000</v>
      </c>
    </row>
    <row r="8" spans="1:16" s="162" customFormat="1" ht="323.25" customHeight="1">
      <c r="A8" s="374" t="s">
        <v>97</v>
      </c>
      <c r="B8" s="374" t="s">
        <v>167</v>
      </c>
      <c r="C8" s="340">
        <v>1</v>
      </c>
      <c r="D8" s="374" t="s">
        <v>98</v>
      </c>
      <c r="E8" s="375">
        <v>4650000</v>
      </c>
      <c r="F8" s="375">
        <f t="shared" si="1"/>
        <v>4650000</v>
      </c>
      <c r="G8" s="376">
        <v>4900000</v>
      </c>
      <c r="H8" s="376">
        <f t="shared" si="2"/>
        <v>4900000</v>
      </c>
      <c r="I8" s="375">
        <v>4610000</v>
      </c>
      <c r="J8" s="375">
        <f t="shared" si="3"/>
        <v>4610000</v>
      </c>
      <c r="K8" s="375">
        <f t="shared" si="4"/>
        <v>4720000</v>
      </c>
      <c r="L8" s="375">
        <f t="shared" si="5"/>
        <v>4720000</v>
      </c>
      <c r="M8" s="375">
        <f t="shared" si="0"/>
        <v>28320000</v>
      </c>
    </row>
    <row r="9" spans="1:16" s="162" customFormat="1" ht="198" customHeight="1">
      <c r="A9" s="374" t="s">
        <v>99</v>
      </c>
      <c r="B9" s="374" t="s">
        <v>167</v>
      </c>
      <c r="C9" s="340">
        <v>1</v>
      </c>
      <c r="D9" s="374" t="s">
        <v>100</v>
      </c>
      <c r="E9" s="375">
        <v>4650000</v>
      </c>
      <c r="F9" s="375">
        <f t="shared" si="1"/>
        <v>4650000</v>
      </c>
      <c r="G9" s="375">
        <v>4900000</v>
      </c>
      <c r="H9" s="376">
        <f t="shared" si="2"/>
        <v>4900000</v>
      </c>
      <c r="I9" s="375">
        <v>4610000</v>
      </c>
      <c r="J9" s="375">
        <f t="shared" si="3"/>
        <v>4610000</v>
      </c>
      <c r="K9" s="375">
        <f t="shared" si="4"/>
        <v>4720000</v>
      </c>
      <c r="L9" s="375">
        <f t="shared" si="5"/>
        <v>4720000</v>
      </c>
      <c r="M9" s="375">
        <f t="shared" si="0"/>
        <v>28320000</v>
      </c>
    </row>
    <row r="10" spans="1:16" s="162" customFormat="1" ht="280.5" customHeight="1">
      <c r="A10" s="374" t="s">
        <v>101</v>
      </c>
      <c r="B10" s="374" t="s">
        <v>167</v>
      </c>
      <c r="C10" s="340">
        <v>1</v>
      </c>
      <c r="D10" s="374" t="s">
        <v>144</v>
      </c>
      <c r="E10" s="375">
        <v>4650000</v>
      </c>
      <c r="F10" s="375">
        <f t="shared" si="1"/>
        <v>4650000</v>
      </c>
      <c r="G10" s="375">
        <v>4900000</v>
      </c>
      <c r="H10" s="376">
        <f t="shared" si="2"/>
        <v>4900000</v>
      </c>
      <c r="I10" s="375">
        <v>4610000</v>
      </c>
      <c r="J10" s="375">
        <f t="shared" si="3"/>
        <v>4610000</v>
      </c>
      <c r="K10" s="375">
        <f t="shared" si="4"/>
        <v>4720000</v>
      </c>
      <c r="L10" s="375">
        <f t="shared" si="5"/>
        <v>4720000</v>
      </c>
      <c r="M10" s="375">
        <f t="shared" si="0"/>
        <v>28320000</v>
      </c>
    </row>
    <row r="11" spans="1:16" s="162" customFormat="1" ht="279.75" customHeight="1">
      <c r="A11" s="374" t="s">
        <v>163</v>
      </c>
      <c r="B11" s="374" t="s">
        <v>167</v>
      </c>
      <c r="C11" s="340">
        <v>1</v>
      </c>
      <c r="D11" s="374" t="s">
        <v>164</v>
      </c>
      <c r="E11" s="375">
        <v>4650000</v>
      </c>
      <c r="F11" s="375">
        <f t="shared" si="1"/>
        <v>4650000</v>
      </c>
      <c r="G11" s="375">
        <v>4900000</v>
      </c>
      <c r="H11" s="376">
        <f t="shared" si="2"/>
        <v>4900000</v>
      </c>
      <c r="I11" s="375">
        <v>4610000</v>
      </c>
      <c r="J11" s="375">
        <f t="shared" si="3"/>
        <v>4610000</v>
      </c>
      <c r="K11" s="375">
        <f t="shared" si="4"/>
        <v>4720000</v>
      </c>
      <c r="L11" s="375">
        <f t="shared" si="5"/>
        <v>4720000</v>
      </c>
      <c r="M11" s="375">
        <f t="shared" si="0"/>
        <v>28320000</v>
      </c>
    </row>
    <row r="12" spans="1:16" s="162" customFormat="1" ht="221.4" customHeight="1">
      <c r="A12" s="374" t="s">
        <v>102</v>
      </c>
      <c r="B12" s="374" t="s">
        <v>167</v>
      </c>
      <c r="C12" s="340">
        <v>3</v>
      </c>
      <c r="D12" s="374" t="s">
        <v>103</v>
      </c>
      <c r="E12" s="375">
        <v>2200000</v>
      </c>
      <c r="F12" s="375">
        <f t="shared" si="1"/>
        <v>6600000</v>
      </c>
      <c r="G12" s="375">
        <v>2400000</v>
      </c>
      <c r="H12" s="376">
        <f t="shared" si="2"/>
        <v>7200000</v>
      </c>
      <c r="I12" s="375">
        <v>2200000</v>
      </c>
      <c r="J12" s="375">
        <f t="shared" si="3"/>
        <v>6600000</v>
      </c>
      <c r="K12" s="375">
        <f t="shared" si="4"/>
        <v>2266666.67</v>
      </c>
      <c r="L12" s="375">
        <f t="shared" si="5"/>
        <v>6800000</v>
      </c>
      <c r="M12" s="375">
        <f t="shared" si="0"/>
        <v>40800000</v>
      </c>
    </row>
    <row r="13" spans="1:16" s="162" customFormat="1" ht="135.75" customHeight="1">
      <c r="A13" s="374" t="s">
        <v>104</v>
      </c>
      <c r="B13" s="374" t="s">
        <v>167</v>
      </c>
      <c r="C13" s="340">
        <v>2</v>
      </c>
      <c r="D13" s="374" t="s">
        <v>105</v>
      </c>
      <c r="E13" s="375">
        <v>2140000</v>
      </c>
      <c r="F13" s="375">
        <f t="shared" si="1"/>
        <v>4280000</v>
      </c>
      <c r="G13" s="375">
        <v>2350000</v>
      </c>
      <c r="H13" s="376">
        <f t="shared" si="2"/>
        <v>4700000</v>
      </c>
      <c r="I13" s="375">
        <v>2100000</v>
      </c>
      <c r="J13" s="375">
        <f t="shared" si="3"/>
        <v>4200000</v>
      </c>
      <c r="K13" s="375">
        <f t="shared" si="4"/>
        <v>2196666.67</v>
      </c>
      <c r="L13" s="375">
        <f t="shared" si="5"/>
        <v>4393333.33</v>
      </c>
      <c r="M13" s="375">
        <f t="shared" si="0"/>
        <v>26359999.98</v>
      </c>
    </row>
    <row r="14" spans="1:16">
      <c r="A14" s="542" t="s">
        <v>123</v>
      </c>
      <c r="B14" s="542"/>
      <c r="C14" s="542"/>
      <c r="D14" s="542"/>
      <c r="E14" s="377">
        <f>SUM(E5:E13)</f>
        <v>34740000</v>
      </c>
      <c r="F14" s="377">
        <f>SUM(F5:F13)</f>
        <v>56280000</v>
      </c>
      <c r="G14" s="377">
        <f>SUM(G5:G13)</f>
        <v>36650000</v>
      </c>
      <c r="H14" s="377">
        <f>SUM(H5:H13)</f>
        <v>58800000</v>
      </c>
      <c r="I14" s="377">
        <f t="shared" ref="I14:J14" si="6">SUM(I5:I13)</f>
        <v>34360000</v>
      </c>
      <c r="J14" s="377">
        <f t="shared" si="6"/>
        <v>55260000</v>
      </c>
      <c r="K14" s="378">
        <f>SUM(K5:K13)</f>
        <v>35250000.010000005</v>
      </c>
      <c r="L14" s="378">
        <f>SUM(L5:L13)</f>
        <v>56780000</v>
      </c>
      <c r="M14" s="378">
        <f>SUM(M5:M13)</f>
        <v>340680000</v>
      </c>
    </row>
    <row r="15" spans="1:16">
      <c r="F15" s="58"/>
      <c r="G15" s="58"/>
      <c r="H15" s="58"/>
      <c r="I15" s="58"/>
      <c r="J15" s="9"/>
      <c r="M15" s="91"/>
    </row>
    <row r="16" spans="1:16">
      <c r="M16" s="76"/>
    </row>
    <row r="18" spans="1:12">
      <c r="J18" s="62"/>
    </row>
    <row r="22" spans="1:12">
      <c r="A22" s="590" t="s">
        <v>206</v>
      </c>
      <c r="B22" s="590"/>
      <c r="C22" s="590"/>
      <c r="D22" s="590"/>
      <c r="E22" s="590"/>
      <c r="F22" s="590"/>
      <c r="G22" s="590"/>
      <c r="H22" s="590"/>
      <c r="I22" s="590"/>
    </row>
    <row r="23" spans="1:12" ht="15" thickBot="1">
      <c r="A23" s="225"/>
      <c r="B23"/>
    </row>
    <row r="24" spans="1:12" ht="23.25" customHeight="1" thickBot="1">
      <c r="A24" s="598" t="s">
        <v>89</v>
      </c>
      <c r="B24" s="600" t="s">
        <v>169</v>
      </c>
      <c r="C24" s="382"/>
      <c r="D24" s="595" t="s">
        <v>154</v>
      </c>
      <c r="E24" s="595"/>
      <c r="F24" s="594" t="s">
        <v>210</v>
      </c>
      <c r="G24" s="594"/>
      <c r="H24" s="595" t="s">
        <v>209</v>
      </c>
      <c r="I24" s="595"/>
      <c r="J24" s="596" t="s">
        <v>201</v>
      </c>
      <c r="K24" s="596"/>
      <c r="L24" s="597"/>
    </row>
    <row r="25" spans="1:12" ht="19.8" thickBot="1">
      <c r="A25" s="599"/>
      <c r="B25" s="601"/>
      <c r="C25" s="383" t="s">
        <v>28</v>
      </c>
      <c r="D25" s="373" t="s">
        <v>113</v>
      </c>
      <c r="E25" s="373" t="s">
        <v>114</v>
      </c>
      <c r="F25" s="373" t="s">
        <v>113</v>
      </c>
      <c r="G25" s="373" t="s">
        <v>114</v>
      </c>
      <c r="H25" s="373" t="s">
        <v>113</v>
      </c>
      <c r="I25" s="373" t="s">
        <v>114</v>
      </c>
      <c r="J25" s="380" t="s">
        <v>201</v>
      </c>
      <c r="K25" s="232" t="s">
        <v>141</v>
      </c>
      <c r="L25" s="232" t="s">
        <v>222</v>
      </c>
    </row>
    <row r="26" spans="1:12" ht="53.4" thickBot="1">
      <c r="A26" s="226" t="s">
        <v>207</v>
      </c>
      <c r="B26" s="379" t="s">
        <v>167</v>
      </c>
      <c r="C26" s="384">
        <v>21</v>
      </c>
      <c r="D26" s="385">
        <v>120000</v>
      </c>
      <c r="E26" s="386">
        <f>ROUND((+D26*C26),2)</f>
        <v>2520000</v>
      </c>
      <c r="F26" s="385">
        <v>120000</v>
      </c>
      <c r="G26" s="386">
        <f>ROUND((+F26*C26),2)</f>
        <v>2520000</v>
      </c>
      <c r="H26" s="385">
        <v>115000</v>
      </c>
      <c r="I26" s="386">
        <f>ROUND((+H26*C26),2)</f>
        <v>2415000</v>
      </c>
      <c r="J26" s="381">
        <f>ROUND((+D26+F26+H26)/3,2)</f>
        <v>118333.33</v>
      </c>
      <c r="K26" s="230">
        <f>ROUND((+E26+G26+I26)/3,2)</f>
        <v>2485000</v>
      </c>
      <c r="L26" s="231">
        <f>ROUND((+K26*6),2)</f>
        <v>14910000</v>
      </c>
    </row>
  </sheetData>
  <mergeCells count="17">
    <mergeCell ref="D24:E24"/>
    <mergeCell ref="F24:G24"/>
    <mergeCell ref="H24:I24"/>
    <mergeCell ref="J24:L24"/>
    <mergeCell ref="A24:A25"/>
    <mergeCell ref="B24:B25"/>
    <mergeCell ref="A22:I22"/>
    <mergeCell ref="A14:D14"/>
    <mergeCell ref="A2:M2"/>
    <mergeCell ref="A3:A4"/>
    <mergeCell ref="D3:D4"/>
    <mergeCell ref="E3:F3"/>
    <mergeCell ref="G3:H3"/>
    <mergeCell ref="I3:J3"/>
    <mergeCell ref="K3:M3"/>
    <mergeCell ref="B3:B4"/>
    <mergeCell ref="C3:C4"/>
  </mergeCells>
  <pageMargins left="0.7" right="0.7" top="0.75" bottom="0.75" header="0.3" footer="0.3"/>
  <pageSetup orientation="portrait" r:id="rId1"/>
  <legacy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T24"/>
  <sheetViews>
    <sheetView showGridLines="0" zoomScale="70" zoomScaleNormal="70" workbookViewId="0">
      <selection activeCell="A6" sqref="A6"/>
    </sheetView>
  </sheetViews>
  <sheetFormatPr baseColWidth="10" defaultRowHeight="14.4"/>
  <cols>
    <col min="1" max="1" width="32.44140625" customWidth="1"/>
    <col min="2" max="2" width="11" customWidth="1"/>
    <col min="3" max="4" width="15.5546875" customWidth="1"/>
    <col min="5" max="5" width="15.44140625" customWidth="1"/>
    <col min="6" max="6" width="20.44140625" bestFit="1" customWidth="1"/>
    <col min="7" max="7" width="17.109375" customWidth="1"/>
    <col min="8" max="8" width="12.5546875" customWidth="1"/>
    <col min="9" max="9" width="20.21875" customWidth="1"/>
    <col min="10" max="10" width="0.44140625" customWidth="1"/>
    <col min="11" max="11" width="16.5546875" customWidth="1"/>
    <col min="12" max="12" width="14.5546875" customWidth="1"/>
    <col min="13" max="13" width="24.88671875" bestFit="1" customWidth="1"/>
    <col min="14" max="14" width="11.88671875" hidden="1" customWidth="1"/>
    <col min="15" max="15" width="13.5546875" hidden="1" customWidth="1"/>
    <col min="16" max="16" width="10.44140625" hidden="1" customWidth="1"/>
    <col min="17" max="17" width="4.109375" hidden="1" customWidth="1"/>
    <col min="18" max="18" width="19.109375" customWidth="1"/>
    <col min="19" max="19" width="16" customWidth="1"/>
    <col min="20" max="20" width="20.44140625" bestFit="1" customWidth="1"/>
  </cols>
  <sheetData>
    <row r="3" spans="1:20" ht="15" thickBot="1"/>
    <row r="4" spans="1:20" s="162" customFormat="1" ht="25.5" customHeight="1" thickBot="1">
      <c r="A4" s="602" t="s">
        <v>106</v>
      </c>
      <c r="B4" s="602" t="s">
        <v>169</v>
      </c>
      <c r="C4" s="602" t="s">
        <v>28</v>
      </c>
      <c r="D4" s="608" t="s">
        <v>154</v>
      </c>
      <c r="E4" s="609"/>
      <c r="F4" s="609"/>
      <c r="G4" s="610" t="s">
        <v>210</v>
      </c>
      <c r="H4" s="611"/>
      <c r="I4" s="611"/>
      <c r="J4" s="611"/>
      <c r="K4" s="611" t="s">
        <v>209</v>
      </c>
      <c r="L4" s="611"/>
      <c r="M4" s="611"/>
      <c r="N4" s="611"/>
      <c r="O4" s="611"/>
      <c r="P4" s="611"/>
      <c r="Q4" s="611"/>
      <c r="R4" s="605" t="s">
        <v>34</v>
      </c>
      <c r="S4" s="606"/>
      <c r="T4" s="607"/>
    </row>
    <row r="5" spans="1:20" s="162" customFormat="1" ht="40.799999999999997">
      <c r="A5" s="602"/>
      <c r="B5" s="602"/>
      <c r="C5" s="602"/>
      <c r="D5" s="387" t="s">
        <v>90</v>
      </c>
      <c r="E5" s="388" t="s">
        <v>30</v>
      </c>
      <c r="F5" s="389" t="s">
        <v>91</v>
      </c>
      <c r="G5" s="390" t="s">
        <v>90</v>
      </c>
      <c r="H5" s="391" t="s">
        <v>30</v>
      </c>
      <c r="I5" s="392" t="s">
        <v>91</v>
      </c>
      <c r="J5" s="393" t="s">
        <v>131</v>
      </c>
      <c r="K5" s="390" t="s">
        <v>90</v>
      </c>
      <c r="L5" s="391" t="s">
        <v>30</v>
      </c>
      <c r="M5" s="392" t="s">
        <v>91</v>
      </c>
      <c r="N5" s="391" t="s">
        <v>130</v>
      </c>
      <c r="O5" s="391" t="s">
        <v>139</v>
      </c>
      <c r="P5" s="391" t="s">
        <v>30</v>
      </c>
      <c r="Q5" s="393" t="s">
        <v>140</v>
      </c>
      <c r="R5" s="218" t="s">
        <v>133</v>
      </c>
      <c r="S5" s="219" t="s">
        <v>135</v>
      </c>
      <c r="T5" s="219" t="s">
        <v>134</v>
      </c>
    </row>
    <row r="6" spans="1:20" s="162" customFormat="1" ht="84" customHeight="1" thickBot="1">
      <c r="A6" s="394" t="s">
        <v>202</v>
      </c>
      <c r="B6" s="394" t="s">
        <v>200</v>
      </c>
      <c r="C6" s="394">
        <v>1</v>
      </c>
      <c r="D6" s="395">
        <v>21000000</v>
      </c>
      <c r="E6" s="396">
        <f>ROUND((D6*19%),2)</f>
        <v>3990000</v>
      </c>
      <c r="F6" s="396">
        <f>ROUND((+D6+E6),2)</f>
        <v>24990000</v>
      </c>
      <c r="G6" s="397">
        <v>23000000</v>
      </c>
      <c r="H6" s="396">
        <f>ROUND((G6*19%),2)</f>
        <v>4370000</v>
      </c>
      <c r="I6" s="396">
        <f>ROUND((+G6+H6),2)</f>
        <v>27370000</v>
      </c>
      <c r="J6" s="396"/>
      <c r="K6" s="396">
        <v>19000000</v>
      </c>
      <c r="L6" s="396"/>
      <c r="M6" s="396">
        <f>ROUND((+K6+L6),2)</f>
        <v>19000000</v>
      </c>
      <c r="N6" s="398"/>
      <c r="O6" s="399"/>
      <c r="P6" s="399"/>
      <c r="Q6" s="400"/>
      <c r="R6" s="216">
        <f>ROUND((D6+G6+K6)/3,2)</f>
        <v>21000000</v>
      </c>
      <c r="S6" s="217">
        <f>ROUND((E6+H6+L6)/3,2)</f>
        <v>2786666.67</v>
      </c>
      <c r="T6" s="217">
        <f>ROUND((M6+I6+F6)/3,2)</f>
        <v>23786666.670000002</v>
      </c>
    </row>
    <row r="7" spans="1:20" s="162" customFormat="1" ht="29.4" thickBot="1">
      <c r="A7" s="267"/>
      <c r="B7" s="267"/>
      <c r="C7" s="267"/>
      <c r="D7" s="401" t="s">
        <v>218</v>
      </c>
      <c r="E7" s="401"/>
      <c r="F7" s="401">
        <f>SUM(F6:F6)*6</f>
        <v>149940000</v>
      </c>
      <c r="G7" s="401" t="s">
        <v>218</v>
      </c>
      <c r="H7" s="401"/>
      <c r="I7" s="401">
        <f>SUM(I6:I6)*6</f>
        <v>164220000</v>
      </c>
      <c r="J7" s="402">
        <f>+J6</f>
        <v>0</v>
      </c>
      <c r="K7" s="401" t="s">
        <v>218</v>
      </c>
      <c r="L7" s="401"/>
      <c r="M7" s="402">
        <f>SUM(M6)*6</f>
        <v>114000000</v>
      </c>
      <c r="N7" s="403" t="s">
        <v>132</v>
      </c>
      <c r="O7" s="404"/>
      <c r="P7" s="405"/>
      <c r="Q7" s="406">
        <f>+Q6</f>
        <v>0</v>
      </c>
      <c r="R7" s="235" t="s">
        <v>219</v>
      </c>
      <c r="S7" s="215"/>
      <c r="T7" s="205">
        <f>SUM(T6:T6)*6</f>
        <v>142720000.02000001</v>
      </c>
    </row>
    <row r="8" spans="1:20" s="162" customFormat="1" ht="15" thickBot="1">
      <c r="D8" s="161"/>
      <c r="E8" s="161"/>
      <c r="F8" s="223"/>
      <c r="G8" s="161"/>
      <c r="H8" s="161"/>
      <c r="I8" s="223"/>
      <c r="J8" s="223"/>
      <c r="K8" s="161"/>
      <c r="L8" s="161"/>
      <c r="M8" s="223"/>
      <c r="N8" s="220"/>
      <c r="O8" s="221"/>
      <c r="P8" s="220"/>
      <c r="Q8" s="221"/>
      <c r="R8" s="603"/>
      <c r="S8" s="604"/>
      <c r="T8" s="205"/>
    </row>
    <row r="9" spans="1:20" s="162" customFormat="1">
      <c r="F9" s="168"/>
      <c r="J9" s="222"/>
      <c r="Q9" s="222"/>
      <c r="R9" s="603" t="s">
        <v>185</v>
      </c>
      <c r="S9" s="604"/>
      <c r="T9" s="205">
        <f>+T7</f>
        <v>142720000.02000001</v>
      </c>
    </row>
    <row r="10" spans="1:20">
      <c r="A10" s="80"/>
      <c r="B10" s="80"/>
      <c r="C10" s="80"/>
      <c r="D10" s="80"/>
      <c r="E10" s="80"/>
      <c r="F10" s="81"/>
      <c r="J10" s="82"/>
      <c r="K10" s="80"/>
      <c r="L10" s="80"/>
      <c r="M10" s="80"/>
      <c r="N10" s="80"/>
      <c r="O10" s="80"/>
      <c r="P10" s="80"/>
      <c r="Q10" s="82"/>
    </row>
    <row r="11" spans="1:20">
      <c r="A11" s="80"/>
      <c r="B11" s="80"/>
      <c r="C11" s="80"/>
      <c r="D11" s="80"/>
      <c r="E11" s="80"/>
      <c r="F11" s="81"/>
      <c r="J11" s="82"/>
      <c r="K11" s="80"/>
      <c r="L11" s="80"/>
      <c r="M11" s="80"/>
      <c r="N11" s="80"/>
      <c r="O11" s="80"/>
      <c r="P11" s="80"/>
      <c r="Q11" s="82"/>
    </row>
    <row r="12" spans="1:20">
      <c r="A12" s="80"/>
      <c r="B12" s="80"/>
      <c r="C12" s="80"/>
      <c r="D12" s="80"/>
      <c r="E12" s="80"/>
      <c r="F12" s="81"/>
      <c r="J12" s="82"/>
      <c r="K12" s="80"/>
      <c r="L12" s="80"/>
      <c r="M12" s="80"/>
      <c r="N12" s="80"/>
      <c r="O12" s="80"/>
      <c r="P12" s="80"/>
      <c r="Q12" s="82"/>
    </row>
    <row r="13" spans="1:20">
      <c r="A13" s="80"/>
      <c r="B13" s="80"/>
      <c r="C13" s="80"/>
      <c r="D13" s="80"/>
      <c r="E13" s="80"/>
      <c r="F13" s="81"/>
      <c r="J13" s="82"/>
      <c r="K13" s="80"/>
      <c r="L13" s="80"/>
      <c r="M13" s="80"/>
      <c r="N13" s="80"/>
      <c r="O13" s="80"/>
      <c r="P13" s="80"/>
      <c r="Q13" s="82"/>
    </row>
    <row r="14" spans="1:20">
      <c r="A14" s="80"/>
      <c r="B14" s="80"/>
      <c r="C14" s="80"/>
      <c r="D14" s="80"/>
      <c r="E14" s="80"/>
      <c r="F14" s="81"/>
      <c r="J14" s="82"/>
      <c r="K14" s="80"/>
      <c r="L14" s="80"/>
      <c r="M14" s="80"/>
      <c r="N14" s="80"/>
      <c r="O14" s="80"/>
      <c r="P14" s="80"/>
      <c r="Q14" s="82"/>
    </row>
    <row r="15" spans="1:20">
      <c r="A15" s="80"/>
      <c r="B15" s="80"/>
      <c r="C15" s="80"/>
      <c r="D15" s="80"/>
      <c r="E15" s="80"/>
      <c r="F15" s="81"/>
      <c r="J15" s="82"/>
      <c r="K15" s="80"/>
      <c r="L15" s="80"/>
      <c r="M15" s="80"/>
      <c r="N15" s="80"/>
      <c r="O15" s="80"/>
      <c r="P15" s="80"/>
      <c r="Q15" s="82"/>
    </row>
    <row r="16" spans="1:20">
      <c r="A16" s="80"/>
      <c r="B16" s="80"/>
      <c r="C16" s="80"/>
      <c r="D16" s="80"/>
      <c r="E16" s="80"/>
      <c r="F16" s="81"/>
      <c r="J16" s="82"/>
      <c r="K16" s="80"/>
      <c r="L16" s="80"/>
      <c r="M16" s="80"/>
      <c r="N16" s="80"/>
      <c r="O16" s="80"/>
      <c r="P16" s="80"/>
      <c r="Q16" s="82"/>
    </row>
    <row r="19" spans="4:20">
      <c r="D19" s="76"/>
      <c r="E19" s="9"/>
      <c r="F19" s="9"/>
      <c r="G19" s="76"/>
      <c r="J19" s="9"/>
      <c r="Q19" s="9"/>
      <c r="R19" s="9"/>
      <c r="T19" s="9"/>
    </row>
    <row r="21" spans="4:20">
      <c r="D21" s="76"/>
      <c r="G21" s="76"/>
    </row>
    <row r="22" spans="4:20">
      <c r="D22" s="76"/>
      <c r="E22" s="76"/>
      <c r="F22" s="76"/>
      <c r="G22" s="76"/>
    </row>
    <row r="23" spans="4:20">
      <c r="E23" s="78"/>
      <c r="F23" s="78"/>
    </row>
    <row r="24" spans="4:20">
      <c r="D24" s="78"/>
      <c r="E24" s="78"/>
      <c r="F24" s="78"/>
    </row>
  </sheetData>
  <mergeCells count="9">
    <mergeCell ref="A4:A5"/>
    <mergeCell ref="R9:S9"/>
    <mergeCell ref="B4:B5"/>
    <mergeCell ref="C4:C5"/>
    <mergeCell ref="R8:S8"/>
    <mergeCell ref="R4:T4"/>
    <mergeCell ref="D4:F4"/>
    <mergeCell ref="G4:J4"/>
    <mergeCell ref="K4:Q4"/>
  </mergeCells>
  <pageMargins left="0.7" right="0.7" top="0.75" bottom="0.75" header="0.3" footer="0.3"/>
  <pageSetup orientation="portrait" r:id="rId1"/>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H28"/>
  <sheetViews>
    <sheetView tabSelected="1" topLeftCell="A10" workbookViewId="0">
      <selection activeCell="C23" sqref="C23"/>
    </sheetView>
  </sheetViews>
  <sheetFormatPr baseColWidth="10" defaultRowHeight="14.4"/>
  <cols>
    <col min="1" max="1" width="44.44140625" customWidth="1"/>
    <col min="2" max="2" width="20.5546875" customWidth="1"/>
    <col min="3" max="3" width="24" customWidth="1"/>
    <col min="4" max="4" width="18" customWidth="1"/>
    <col min="5" max="5" width="15.44140625" customWidth="1"/>
    <col min="6" max="6" width="18.44140625" customWidth="1"/>
    <col min="7" max="7" width="14.44140625" customWidth="1"/>
    <col min="8" max="8" width="15.88671875" customWidth="1"/>
  </cols>
  <sheetData>
    <row r="1" spans="1:4" ht="39.75" customHeight="1">
      <c r="A1" s="612" t="s">
        <v>226</v>
      </c>
      <c r="B1" s="612"/>
    </row>
    <row r="2" spans="1:4" ht="28.8">
      <c r="A2" s="6" t="s">
        <v>36</v>
      </c>
      <c r="B2" s="6" t="s">
        <v>227</v>
      </c>
    </row>
    <row r="3" spans="1:4" ht="28.8">
      <c r="A3" s="5" t="s">
        <v>136</v>
      </c>
      <c r="B3" s="67">
        <f>+'3.1  Alimentación HG. '!H25</f>
        <v>514800000</v>
      </c>
    </row>
    <row r="4" spans="1:4">
      <c r="A4" s="5" t="s">
        <v>124</v>
      </c>
      <c r="B4" s="67">
        <f>+'3.2 KIT DE ASEO HG'!D27</f>
        <v>14526638.539999999</v>
      </c>
    </row>
    <row r="5" spans="1:4">
      <c r="A5" s="5" t="s">
        <v>137</v>
      </c>
      <c r="B5" s="67">
        <f>+'3.2 KIT DE ASEO HG'!D55</f>
        <v>10722941.59</v>
      </c>
    </row>
    <row r="6" spans="1:4">
      <c r="A6" s="5" t="s">
        <v>138</v>
      </c>
      <c r="B6" s="67">
        <f>+'3.3 DOTACIÓN HG'!O16</f>
        <v>19501096.609999996</v>
      </c>
    </row>
    <row r="7" spans="1:4">
      <c r="A7" s="5" t="s">
        <v>125</v>
      </c>
      <c r="B7" s="67">
        <f>+'3.3 DOTACIÓN HG'!O32</f>
        <v>22861269.52</v>
      </c>
    </row>
    <row r="8" spans="1:4">
      <c r="A8" s="5" t="s">
        <v>145</v>
      </c>
      <c r="B8" s="229">
        <f>+'3.4 IMPREVISTOS'!P11</f>
        <v>22787000.039999999</v>
      </c>
    </row>
    <row r="9" spans="1:4">
      <c r="A9" s="5" t="s">
        <v>107</v>
      </c>
      <c r="B9" s="67">
        <f>+'3.5 PERSONAL HG 1'!M14</f>
        <v>340680000</v>
      </c>
    </row>
    <row r="10" spans="1:4">
      <c r="A10" s="5" t="s">
        <v>207</v>
      </c>
      <c r="B10" s="67">
        <f>+'3.5 PERSONAL HG 1'!L26</f>
        <v>14910000</v>
      </c>
    </row>
    <row r="11" spans="1:4">
      <c r="A11" s="5" t="s">
        <v>108</v>
      </c>
      <c r="B11" s="67">
        <f>+' INFRAESTRUCTURA  HG.'!T9</f>
        <v>142720000.02000001</v>
      </c>
    </row>
    <row r="12" spans="1:4">
      <c r="A12" s="6" t="s">
        <v>228</v>
      </c>
      <c r="B12" s="55">
        <f>SUM(B3:B11)</f>
        <v>1103508946.3199999</v>
      </c>
    </row>
    <row r="13" spans="1:4" ht="15" thickBot="1"/>
    <row r="14" spans="1:4" ht="45" customHeight="1">
      <c r="A14" s="508" t="s">
        <v>229</v>
      </c>
      <c r="B14" s="511"/>
      <c r="D14" s="76"/>
    </row>
    <row r="15" spans="1:4" ht="28.8">
      <c r="A15" s="13" t="s">
        <v>36</v>
      </c>
      <c r="B15" s="12" t="s">
        <v>227</v>
      </c>
      <c r="D15" s="92"/>
    </row>
    <row r="16" spans="1:4">
      <c r="A16" s="16" t="s">
        <v>109</v>
      </c>
      <c r="B16" s="74">
        <f>+'1. REFRIGERIOS '!I7</f>
        <v>370800000</v>
      </c>
    </row>
    <row r="17" spans="1:8" ht="43.2">
      <c r="A17" s="16" t="s">
        <v>110</v>
      </c>
      <c r="B17" s="74">
        <f>+'Total Comedores N.'!C8</f>
        <v>1505741200.0799999</v>
      </c>
    </row>
    <row r="18" spans="1:8" ht="28.8">
      <c r="A18" s="16" t="s">
        <v>111</v>
      </c>
      <c r="B18" s="74">
        <f>B12</f>
        <v>1103508946.3199999</v>
      </c>
    </row>
    <row r="19" spans="1:8" ht="29.4" thickBot="1">
      <c r="A19" s="17" t="s">
        <v>230</v>
      </c>
      <c r="B19" s="90">
        <f>SUM(B16:B18)</f>
        <v>2980050146.3999996</v>
      </c>
      <c r="C19" s="92"/>
      <c r="E19" s="76"/>
      <c r="F19" s="76"/>
      <c r="G19" s="76"/>
      <c r="H19" s="76"/>
    </row>
    <row r="20" spans="1:8">
      <c r="C20" s="92"/>
    </row>
    <row r="21" spans="1:8">
      <c r="C21" s="76"/>
      <c r="D21" s="76">
        <v>2980163666.96</v>
      </c>
    </row>
    <row r="22" spans="1:8">
      <c r="B22" s="76"/>
      <c r="C22" s="150">
        <f>+D21-B19</f>
        <v>113520.56000041962</v>
      </c>
      <c r="D22" s="150"/>
      <c r="F22" s="78"/>
      <c r="G22" s="78"/>
      <c r="H22" s="76"/>
    </row>
    <row r="23" spans="1:8">
      <c r="A23" s="236"/>
      <c r="B23" s="256"/>
    </row>
    <row r="24" spans="1:8">
      <c r="A24" s="3"/>
      <c r="B24" s="236"/>
      <c r="E24" s="76"/>
    </row>
    <row r="25" spans="1:8">
      <c r="A25" s="2"/>
      <c r="B25" s="237"/>
    </row>
    <row r="26" spans="1:8">
      <c r="A26" s="2"/>
      <c r="B26" s="237"/>
    </row>
    <row r="27" spans="1:8">
      <c r="A27" s="2"/>
      <c r="B27" s="237"/>
    </row>
    <row r="28" spans="1:8">
      <c r="A28" s="236"/>
      <c r="B28" s="238"/>
    </row>
  </sheetData>
  <mergeCells count="2">
    <mergeCell ref="A1:B1"/>
    <mergeCell ref="A14:B14"/>
  </mergeCells>
  <pageMargins left="0.7" right="0.7" top="0.75" bottom="0.75" header="0.3" footer="0.3"/>
  <pageSetup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13</vt:i4>
      </vt:variant>
      <vt:variant>
        <vt:lpstr>Rangos con nombre</vt:lpstr>
      </vt:variant>
      <vt:variant>
        <vt:i4>1</vt:i4>
      </vt:variant>
    </vt:vector>
  </HeadingPairs>
  <TitlesOfParts>
    <vt:vector size="14" baseType="lpstr">
      <vt:lpstr>1. REFRIGERIOS </vt:lpstr>
      <vt:lpstr>1. REFRIGERIOS  (2)</vt:lpstr>
      <vt:lpstr>2.1 ALIMENTACIÓN C.N. </vt:lpstr>
      <vt:lpstr>2.2 Personal C.N</vt:lpstr>
      <vt:lpstr>2.3 Infraestructura C.N</vt:lpstr>
      <vt:lpstr>Total Comedores N.</vt:lpstr>
      <vt:lpstr>3.1  Alimentación HG. </vt:lpstr>
      <vt:lpstr>3.2 KIT DE ASEO HG</vt:lpstr>
      <vt:lpstr>3.3 DOTACIÓN HG</vt:lpstr>
      <vt:lpstr>3.4 IMPREVISTOS</vt:lpstr>
      <vt:lpstr>3.5 PERSONAL HG 1</vt:lpstr>
      <vt:lpstr> INFRAESTRUCTURA  HG.</vt:lpstr>
      <vt:lpstr>TOTAL </vt:lpstr>
      <vt:lpstr>'1. REFRIGERIOS '!Área_de_impresión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COMPAQ</dc:creator>
  <cp:lastModifiedBy>usuario</cp:lastModifiedBy>
  <cp:lastPrinted>2024-08-05T22:56:08Z</cp:lastPrinted>
  <dcterms:created xsi:type="dcterms:W3CDTF">2020-10-20T21:52:56Z</dcterms:created>
  <dcterms:modified xsi:type="dcterms:W3CDTF">2026-10-05T17:13:19Z</dcterms:modified>
</cp:coreProperties>
</file>